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Report_400!$A$10:$I$47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/>
  <c r="D238" i="14"/>
  <c r="D237" i="14"/>
  <c r="D239" i="14"/>
  <c r="D230" i="14"/>
  <c r="D229" i="14"/>
  <c r="D226" i="14"/>
  <c r="D227" i="14"/>
  <c r="D223" i="14"/>
  <c r="D204" i="14"/>
  <c r="D269" i="14"/>
  <c r="D203" i="14"/>
  <c r="D267" i="14"/>
  <c r="D198" i="14"/>
  <c r="D290" i="14"/>
  <c r="D191" i="14"/>
  <c r="D264" i="14"/>
  <c r="D189" i="14"/>
  <c r="D278" i="14"/>
  <c r="D262" i="14"/>
  <c r="D188" i="14"/>
  <c r="D214" i="14"/>
  <c r="D180" i="14"/>
  <c r="D179" i="14"/>
  <c r="D181" i="14"/>
  <c r="D171" i="14"/>
  <c r="D172" i="14"/>
  <c r="D173" i="14"/>
  <c r="D170" i="14"/>
  <c r="D165" i="14"/>
  <c r="D164" i="14"/>
  <c r="D158" i="14"/>
  <c r="D159" i="14"/>
  <c r="D155" i="14"/>
  <c r="D145" i="14"/>
  <c r="D144" i="14"/>
  <c r="D136" i="14"/>
  <c r="D137" i="14"/>
  <c r="D135" i="14"/>
  <c r="D130" i="14"/>
  <c r="D129" i="14"/>
  <c r="D124" i="14"/>
  <c r="D123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59" i="14"/>
  <c r="D60" i="14"/>
  <c r="D61" i="14"/>
  <c r="D58" i="14"/>
  <c r="D53" i="14"/>
  <c r="D52" i="14"/>
  <c r="D47" i="14"/>
  <c r="D48" i="14"/>
  <c r="D44" i="14"/>
  <c r="D36" i="14"/>
  <c r="D35" i="14"/>
  <c r="D37" i="14"/>
  <c r="D30" i="14"/>
  <c r="D31" i="14"/>
  <c r="D32" i="14"/>
  <c r="D29" i="14"/>
  <c r="D24" i="14"/>
  <c r="D23" i="14"/>
  <c r="D20" i="14"/>
  <c r="D21" i="14"/>
  <c r="D126" i="14"/>
  <c r="D127" i="14"/>
  <c r="D17" i="14"/>
  <c r="E97" i="19"/>
  <c r="D97" i="19"/>
  <c r="C97" i="19"/>
  <c r="E96" i="19"/>
  <c r="E98" i="19"/>
  <c r="D96" i="19"/>
  <c r="D98" i="19"/>
  <c r="C96" i="19"/>
  <c r="C98" i="19"/>
  <c r="E92" i="19"/>
  <c r="E93" i="19"/>
  <c r="D92" i="19"/>
  <c r="C92" i="19"/>
  <c r="E91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2" i="19"/>
  <c r="D83" i="19"/>
  <c r="D101" i="19"/>
  <c r="C83" i="19"/>
  <c r="C102" i="19"/>
  <c r="E76" i="19"/>
  <c r="D76" i="19"/>
  <c r="C76" i="19"/>
  <c r="E75" i="19"/>
  <c r="E77" i="19"/>
  <c r="D75" i="19"/>
  <c r="D77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33" i="19"/>
  <c r="C12" i="19"/>
  <c r="C23" i="19"/>
  <c r="C46" i="19"/>
  <c r="D21" i="18"/>
  <c r="E21" i="18"/>
  <c r="F21" i="18"/>
  <c r="C21" i="18"/>
  <c r="D19" i="18"/>
  <c r="E19" i="18"/>
  <c r="F19" i="18"/>
  <c r="C19" i="18"/>
  <c r="F17" i="18"/>
  <c r="E17" i="18"/>
  <c r="F15" i="18"/>
  <c r="E15" i="18"/>
  <c r="D45" i="17"/>
  <c r="E45" i="17"/>
  <c r="F45" i="17"/>
  <c r="C45" i="17"/>
  <c r="D44" i="17"/>
  <c r="E44" i="17"/>
  <c r="F44" i="17"/>
  <c r="C44" i="17"/>
  <c r="D43" i="17"/>
  <c r="D46" i="17"/>
  <c r="C43" i="17"/>
  <c r="C46" i="17"/>
  <c r="D36" i="17"/>
  <c r="D40" i="17"/>
  <c r="C36" i="17"/>
  <c r="C40" i="17"/>
  <c r="F35" i="17"/>
  <c r="E35" i="17"/>
  <c r="F34" i="17"/>
  <c r="E34" i="17"/>
  <c r="F33" i="17"/>
  <c r="E33" i="17"/>
  <c r="E36" i="17"/>
  <c r="F30" i="17"/>
  <c r="E30" i="17"/>
  <c r="F29" i="17"/>
  <c r="E29" i="17"/>
  <c r="F28" i="17"/>
  <c r="E28" i="17"/>
  <c r="F27" i="17"/>
  <c r="E27" i="17"/>
  <c r="D25" i="17"/>
  <c r="D39" i="17"/>
  <c r="C25" i="17"/>
  <c r="C39" i="17"/>
  <c r="E24" i="17"/>
  <c r="F24" i="17"/>
  <c r="E23" i="17"/>
  <c r="F23" i="17"/>
  <c r="E22" i="17"/>
  <c r="F22" i="17"/>
  <c r="D19" i="17"/>
  <c r="D20" i="17"/>
  <c r="C19" i="17"/>
  <c r="C20" i="17"/>
  <c r="E18" i="17"/>
  <c r="F18" i="17"/>
  <c r="D16" i="17"/>
  <c r="C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60" i="16"/>
  <c r="C59" i="16"/>
  <c r="C49" i="16"/>
  <c r="C48" i="16"/>
  <c r="C64" i="16"/>
  <c r="C36" i="16"/>
  <c r="C38" i="16"/>
  <c r="C127" i="16"/>
  <c r="C129" i="16"/>
  <c r="C133" i="16"/>
  <c r="C32" i="16"/>
  <c r="C33" i="16"/>
  <c r="C21" i="16"/>
  <c r="C37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D293" i="15"/>
  <c r="C293" i="15"/>
  <c r="E293" i="15"/>
  <c r="D292" i="15"/>
  <c r="E292" i="15"/>
  <c r="C292" i="15"/>
  <c r="D291" i="15"/>
  <c r="C291" i="15"/>
  <c r="E291" i="15"/>
  <c r="D290" i="15"/>
  <c r="E290" i="15"/>
  <c r="C290" i="15"/>
  <c r="D288" i="15"/>
  <c r="E288" i="15"/>
  <c r="C288" i="15"/>
  <c r="D287" i="15"/>
  <c r="C287" i="15"/>
  <c r="E287" i="15"/>
  <c r="D282" i="15"/>
  <c r="E282" i="15"/>
  <c r="C282" i="15"/>
  <c r="D281" i="15"/>
  <c r="C281" i="15"/>
  <c r="E281" i="15"/>
  <c r="D280" i="15"/>
  <c r="E280" i="15"/>
  <c r="C280" i="15"/>
  <c r="D279" i="15"/>
  <c r="C279" i="15"/>
  <c r="E279" i="15"/>
  <c r="D278" i="15"/>
  <c r="E278" i="15"/>
  <c r="C278" i="15"/>
  <c r="D277" i="15"/>
  <c r="C277" i="15"/>
  <c r="E277" i="15"/>
  <c r="D276" i="15"/>
  <c r="E276" i="15"/>
  <c r="C276" i="15"/>
  <c r="E270" i="15"/>
  <c r="D265" i="15"/>
  <c r="E265" i="15"/>
  <c r="C265" i="15"/>
  <c r="C302" i="15"/>
  <c r="C303" i="15"/>
  <c r="C306" i="15"/>
  <c r="C310" i="15"/>
  <c r="D262" i="15"/>
  <c r="E262" i="15"/>
  <c r="C262" i="15"/>
  <c r="D251" i="15"/>
  <c r="C251" i="15"/>
  <c r="D233" i="15"/>
  <c r="C233" i="15"/>
  <c r="D232" i="15"/>
  <c r="C232" i="15"/>
  <c r="E232" i="15"/>
  <c r="D231" i="15"/>
  <c r="C231" i="15"/>
  <c r="D230" i="15"/>
  <c r="C230" i="15"/>
  <c r="E230" i="15"/>
  <c r="D228" i="15"/>
  <c r="C228" i="15"/>
  <c r="E228" i="15"/>
  <c r="D227" i="15"/>
  <c r="E227" i="15"/>
  <c r="C227" i="15"/>
  <c r="D221" i="15"/>
  <c r="D245" i="15"/>
  <c r="E245" i="15"/>
  <c r="C221" i="15"/>
  <c r="C245" i="15"/>
  <c r="D220" i="15"/>
  <c r="C220" i="15"/>
  <c r="C244" i="15"/>
  <c r="D219" i="15"/>
  <c r="D243" i="15"/>
  <c r="C219" i="15"/>
  <c r="C243" i="15"/>
  <c r="D218" i="15"/>
  <c r="C218" i="15"/>
  <c r="C217" i="15"/>
  <c r="D216" i="15"/>
  <c r="C216" i="15"/>
  <c r="C240" i="15"/>
  <c r="D215" i="15"/>
  <c r="C215" i="15"/>
  <c r="C239" i="15"/>
  <c r="E209" i="15"/>
  <c r="E208" i="15"/>
  <c r="E207" i="15"/>
  <c r="E206" i="15"/>
  <c r="D205" i="15"/>
  <c r="D229" i="15"/>
  <c r="C205" i="15"/>
  <c r="C229" i="15"/>
  <c r="E204" i="15"/>
  <c r="E203" i="15"/>
  <c r="E197" i="15"/>
  <c r="E196" i="15"/>
  <c r="D195" i="15"/>
  <c r="E195" i="15"/>
  <c r="C195" i="15"/>
  <c r="C260" i="15"/>
  <c r="E194" i="15"/>
  <c r="E193" i="15"/>
  <c r="E192" i="15"/>
  <c r="E191" i="15"/>
  <c r="E190" i="15"/>
  <c r="D188" i="15"/>
  <c r="C188" i="15"/>
  <c r="C261" i="15"/>
  <c r="E186" i="15"/>
  <c r="E185" i="15"/>
  <c r="D179" i="15"/>
  <c r="E179" i="15"/>
  <c r="C179" i="15"/>
  <c r="D178" i="15"/>
  <c r="C178" i="15"/>
  <c r="D177" i="15"/>
  <c r="C177" i="15"/>
  <c r="E177" i="15"/>
  <c r="D176" i="15"/>
  <c r="C176" i="15"/>
  <c r="D174" i="15"/>
  <c r="C174" i="15"/>
  <c r="D173" i="15"/>
  <c r="C173" i="15"/>
  <c r="E173" i="15"/>
  <c r="D167" i="15"/>
  <c r="E167" i="15"/>
  <c r="C167" i="15"/>
  <c r="D166" i="15"/>
  <c r="C166" i="15"/>
  <c r="E166" i="15"/>
  <c r="D165" i="15"/>
  <c r="E165" i="15"/>
  <c r="C165" i="15"/>
  <c r="D164" i="15"/>
  <c r="C164" i="15"/>
  <c r="E164" i="15"/>
  <c r="D162" i="15"/>
  <c r="C162" i="15"/>
  <c r="E162" i="15"/>
  <c r="D161" i="15"/>
  <c r="E161" i="15"/>
  <c r="C161" i="15"/>
  <c r="E155" i="15"/>
  <c r="E154" i="15"/>
  <c r="E153" i="15"/>
  <c r="E152" i="15"/>
  <c r="D151" i="15"/>
  <c r="E151" i="15"/>
  <c r="C151" i="15"/>
  <c r="C156" i="15"/>
  <c r="C157" i="15"/>
  <c r="E150" i="15"/>
  <c r="E149" i="15"/>
  <c r="C144" i="15"/>
  <c r="C168" i="15"/>
  <c r="E143" i="15"/>
  <c r="E142" i="15"/>
  <c r="E141" i="15"/>
  <c r="E140" i="15"/>
  <c r="D139" i="15"/>
  <c r="D163" i="15"/>
  <c r="C139" i="15"/>
  <c r="C175" i="15"/>
  <c r="C163" i="15"/>
  <c r="E138" i="15"/>
  <c r="E137" i="15"/>
  <c r="D75" i="15"/>
  <c r="E75" i="15"/>
  <c r="C75" i="15"/>
  <c r="D74" i="15"/>
  <c r="E74" i="15"/>
  <c r="C74" i="15"/>
  <c r="D73" i="15"/>
  <c r="C73" i="15"/>
  <c r="E73" i="15"/>
  <c r="D72" i="15"/>
  <c r="E72" i="15"/>
  <c r="C72" i="15"/>
  <c r="D70" i="15"/>
  <c r="E70" i="15"/>
  <c r="C70" i="15"/>
  <c r="D69" i="15"/>
  <c r="C69" i="15"/>
  <c r="E64" i="15"/>
  <c r="E63" i="15"/>
  <c r="E62" i="15"/>
  <c r="E61" i="15"/>
  <c r="D60" i="15"/>
  <c r="C60" i="15"/>
  <c r="C289" i="15"/>
  <c r="E59" i="15"/>
  <c r="E58" i="15"/>
  <c r="D54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E41" i="15"/>
  <c r="C41" i="15"/>
  <c r="D40" i="15"/>
  <c r="E40" i="15"/>
  <c r="C40" i="15"/>
  <c r="D39" i="15"/>
  <c r="C39" i="15"/>
  <c r="E39" i="15"/>
  <c r="D38" i="15"/>
  <c r="C38" i="15"/>
  <c r="D37" i="15"/>
  <c r="C37" i="15"/>
  <c r="C43" i="15"/>
  <c r="E37" i="15"/>
  <c r="D36" i="15"/>
  <c r="E36" i="15"/>
  <c r="C36" i="15"/>
  <c r="D32" i="15"/>
  <c r="C32" i="15"/>
  <c r="C33" i="15"/>
  <c r="E31" i="15"/>
  <c r="E30" i="15"/>
  <c r="E29" i="15"/>
  <c r="E28" i="15"/>
  <c r="E27" i="15"/>
  <c r="E26" i="15"/>
  <c r="E25" i="15"/>
  <c r="D21" i="15"/>
  <c r="E21" i="15"/>
  <c r="C21" i="15"/>
  <c r="E20" i="15"/>
  <c r="E19" i="15"/>
  <c r="E18" i="15"/>
  <c r="E17" i="15"/>
  <c r="E16" i="15"/>
  <c r="E15" i="15"/>
  <c r="E14" i="15"/>
  <c r="F335" i="14"/>
  <c r="E335" i="14"/>
  <c r="F334" i="14"/>
  <c r="E334" i="14"/>
  <c r="F333" i="14"/>
  <c r="E333" i="14"/>
  <c r="F332" i="14"/>
  <c r="E332" i="14"/>
  <c r="F331" i="14"/>
  <c r="E331" i="14"/>
  <c r="F330" i="14"/>
  <c r="E330" i="14"/>
  <c r="F329" i="14"/>
  <c r="E329" i="14"/>
  <c r="F316" i="14"/>
  <c r="E316" i="14"/>
  <c r="F311" i="14"/>
  <c r="C311" i="14"/>
  <c r="E311" i="14"/>
  <c r="E308" i="14"/>
  <c r="F308" i="14"/>
  <c r="C307" i="14"/>
  <c r="E307" i="14"/>
  <c r="F307" i="14"/>
  <c r="E299" i="14"/>
  <c r="C299" i="14"/>
  <c r="C298" i="14"/>
  <c r="E298" i="14"/>
  <c r="F298" i="14"/>
  <c r="C297" i="14"/>
  <c r="E297" i="14"/>
  <c r="F297" i="14"/>
  <c r="C296" i="14"/>
  <c r="E296" i="14"/>
  <c r="F296" i="14"/>
  <c r="C295" i="14"/>
  <c r="E295" i="14"/>
  <c r="C294" i="14"/>
  <c r="E294" i="14"/>
  <c r="F294" i="14"/>
  <c r="C250" i="14"/>
  <c r="E250" i="14"/>
  <c r="E249" i="14"/>
  <c r="F249" i="14"/>
  <c r="E248" i="14"/>
  <c r="F248" i="14"/>
  <c r="F245" i="14"/>
  <c r="E245" i="14"/>
  <c r="E244" i="14"/>
  <c r="F244" i="14"/>
  <c r="E243" i="14"/>
  <c r="F243" i="14"/>
  <c r="C238" i="14"/>
  <c r="E238" i="14"/>
  <c r="C237" i="14"/>
  <c r="F234" i="14"/>
  <c r="E234" i="14"/>
  <c r="E233" i="14"/>
  <c r="F233" i="14"/>
  <c r="C230" i="14"/>
  <c r="C229" i="14"/>
  <c r="E228" i="14"/>
  <c r="F228" i="14"/>
  <c r="C226" i="14"/>
  <c r="C227" i="14"/>
  <c r="E225" i="14"/>
  <c r="F225" i="14"/>
  <c r="E224" i="14"/>
  <c r="F224" i="14"/>
  <c r="E223" i="14"/>
  <c r="C223" i="14"/>
  <c r="E222" i="14"/>
  <c r="F222" i="14"/>
  <c r="E221" i="14"/>
  <c r="F221" i="14"/>
  <c r="C204" i="14"/>
  <c r="E204" i="14"/>
  <c r="C203" i="14"/>
  <c r="E203" i="14"/>
  <c r="C198" i="14"/>
  <c r="E198" i="14"/>
  <c r="F198" i="14"/>
  <c r="C191" i="14"/>
  <c r="C280" i="14"/>
  <c r="C189" i="14"/>
  <c r="C255" i="14"/>
  <c r="C188" i="14"/>
  <c r="C206" i="14"/>
  <c r="C180" i="14"/>
  <c r="E180" i="14"/>
  <c r="C179" i="14"/>
  <c r="E171" i="14"/>
  <c r="C171" i="14"/>
  <c r="C172" i="14"/>
  <c r="E172" i="14"/>
  <c r="E170" i="14"/>
  <c r="C170" i="14"/>
  <c r="F169" i="14"/>
  <c r="E169" i="14"/>
  <c r="F168" i="14"/>
  <c r="E168" i="14"/>
  <c r="C165" i="14"/>
  <c r="E165" i="14"/>
  <c r="F165" i="14"/>
  <c r="E164" i="14"/>
  <c r="C164" i="14"/>
  <c r="F164" i="14"/>
  <c r="E163" i="14"/>
  <c r="F163" i="14"/>
  <c r="C158" i="14"/>
  <c r="E158" i="14"/>
  <c r="F158" i="14"/>
  <c r="E157" i="14"/>
  <c r="F157" i="14"/>
  <c r="E156" i="14"/>
  <c r="F156" i="14"/>
  <c r="C155" i="14"/>
  <c r="E155" i="14"/>
  <c r="F155" i="14"/>
  <c r="E154" i="14"/>
  <c r="F154" i="14"/>
  <c r="E153" i="14"/>
  <c r="F153" i="14"/>
  <c r="C146" i="14"/>
  <c r="C145" i="14"/>
  <c r="E145" i="14"/>
  <c r="C144" i="14"/>
  <c r="E144" i="14"/>
  <c r="F144" i="14"/>
  <c r="C137" i="14"/>
  <c r="C138" i="14"/>
  <c r="E136" i="14"/>
  <c r="C136" i="14"/>
  <c r="C135" i="14"/>
  <c r="E135" i="14"/>
  <c r="F135" i="14"/>
  <c r="E134" i="14"/>
  <c r="F134" i="14"/>
  <c r="E133" i="14"/>
  <c r="F133" i="14"/>
  <c r="C130" i="14"/>
  <c r="E130" i="14"/>
  <c r="F130" i="14"/>
  <c r="C129" i="14"/>
  <c r="E128" i="14"/>
  <c r="F128" i="14"/>
  <c r="C123" i="14"/>
  <c r="C192" i="14"/>
  <c r="E122" i="14"/>
  <c r="F122" i="14"/>
  <c r="E121" i="14"/>
  <c r="F121" i="14"/>
  <c r="C120" i="14"/>
  <c r="E119" i="14"/>
  <c r="F119" i="14"/>
  <c r="E118" i="14"/>
  <c r="F118" i="14"/>
  <c r="C110" i="14"/>
  <c r="E110" i="14"/>
  <c r="C109" i="14"/>
  <c r="C111" i="14"/>
  <c r="C101" i="14"/>
  <c r="E101" i="14"/>
  <c r="C100" i="14"/>
  <c r="E99" i="14"/>
  <c r="F99" i="14"/>
  <c r="E98" i="14"/>
  <c r="F98" i="14"/>
  <c r="C95" i="14"/>
  <c r="C94" i="14"/>
  <c r="E94" i="14"/>
  <c r="F93" i="14"/>
  <c r="E93" i="14"/>
  <c r="C88" i="14"/>
  <c r="E88" i="14"/>
  <c r="E87" i="14"/>
  <c r="F87" i="14"/>
  <c r="E86" i="14"/>
  <c r="F86" i="14"/>
  <c r="C85" i="14"/>
  <c r="E84" i="14"/>
  <c r="F84" i="14"/>
  <c r="E83" i="14"/>
  <c r="F83" i="14"/>
  <c r="C76" i="14"/>
  <c r="E76" i="14"/>
  <c r="E74" i="14"/>
  <c r="F74" i="14"/>
  <c r="E73" i="14"/>
  <c r="F73" i="14"/>
  <c r="C67" i="14"/>
  <c r="E67" i="14"/>
  <c r="C66" i="14"/>
  <c r="E66" i="14"/>
  <c r="C59" i="14"/>
  <c r="C60" i="14"/>
  <c r="E60" i="14"/>
  <c r="C58" i="14"/>
  <c r="E57" i="14"/>
  <c r="F57" i="14"/>
  <c r="E56" i="14"/>
  <c r="F56" i="14"/>
  <c r="C53" i="14"/>
  <c r="E53" i="14"/>
  <c r="C52" i="14"/>
  <c r="E52" i="14"/>
  <c r="E51" i="14"/>
  <c r="F51" i="14"/>
  <c r="C47" i="14"/>
  <c r="E46" i="14"/>
  <c r="F46" i="14"/>
  <c r="E45" i="14"/>
  <c r="F45" i="14"/>
  <c r="C44" i="14"/>
  <c r="E44" i="14"/>
  <c r="E43" i="14"/>
  <c r="F43" i="14"/>
  <c r="E42" i="14"/>
  <c r="F42" i="14"/>
  <c r="C36" i="14"/>
  <c r="E36" i="14"/>
  <c r="F36" i="14"/>
  <c r="C35" i="14"/>
  <c r="E35" i="14"/>
  <c r="C31" i="14"/>
  <c r="E31" i="14"/>
  <c r="F31" i="14"/>
  <c r="C30" i="14"/>
  <c r="E30" i="14"/>
  <c r="F30" i="14"/>
  <c r="C29" i="14"/>
  <c r="E28" i="14"/>
  <c r="F28" i="14"/>
  <c r="E27" i="14"/>
  <c r="F27" i="14"/>
  <c r="C24" i="14"/>
  <c r="E24" i="14"/>
  <c r="C23" i="14"/>
  <c r="E23" i="14"/>
  <c r="F23" i="14"/>
  <c r="E22" i="14"/>
  <c r="F22" i="14"/>
  <c r="C20" i="14"/>
  <c r="E19" i="14"/>
  <c r="F19" i="14"/>
  <c r="E18" i="14"/>
  <c r="F18" i="14"/>
  <c r="C17" i="14"/>
  <c r="E17" i="14"/>
  <c r="F17" i="14"/>
  <c r="F16" i="14"/>
  <c r="E16" i="14"/>
  <c r="F15" i="14"/>
  <c r="E15" i="14"/>
  <c r="D22" i="13"/>
  <c r="E22" i="13"/>
  <c r="F22" i="13"/>
  <c r="C22" i="13"/>
  <c r="F21" i="13"/>
  <c r="E21" i="13"/>
  <c r="F20" i="13"/>
  <c r="E20" i="13"/>
  <c r="D17" i="13"/>
  <c r="E17" i="13"/>
  <c r="F17" i="13"/>
  <c r="C17" i="13"/>
  <c r="F16" i="13"/>
  <c r="E16" i="13"/>
  <c r="D13" i="13"/>
  <c r="E13" i="13"/>
  <c r="F13" i="13"/>
  <c r="C13" i="13"/>
  <c r="F12" i="13"/>
  <c r="E12" i="13"/>
  <c r="D99" i="12"/>
  <c r="E99" i="12"/>
  <c r="F99" i="12"/>
  <c r="C99" i="12"/>
  <c r="F98" i="12"/>
  <c r="E98" i="12"/>
  <c r="F97" i="12"/>
  <c r="E97" i="12"/>
  <c r="F96" i="12"/>
  <c r="E96" i="12"/>
  <c r="D92" i="12"/>
  <c r="E92" i="12"/>
  <c r="F92" i="12"/>
  <c r="C92" i="12"/>
  <c r="F91" i="12"/>
  <c r="E91" i="12"/>
  <c r="F90" i="12"/>
  <c r="E90" i="12"/>
  <c r="F89" i="12"/>
  <c r="E89" i="12"/>
  <c r="F88" i="12"/>
  <c r="E88" i="12"/>
  <c r="F87" i="12"/>
  <c r="E87" i="12"/>
  <c r="F84" i="12"/>
  <c r="D84" i="12"/>
  <c r="E84" i="12"/>
  <c r="C84" i="12"/>
  <c r="F83" i="12"/>
  <c r="E83" i="12"/>
  <c r="F82" i="12"/>
  <c r="E82" i="12"/>
  <c r="F81" i="12"/>
  <c r="E81" i="12"/>
  <c r="F80" i="12"/>
  <c r="E80" i="12"/>
  <c r="F79" i="12"/>
  <c r="E79" i="12"/>
  <c r="D75" i="12"/>
  <c r="C75" i="12"/>
  <c r="F74" i="12"/>
  <c r="E74" i="12"/>
  <c r="F73" i="12"/>
  <c r="E73" i="12"/>
  <c r="E75" i="12"/>
  <c r="F75" i="12"/>
  <c r="D70" i="12"/>
  <c r="E70" i="12"/>
  <c r="F70" i="12"/>
  <c r="C70" i="12"/>
  <c r="F69" i="12"/>
  <c r="E69" i="12"/>
  <c r="F68" i="12"/>
  <c r="E68" i="12"/>
  <c r="D65" i="12"/>
  <c r="E65" i="12"/>
  <c r="F65" i="12"/>
  <c r="C65" i="12"/>
  <c r="F64" i="12"/>
  <c r="E64" i="12"/>
  <c r="F63" i="12"/>
  <c r="E63" i="12"/>
  <c r="D60" i="12"/>
  <c r="C60" i="12"/>
  <c r="F60" i="12"/>
  <c r="F59" i="12"/>
  <c r="E59" i="12"/>
  <c r="F58" i="12"/>
  <c r="E58" i="12"/>
  <c r="E60" i="12"/>
  <c r="F55" i="12"/>
  <c r="D55" i="12"/>
  <c r="E55" i="12"/>
  <c r="C55" i="12"/>
  <c r="F54" i="12"/>
  <c r="E54" i="12"/>
  <c r="F53" i="12"/>
  <c r="E53" i="12"/>
  <c r="F50" i="12"/>
  <c r="D50" i="12"/>
  <c r="E50" i="12"/>
  <c r="C50" i="12"/>
  <c r="F49" i="12"/>
  <c r="E49" i="12"/>
  <c r="F48" i="12"/>
  <c r="E48" i="12"/>
  <c r="F45" i="12"/>
  <c r="D45" i="12"/>
  <c r="E45" i="12"/>
  <c r="C45" i="12"/>
  <c r="F44" i="12"/>
  <c r="E44" i="12"/>
  <c r="F43" i="12"/>
  <c r="E43" i="12"/>
  <c r="F37" i="12"/>
  <c r="D37" i="12"/>
  <c r="E37" i="12"/>
  <c r="C37" i="12"/>
  <c r="F36" i="12"/>
  <c r="E36" i="12"/>
  <c r="F35" i="12"/>
  <c r="E35" i="12"/>
  <c r="F34" i="12"/>
  <c r="E34" i="12"/>
  <c r="F33" i="12"/>
  <c r="E33" i="12"/>
  <c r="D30" i="12"/>
  <c r="E30" i="12"/>
  <c r="F30" i="12"/>
  <c r="C30" i="12"/>
  <c r="F29" i="12"/>
  <c r="E29" i="12"/>
  <c r="F28" i="12"/>
  <c r="E28" i="12"/>
  <c r="F27" i="12"/>
  <c r="E27" i="12"/>
  <c r="F26" i="12"/>
  <c r="E26" i="12"/>
  <c r="D23" i="12"/>
  <c r="E23" i="12"/>
  <c r="F23" i="12"/>
  <c r="C23" i="12"/>
  <c r="F22" i="12"/>
  <c r="E22" i="12"/>
  <c r="F21" i="12"/>
  <c r="E21" i="12"/>
  <c r="F20" i="12"/>
  <c r="E20" i="12"/>
  <c r="F19" i="12"/>
  <c r="E19" i="12"/>
  <c r="D16" i="12"/>
  <c r="E16" i="12"/>
  <c r="F16" i="12"/>
  <c r="C16" i="12"/>
  <c r="F15" i="12"/>
  <c r="E15" i="12"/>
  <c r="F14" i="12"/>
  <c r="E14" i="12"/>
  <c r="F13" i="12"/>
  <c r="E13" i="12"/>
  <c r="F12" i="12"/>
  <c r="E12" i="12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3" i="11"/>
  <c r="F17" i="11"/>
  <c r="F33" i="11"/>
  <c r="E17" i="11"/>
  <c r="E33" i="11"/>
  <c r="E36" i="11"/>
  <c r="E38" i="11"/>
  <c r="E40" i="11"/>
  <c r="D17" i="11"/>
  <c r="D33" i="11"/>
  <c r="D36" i="11"/>
  <c r="D38" i="11"/>
  <c r="D40" i="11"/>
  <c r="C17" i="11"/>
  <c r="C31" i="1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/>
  <c r="E77" i="10"/>
  <c r="D78" i="10"/>
  <c r="D80" i="10"/>
  <c r="D77" i="10"/>
  <c r="C78" i="10"/>
  <c r="C80" i="10"/>
  <c r="C77" i="10"/>
  <c r="E73" i="10"/>
  <c r="E75" i="10"/>
  <c r="D73" i="10"/>
  <c r="D75" i="10"/>
  <c r="C73" i="10"/>
  <c r="C75" i="10"/>
  <c r="E71" i="10"/>
  <c r="D71" i="10"/>
  <c r="C71" i="10"/>
  <c r="E66" i="10"/>
  <c r="E65" i="10"/>
  <c r="D66" i="10"/>
  <c r="D65" i="10"/>
  <c r="C66" i="10"/>
  <c r="C65" i="10"/>
  <c r="E60" i="10"/>
  <c r="D60" i="10"/>
  <c r="C60" i="10"/>
  <c r="E59" i="10"/>
  <c r="E61" i="10"/>
  <c r="E57" i="10"/>
  <c r="E58" i="10"/>
  <c r="D58" i="10"/>
  <c r="C58" i="10"/>
  <c r="E55" i="10"/>
  <c r="E50" i="10"/>
  <c r="D55" i="10"/>
  <c r="C55" i="10"/>
  <c r="E54" i="10"/>
  <c r="D54" i="10"/>
  <c r="C54" i="10"/>
  <c r="C50" i="10"/>
  <c r="D50" i="10"/>
  <c r="E46" i="10"/>
  <c r="E48" i="10"/>
  <c r="E42" i="10"/>
  <c r="D46" i="10"/>
  <c r="D48" i="10"/>
  <c r="D42" i="10"/>
  <c r="C46" i="10"/>
  <c r="C59" i="10"/>
  <c r="C61" i="10"/>
  <c r="C57" i="10"/>
  <c r="E45" i="10"/>
  <c r="D45" i="10"/>
  <c r="C45" i="10"/>
  <c r="E38" i="10"/>
  <c r="D38" i="10"/>
  <c r="C38" i="10"/>
  <c r="E34" i="10"/>
  <c r="E33" i="10"/>
  <c r="D33" i="10"/>
  <c r="D34" i="10"/>
  <c r="E26" i="10"/>
  <c r="D26" i="10"/>
  <c r="C26" i="10"/>
  <c r="E13" i="10"/>
  <c r="E25" i="10"/>
  <c r="E27" i="10"/>
  <c r="E21" i="10"/>
  <c r="D13" i="10"/>
  <c r="D25" i="10"/>
  <c r="D27" i="10"/>
  <c r="C13" i="10"/>
  <c r="C25" i="10"/>
  <c r="C27" i="10"/>
  <c r="D46" i="9"/>
  <c r="E46" i="9"/>
  <c r="C46" i="9"/>
  <c r="F45" i="9"/>
  <c r="E45" i="9"/>
  <c r="E44" i="9"/>
  <c r="F44" i="9"/>
  <c r="D39" i="9"/>
  <c r="E39" i="9"/>
  <c r="C39" i="9"/>
  <c r="F38" i="9"/>
  <c r="E38" i="9"/>
  <c r="E37" i="9"/>
  <c r="F37" i="9"/>
  <c r="E36" i="9"/>
  <c r="F36" i="9"/>
  <c r="D31" i="9"/>
  <c r="C31" i="9"/>
  <c r="E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F18" i="9"/>
  <c r="E18" i="9"/>
  <c r="F17" i="9"/>
  <c r="E17" i="9"/>
  <c r="D16" i="9"/>
  <c r="D19" i="9"/>
  <c r="E16" i="9"/>
  <c r="F16" i="9"/>
  <c r="C16" i="9"/>
  <c r="C19" i="9"/>
  <c r="C33" i="9"/>
  <c r="C41" i="9"/>
  <c r="F15" i="9"/>
  <c r="E15" i="9"/>
  <c r="E14" i="9"/>
  <c r="F14" i="9"/>
  <c r="E13" i="9"/>
  <c r="F13" i="9"/>
  <c r="E12" i="9"/>
  <c r="F12" i="9"/>
  <c r="D73" i="8"/>
  <c r="E73" i="8"/>
  <c r="C73" i="8"/>
  <c r="F72" i="8"/>
  <c r="E72" i="8"/>
  <c r="F71" i="8"/>
  <c r="E71" i="8"/>
  <c r="F70" i="8"/>
  <c r="E70" i="8"/>
  <c r="F67" i="8"/>
  <c r="E67" i="8"/>
  <c r="F64" i="8"/>
  <c r="E64" i="8"/>
  <c r="F63" i="8"/>
  <c r="E63" i="8"/>
  <c r="D61" i="8"/>
  <c r="E61" i="8"/>
  <c r="F61" i="8"/>
  <c r="C61" i="8"/>
  <c r="C65" i="8"/>
  <c r="E60" i="8"/>
  <c r="F60" i="8"/>
  <c r="F59" i="8"/>
  <c r="E59" i="8"/>
  <c r="D56" i="8"/>
  <c r="C56" i="8"/>
  <c r="E56" i="8"/>
  <c r="E55" i="8"/>
  <c r="F55" i="8"/>
  <c r="E54" i="8"/>
  <c r="F54" i="8"/>
  <c r="F53" i="8"/>
  <c r="E53" i="8"/>
  <c r="F52" i="8"/>
  <c r="E52" i="8"/>
  <c r="F51" i="8"/>
  <c r="E51" i="8"/>
  <c r="E50" i="8"/>
  <c r="F50" i="8"/>
  <c r="A50" i="8"/>
  <c r="A51" i="8"/>
  <c r="A52" i="8"/>
  <c r="A53" i="8"/>
  <c r="A54" i="8"/>
  <c r="A55" i="8"/>
  <c r="E49" i="8"/>
  <c r="F49" i="8"/>
  <c r="F40" i="8"/>
  <c r="E40" i="8"/>
  <c r="D38" i="8"/>
  <c r="E38" i="8"/>
  <c r="F38" i="8"/>
  <c r="C38" i="8"/>
  <c r="C41" i="8"/>
  <c r="C43" i="8"/>
  <c r="F37" i="8"/>
  <c r="E37" i="8"/>
  <c r="F36" i="8"/>
  <c r="E36" i="8"/>
  <c r="F33" i="8"/>
  <c r="E33" i="8"/>
  <c r="F32" i="8"/>
  <c r="E32" i="8"/>
  <c r="F31" i="8"/>
  <c r="E31" i="8"/>
  <c r="D29" i="8"/>
  <c r="E29" i="8"/>
  <c r="F29" i="8"/>
  <c r="C29" i="8"/>
  <c r="F28" i="8"/>
  <c r="E28" i="8"/>
  <c r="F27" i="8"/>
  <c r="E27" i="8"/>
  <c r="F26" i="8"/>
  <c r="E26" i="8"/>
  <c r="F25" i="8"/>
  <c r="E25" i="8"/>
  <c r="D22" i="8"/>
  <c r="E22" i="8"/>
  <c r="F22" i="8"/>
  <c r="C22" i="8"/>
  <c r="E21" i="8"/>
  <c r="F21" i="8"/>
  <c r="E20" i="8"/>
  <c r="F20" i="8"/>
  <c r="E19" i="8"/>
  <c r="F19" i="8"/>
  <c r="F18" i="8"/>
  <c r="E18" i="8"/>
  <c r="F17" i="8"/>
  <c r="E17" i="8"/>
  <c r="F16" i="8"/>
  <c r="E16" i="8"/>
  <c r="E15" i="8"/>
  <c r="F15" i="8"/>
  <c r="E14" i="8"/>
  <c r="F14" i="8"/>
  <c r="E13" i="8"/>
  <c r="F13" i="8"/>
  <c r="D120" i="7"/>
  <c r="E120" i="7"/>
  <c r="C120" i="7"/>
  <c r="F120" i="7"/>
  <c r="D119" i="7"/>
  <c r="C119" i="7"/>
  <c r="E119" i="7"/>
  <c r="D118" i="7"/>
  <c r="E118" i="7"/>
  <c r="C118" i="7"/>
  <c r="F118" i="7"/>
  <c r="D117" i="7"/>
  <c r="C117" i="7"/>
  <c r="E117" i="7"/>
  <c r="D116" i="7"/>
  <c r="E116" i="7"/>
  <c r="C116" i="7"/>
  <c r="F116" i="7"/>
  <c r="D115" i="7"/>
  <c r="C115" i="7"/>
  <c r="E115" i="7"/>
  <c r="D114" i="7"/>
  <c r="E114" i="7"/>
  <c r="C114" i="7"/>
  <c r="F114" i="7"/>
  <c r="D113" i="7"/>
  <c r="C113" i="7"/>
  <c r="E113" i="7"/>
  <c r="D112" i="7"/>
  <c r="E112" i="7"/>
  <c r="F112" i="7"/>
  <c r="C112" i="7"/>
  <c r="C121" i="7"/>
  <c r="D108" i="7"/>
  <c r="E108" i="7"/>
  <c r="C108" i="7"/>
  <c r="F108" i="7"/>
  <c r="D107" i="7"/>
  <c r="E107" i="7"/>
  <c r="C107" i="7"/>
  <c r="F107" i="7"/>
  <c r="F106" i="7"/>
  <c r="E106" i="7"/>
  <c r="F105" i="7"/>
  <c r="E105" i="7"/>
  <c r="F104" i="7"/>
  <c r="E104" i="7"/>
  <c r="F103" i="7"/>
  <c r="E103" i="7"/>
  <c r="F102" i="7"/>
  <c r="E102" i="7"/>
  <c r="F101" i="7"/>
  <c r="E101" i="7"/>
  <c r="F100" i="7"/>
  <c r="E100" i="7"/>
  <c r="F99" i="7"/>
  <c r="E99" i="7"/>
  <c r="F98" i="7"/>
  <c r="E98" i="7"/>
  <c r="D96" i="7"/>
  <c r="E96" i="7"/>
  <c r="C96" i="7"/>
  <c r="F96" i="7"/>
  <c r="D95" i="7"/>
  <c r="E95" i="7"/>
  <c r="C95" i="7"/>
  <c r="F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D84" i="7"/>
  <c r="E84" i="7"/>
  <c r="C84" i="7"/>
  <c r="F84" i="7"/>
  <c r="D83" i="7"/>
  <c r="E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/>
  <c r="C72" i="7"/>
  <c r="F72" i="7"/>
  <c r="D71" i="7"/>
  <c r="E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E60" i="7"/>
  <c r="D59" i="7"/>
  <c r="E59" i="7"/>
  <c r="C59" i="7"/>
  <c r="F59" i="7"/>
  <c r="F58" i="7"/>
  <c r="E58" i="7"/>
  <c r="E57" i="7"/>
  <c r="F57" i="7"/>
  <c r="E56" i="7"/>
  <c r="F56" i="7"/>
  <c r="E55" i="7"/>
  <c r="F55" i="7"/>
  <c r="E54" i="7"/>
  <c r="F54" i="7"/>
  <c r="E53" i="7"/>
  <c r="F53" i="7"/>
  <c r="E52" i="7"/>
  <c r="F52" i="7"/>
  <c r="E51" i="7"/>
  <c r="F51" i="7"/>
  <c r="E50" i="7"/>
  <c r="F50" i="7"/>
  <c r="D48" i="7"/>
  <c r="E48" i="7"/>
  <c r="C48" i="7"/>
  <c r="F48" i="7"/>
  <c r="D47" i="7"/>
  <c r="E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E36" i="7"/>
  <c r="D35" i="7"/>
  <c r="E35" i="7"/>
  <c r="C35" i="7"/>
  <c r="F35" i="7"/>
  <c r="F34" i="7"/>
  <c r="E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E24" i="7"/>
  <c r="C24" i="7"/>
  <c r="F24" i="7"/>
  <c r="D23" i="7"/>
  <c r="E23" i="7"/>
  <c r="C23" i="7"/>
  <c r="F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206" i="6"/>
  <c r="D206" i="6"/>
  <c r="E206" i="6"/>
  <c r="C206" i="6"/>
  <c r="D205" i="6"/>
  <c r="E205" i="6"/>
  <c r="F205" i="6"/>
  <c r="C205" i="6"/>
  <c r="D204" i="6"/>
  <c r="C204" i="6"/>
  <c r="D203" i="6"/>
  <c r="E203" i="6"/>
  <c r="C203" i="6"/>
  <c r="F203" i="6"/>
  <c r="D202" i="6"/>
  <c r="C202" i="6"/>
  <c r="D201" i="6"/>
  <c r="E201" i="6"/>
  <c r="C201" i="6"/>
  <c r="F201" i="6"/>
  <c r="D200" i="6"/>
  <c r="C200" i="6"/>
  <c r="D199" i="6"/>
  <c r="D208" i="6"/>
  <c r="C199" i="6"/>
  <c r="D198" i="6"/>
  <c r="E198" i="6"/>
  <c r="F198" i="6"/>
  <c r="C198" i="6"/>
  <c r="C207" i="6"/>
  <c r="D193" i="6"/>
  <c r="E193" i="6"/>
  <c r="C193" i="6"/>
  <c r="D192" i="6"/>
  <c r="C192" i="6"/>
  <c r="F191" i="6"/>
  <c r="E191" i="6"/>
  <c r="E190" i="6"/>
  <c r="F190" i="6"/>
  <c r="E189" i="6"/>
  <c r="F189" i="6"/>
  <c r="E188" i="6"/>
  <c r="F188" i="6"/>
  <c r="E187" i="6"/>
  <c r="F187" i="6"/>
  <c r="E186" i="6"/>
  <c r="F186" i="6"/>
  <c r="E185" i="6"/>
  <c r="F185" i="6"/>
  <c r="E184" i="6"/>
  <c r="F184" i="6"/>
  <c r="E183" i="6"/>
  <c r="F183" i="6"/>
  <c r="D180" i="6"/>
  <c r="E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/>
  <c r="C154" i="6"/>
  <c r="F154" i="6"/>
  <c r="D153" i="6"/>
  <c r="E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/>
  <c r="C141" i="6"/>
  <c r="F141" i="6"/>
  <c r="D140" i="6"/>
  <c r="C140" i="6"/>
  <c r="F139" i="6"/>
  <c r="E139" i="6"/>
  <c r="E138" i="6"/>
  <c r="F138" i="6"/>
  <c r="E137" i="6"/>
  <c r="F137" i="6"/>
  <c r="E136" i="6"/>
  <c r="F136" i="6"/>
  <c r="E135" i="6"/>
  <c r="F135" i="6"/>
  <c r="E134" i="6"/>
  <c r="F134" i="6"/>
  <c r="E133" i="6"/>
  <c r="F133" i="6"/>
  <c r="E132" i="6"/>
  <c r="F132" i="6"/>
  <c r="E131" i="6"/>
  <c r="F131" i="6"/>
  <c r="D128" i="6"/>
  <c r="E128" i="6"/>
  <c r="C128" i="6"/>
  <c r="F128" i="6"/>
  <c r="D127" i="6"/>
  <c r="C127" i="6"/>
  <c r="F126" i="6"/>
  <c r="E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E115" i="6"/>
  <c r="C115" i="6"/>
  <c r="F115" i="6"/>
  <c r="D114" i="6"/>
  <c r="C114" i="6"/>
  <c r="F113" i="6"/>
  <c r="E113" i="6"/>
  <c r="E112" i="6"/>
  <c r="F112" i="6"/>
  <c r="E111" i="6"/>
  <c r="F111" i="6"/>
  <c r="E110" i="6"/>
  <c r="F110" i="6"/>
  <c r="E109" i="6"/>
  <c r="F109" i="6"/>
  <c r="E108" i="6"/>
  <c r="F108" i="6"/>
  <c r="E107" i="6"/>
  <c r="F107" i="6"/>
  <c r="E106" i="6"/>
  <c r="F106" i="6"/>
  <c r="E105" i="6"/>
  <c r="F105" i="6"/>
  <c r="D102" i="6"/>
  <c r="E102" i="6"/>
  <c r="C102" i="6"/>
  <c r="F102" i="6"/>
  <c r="D101" i="6"/>
  <c r="C101" i="6"/>
  <c r="F100" i="6"/>
  <c r="E100" i="6"/>
  <c r="E99" i="6"/>
  <c r="F99" i="6"/>
  <c r="E98" i="6"/>
  <c r="F98" i="6"/>
  <c r="E97" i="6"/>
  <c r="F97" i="6"/>
  <c r="E96" i="6"/>
  <c r="F96" i="6"/>
  <c r="E95" i="6"/>
  <c r="F95" i="6"/>
  <c r="E94" i="6"/>
  <c r="F94" i="6"/>
  <c r="E93" i="6"/>
  <c r="F93" i="6"/>
  <c r="E92" i="6"/>
  <c r="F92" i="6"/>
  <c r="D89" i="6"/>
  <c r="E89" i="6"/>
  <c r="C89" i="6"/>
  <c r="F89" i="6"/>
  <c r="D88" i="6"/>
  <c r="C88" i="6"/>
  <c r="F87" i="6"/>
  <c r="E87" i="6"/>
  <c r="E86" i="6"/>
  <c r="F86" i="6"/>
  <c r="E85" i="6"/>
  <c r="F85" i="6"/>
  <c r="E84" i="6"/>
  <c r="F84" i="6"/>
  <c r="E83" i="6"/>
  <c r="F83" i="6"/>
  <c r="E82" i="6"/>
  <c r="F82" i="6"/>
  <c r="E81" i="6"/>
  <c r="F81" i="6"/>
  <c r="E80" i="6"/>
  <c r="F80" i="6"/>
  <c r="E79" i="6"/>
  <c r="F79" i="6"/>
  <c r="D76" i="6"/>
  <c r="E76" i="6"/>
  <c r="C76" i="6"/>
  <c r="F76" i="6"/>
  <c r="D75" i="6"/>
  <c r="C75" i="6"/>
  <c r="F74" i="6"/>
  <c r="E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E63" i="6"/>
  <c r="C63" i="6"/>
  <c r="F63" i="6"/>
  <c r="D62" i="6"/>
  <c r="C62" i="6"/>
  <c r="F61" i="6"/>
  <c r="E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E50" i="6"/>
  <c r="C50" i="6"/>
  <c r="F50" i="6"/>
  <c r="D49" i="6"/>
  <c r="C49" i="6"/>
  <c r="F48" i="6"/>
  <c r="E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E37" i="6"/>
  <c r="C37" i="6"/>
  <c r="F37" i="6"/>
  <c r="D36" i="6"/>
  <c r="E36" i="6"/>
  <c r="C36" i="6"/>
  <c r="F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/>
  <c r="C24" i="6"/>
  <c r="F24" i="6"/>
  <c r="D23" i="6"/>
  <c r="C23" i="6"/>
  <c r="F22" i="6"/>
  <c r="E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E160" i="5"/>
  <c r="E166" i="5"/>
  <c r="D164" i="5"/>
  <c r="D160" i="5"/>
  <c r="D166" i="5"/>
  <c r="C164" i="5"/>
  <c r="E162" i="5"/>
  <c r="D162" i="5"/>
  <c r="C162" i="5"/>
  <c r="E161" i="5"/>
  <c r="D161" i="5"/>
  <c r="C161" i="5"/>
  <c r="C160" i="5"/>
  <c r="C166" i="5"/>
  <c r="E147" i="5"/>
  <c r="D147" i="5"/>
  <c r="D143" i="5"/>
  <c r="D149" i="5"/>
  <c r="C147" i="5"/>
  <c r="E145" i="5"/>
  <c r="D145" i="5"/>
  <c r="C145" i="5"/>
  <c r="E144" i="5"/>
  <c r="D144" i="5"/>
  <c r="C144" i="5"/>
  <c r="E143" i="5"/>
  <c r="E149" i="5"/>
  <c r="C143" i="5"/>
  <c r="C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E94" i="5"/>
  <c r="D95" i="5"/>
  <c r="D94" i="5"/>
  <c r="C95" i="5"/>
  <c r="C94" i="5"/>
  <c r="E89" i="5"/>
  <c r="D89" i="5"/>
  <c r="C89" i="5"/>
  <c r="C88" i="5"/>
  <c r="C90" i="5"/>
  <c r="C86" i="5"/>
  <c r="E87" i="5"/>
  <c r="D87" i="5"/>
  <c r="C87" i="5"/>
  <c r="E84" i="5"/>
  <c r="D84" i="5"/>
  <c r="D79" i="5"/>
  <c r="C84" i="5"/>
  <c r="E83" i="5"/>
  <c r="D83" i="5"/>
  <c r="C83" i="5"/>
  <c r="C79" i="5"/>
  <c r="E77" i="5"/>
  <c r="E71" i="5"/>
  <c r="C77" i="5"/>
  <c r="E75" i="5"/>
  <c r="E88" i="5"/>
  <c r="E90" i="5"/>
  <c r="E86" i="5"/>
  <c r="D75" i="5"/>
  <c r="C75" i="5"/>
  <c r="E74" i="5"/>
  <c r="D74" i="5"/>
  <c r="C74" i="5"/>
  <c r="E67" i="5"/>
  <c r="D67" i="5"/>
  <c r="C67" i="5"/>
  <c r="E38" i="5"/>
  <c r="E49" i="5"/>
  <c r="D38" i="5"/>
  <c r="D49" i="5"/>
  <c r="C38" i="5"/>
  <c r="C57" i="5"/>
  <c r="C62" i="5"/>
  <c r="E33" i="5"/>
  <c r="E34" i="5"/>
  <c r="D33" i="5"/>
  <c r="D34" i="5"/>
  <c r="E26" i="5"/>
  <c r="D26" i="5"/>
  <c r="C26" i="5"/>
  <c r="E25" i="5"/>
  <c r="E27" i="5"/>
  <c r="C15" i="5"/>
  <c r="E13" i="5"/>
  <c r="E15" i="5"/>
  <c r="E24" i="5"/>
  <c r="D13" i="5"/>
  <c r="C13" i="5"/>
  <c r="C25" i="5"/>
  <c r="C27" i="5"/>
  <c r="C21" i="5"/>
  <c r="F186" i="4"/>
  <c r="E186" i="4"/>
  <c r="D183" i="4"/>
  <c r="E183" i="4"/>
  <c r="F183" i="4"/>
  <c r="C183" i="4"/>
  <c r="F182" i="4"/>
  <c r="E182" i="4"/>
  <c r="F181" i="4"/>
  <c r="E181" i="4"/>
  <c r="F180" i="4"/>
  <c r="E180" i="4"/>
  <c r="E179" i="4"/>
  <c r="F179" i="4"/>
  <c r="F178" i="4"/>
  <c r="E178" i="4"/>
  <c r="F177" i="4"/>
  <c r="E177" i="4"/>
  <c r="E176" i="4"/>
  <c r="F176" i="4"/>
  <c r="E175" i="4"/>
  <c r="F175" i="4"/>
  <c r="F174" i="4"/>
  <c r="E174" i="4"/>
  <c r="F173" i="4"/>
  <c r="E173" i="4"/>
  <c r="F172" i="4"/>
  <c r="E172" i="4"/>
  <c r="E171" i="4"/>
  <c r="F171" i="4"/>
  <c r="E170" i="4"/>
  <c r="F170" i="4"/>
  <c r="D167" i="4"/>
  <c r="E167" i="4"/>
  <c r="C167" i="4"/>
  <c r="E166" i="4"/>
  <c r="F166" i="4"/>
  <c r="F165" i="4"/>
  <c r="E165" i="4"/>
  <c r="E164" i="4"/>
  <c r="F164" i="4"/>
  <c r="F163" i="4"/>
  <c r="E163" i="4"/>
  <c r="F162" i="4"/>
  <c r="E162" i="4"/>
  <c r="F161" i="4"/>
  <c r="E161" i="4"/>
  <c r="E160" i="4"/>
  <c r="F160" i="4"/>
  <c r="F159" i="4"/>
  <c r="E159" i="4"/>
  <c r="E158" i="4"/>
  <c r="F158" i="4"/>
  <c r="E157" i="4"/>
  <c r="F157" i="4"/>
  <c r="E156" i="4"/>
  <c r="F156" i="4"/>
  <c r="E155" i="4"/>
  <c r="F155" i="4"/>
  <c r="F154" i="4"/>
  <c r="E154" i="4"/>
  <c r="F153" i="4"/>
  <c r="E153" i="4"/>
  <c r="E152" i="4"/>
  <c r="F152" i="4"/>
  <c r="E151" i="4"/>
  <c r="F151" i="4"/>
  <c r="E150" i="4"/>
  <c r="F150" i="4"/>
  <c r="F149" i="4"/>
  <c r="E149" i="4"/>
  <c r="E148" i="4"/>
  <c r="F148" i="4"/>
  <c r="E147" i="4"/>
  <c r="F147" i="4"/>
  <c r="E146" i="4"/>
  <c r="F146" i="4"/>
  <c r="E145" i="4"/>
  <c r="F145" i="4"/>
  <c r="F144" i="4"/>
  <c r="E144" i="4"/>
  <c r="F143" i="4"/>
  <c r="E143" i="4"/>
  <c r="E142" i="4"/>
  <c r="F142" i="4"/>
  <c r="E141" i="4"/>
  <c r="F141" i="4"/>
  <c r="F140" i="4"/>
  <c r="E140" i="4"/>
  <c r="F139" i="4"/>
  <c r="E139" i="4"/>
  <c r="E138" i="4"/>
  <c r="F138" i="4"/>
  <c r="E137" i="4"/>
  <c r="F137" i="4"/>
  <c r="E136" i="4"/>
  <c r="F136" i="4"/>
  <c r="E135" i="4"/>
  <c r="F135" i="4"/>
  <c r="E134" i="4"/>
  <c r="F134" i="4"/>
  <c r="E133" i="4"/>
  <c r="F133" i="4"/>
  <c r="D130" i="4"/>
  <c r="C130" i="4"/>
  <c r="F129" i="4"/>
  <c r="E129" i="4"/>
  <c r="E128" i="4"/>
  <c r="F128" i="4"/>
  <c r="E127" i="4"/>
  <c r="F127" i="4"/>
  <c r="E126" i="4"/>
  <c r="F126" i="4"/>
  <c r="F125" i="4"/>
  <c r="E125" i="4"/>
  <c r="E124" i="4"/>
  <c r="F124" i="4"/>
  <c r="D121" i="4"/>
  <c r="E121" i="4"/>
  <c r="C121" i="4"/>
  <c r="E120" i="4"/>
  <c r="F120" i="4"/>
  <c r="E119" i="4"/>
  <c r="F119" i="4"/>
  <c r="E118" i="4"/>
  <c r="F118" i="4"/>
  <c r="E117" i="4"/>
  <c r="F117" i="4"/>
  <c r="E116" i="4"/>
  <c r="F116" i="4"/>
  <c r="E115" i="4"/>
  <c r="F115" i="4"/>
  <c r="E114" i="4"/>
  <c r="F114" i="4"/>
  <c r="E113" i="4"/>
  <c r="F113" i="4"/>
  <c r="E112" i="4"/>
  <c r="F112" i="4"/>
  <c r="E111" i="4"/>
  <c r="F111" i="4"/>
  <c r="E110" i="4"/>
  <c r="F110" i="4"/>
  <c r="E109" i="4"/>
  <c r="F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E93" i="4"/>
  <c r="F93" i="4"/>
  <c r="D90" i="4"/>
  <c r="C90" i="4"/>
  <c r="F89" i="4"/>
  <c r="E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D59" i="4"/>
  <c r="E59" i="4"/>
  <c r="F59" i="4"/>
  <c r="C59" i="4"/>
  <c r="F58" i="4"/>
  <c r="E58" i="4"/>
  <c r="F57" i="4"/>
  <c r="E57" i="4"/>
  <c r="F56" i="4"/>
  <c r="E56" i="4"/>
  <c r="F55" i="4"/>
  <c r="E55" i="4"/>
  <c r="F54" i="4"/>
  <c r="E54" i="4"/>
  <c r="F53" i="4"/>
  <c r="E53" i="4"/>
  <c r="F50" i="4"/>
  <c r="E50" i="4"/>
  <c r="F47" i="4"/>
  <c r="E47" i="4"/>
  <c r="F44" i="4"/>
  <c r="E44" i="4"/>
  <c r="D41" i="4"/>
  <c r="E41" i="4"/>
  <c r="F41" i="4"/>
  <c r="C41" i="4"/>
  <c r="F40" i="4"/>
  <c r="E40" i="4"/>
  <c r="F39" i="4"/>
  <c r="E39" i="4"/>
  <c r="F38" i="4"/>
  <c r="E38" i="4"/>
  <c r="D35" i="4"/>
  <c r="E35" i="4"/>
  <c r="F35" i="4"/>
  <c r="C35" i="4"/>
  <c r="F34" i="4"/>
  <c r="E34" i="4"/>
  <c r="F33" i="4"/>
  <c r="E33" i="4"/>
  <c r="D30" i="4"/>
  <c r="E30" i="4"/>
  <c r="F30" i="4"/>
  <c r="C30" i="4"/>
  <c r="F29" i="4"/>
  <c r="E29" i="4"/>
  <c r="F28" i="4"/>
  <c r="E28" i="4"/>
  <c r="F27" i="4"/>
  <c r="E27" i="4"/>
  <c r="D24" i="4"/>
  <c r="E24" i="4"/>
  <c r="F24" i="4"/>
  <c r="C24" i="4"/>
  <c r="F23" i="4"/>
  <c r="E23" i="4"/>
  <c r="F22" i="4"/>
  <c r="E22" i="4"/>
  <c r="F21" i="4"/>
  <c r="E21" i="4"/>
  <c r="D18" i="4"/>
  <c r="E18" i="4"/>
  <c r="F18" i="4"/>
  <c r="C18" i="4"/>
  <c r="F17" i="4"/>
  <c r="E17" i="4"/>
  <c r="F16" i="4"/>
  <c r="E16" i="4"/>
  <c r="F15" i="4"/>
  <c r="E15" i="4"/>
  <c r="D179" i="3"/>
  <c r="E179" i="3"/>
  <c r="F179" i="3"/>
  <c r="C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D166" i="3"/>
  <c r="E166" i="3"/>
  <c r="F166" i="3"/>
  <c r="C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D153" i="3"/>
  <c r="E153" i="3"/>
  <c r="F153" i="3"/>
  <c r="C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D137" i="3"/>
  <c r="E137" i="3"/>
  <c r="F137" i="3"/>
  <c r="C137" i="3"/>
  <c r="F136" i="3"/>
  <c r="E136" i="3"/>
  <c r="F135" i="3"/>
  <c r="E135" i="3"/>
  <c r="F134" i="3"/>
  <c r="E134" i="3"/>
  <c r="F133" i="3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F126" i="3"/>
  <c r="E126" i="3"/>
  <c r="D124" i="3"/>
  <c r="E124" i="3"/>
  <c r="F124" i="3"/>
  <c r="C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D111" i="3"/>
  <c r="E111" i="3"/>
  <c r="F111" i="3"/>
  <c r="C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D94" i="3"/>
  <c r="E94" i="3"/>
  <c r="F94" i="3"/>
  <c r="C94" i="3"/>
  <c r="F93" i="3"/>
  <c r="D93" i="3"/>
  <c r="E93" i="3"/>
  <c r="C93" i="3"/>
  <c r="D92" i="3"/>
  <c r="E92" i="3"/>
  <c r="F92" i="3"/>
  <c r="C92" i="3"/>
  <c r="D91" i="3"/>
  <c r="E91" i="3"/>
  <c r="F91" i="3"/>
  <c r="C91" i="3"/>
  <c r="D90" i="3"/>
  <c r="E90" i="3"/>
  <c r="F90" i="3"/>
  <c r="C90" i="3"/>
  <c r="F89" i="3"/>
  <c r="D89" i="3"/>
  <c r="E89" i="3"/>
  <c r="C89" i="3"/>
  <c r="D88" i="3"/>
  <c r="E88" i="3"/>
  <c r="F88" i="3"/>
  <c r="C88" i="3"/>
  <c r="D87" i="3"/>
  <c r="E87" i="3"/>
  <c r="F87" i="3"/>
  <c r="C87" i="3"/>
  <c r="D86" i="3"/>
  <c r="E86" i="3"/>
  <c r="F86" i="3"/>
  <c r="C86" i="3"/>
  <c r="D85" i="3"/>
  <c r="E85" i="3"/>
  <c r="F85" i="3"/>
  <c r="C85" i="3"/>
  <c r="D84" i="3"/>
  <c r="E84" i="3"/>
  <c r="F84" i="3"/>
  <c r="C84" i="3"/>
  <c r="C95" i="3"/>
  <c r="D81" i="3"/>
  <c r="C81" i="3"/>
  <c r="E80" i="3"/>
  <c r="F80" i="3"/>
  <c r="F79" i="3"/>
  <c r="E79" i="3"/>
  <c r="E78" i="3"/>
  <c r="F78" i="3"/>
  <c r="E77" i="3"/>
  <c r="F77" i="3"/>
  <c r="E76" i="3"/>
  <c r="F76" i="3"/>
  <c r="F75" i="3"/>
  <c r="E75" i="3"/>
  <c r="E74" i="3"/>
  <c r="F74" i="3"/>
  <c r="E73" i="3"/>
  <c r="F73" i="3"/>
  <c r="E72" i="3"/>
  <c r="F72" i="3"/>
  <c r="E71" i="3"/>
  <c r="F71" i="3"/>
  <c r="E70" i="3"/>
  <c r="F70" i="3"/>
  <c r="D68" i="3"/>
  <c r="E68" i="3"/>
  <c r="C68" i="3"/>
  <c r="F68" i="3"/>
  <c r="E67" i="3"/>
  <c r="F67" i="3"/>
  <c r="F66" i="3"/>
  <c r="E66" i="3"/>
  <c r="E65" i="3"/>
  <c r="F65" i="3"/>
  <c r="E64" i="3"/>
  <c r="F64" i="3"/>
  <c r="E63" i="3"/>
  <c r="F63" i="3"/>
  <c r="F62" i="3"/>
  <c r="E62" i="3"/>
  <c r="E61" i="3"/>
  <c r="F61" i="3"/>
  <c r="E60" i="3"/>
  <c r="F60" i="3"/>
  <c r="E59" i="3"/>
  <c r="F59" i="3"/>
  <c r="E58" i="3"/>
  <c r="F58" i="3"/>
  <c r="E57" i="3"/>
  <c r="F57" i="3"/>
  <c r="D51" i="3"/>
  <c r="C51" i="3"/>
  <c r="D50" i="3"/>
  <c r="E50" i="3"/>
  <c r="C50" i="3"/>
  <c r="F50" i="3"/>
  <c r="D49" i="3"/>
  <c r="C49" i="3"/>
  <c r="D48" i="3"/>
  <c r="E48" i="3"/>
  <c r="C48" i="3"/>
  <c r="D47" i="3"/>
  <c r="C47" i="3"/>
  <c r="D46" i="3"/>
  <c r="E46" i="3"/>
  <c r="C46" i="3"/>
  <c r="F46" i="3"/>
  <c r="D45" i="3"/>
  <c r="C45" i="3"/>
  <c r="D44" i="3"/>
  <c r="E44" i="3"/>
  <c r="C44" i="3"/>
  <c r="D43" i="3"/>
  <c r="C43" i="3"/>
  <c r="D42" i="3"/>
  <c r="E42" i="3"/>
  <c r="C42" i="3"/>
  <c r="D41" i="3"/>
  <c r="C41" i="3"/>
  <c r="D38" i="3"/>
  <c r="E38" i="3"/>
  <c r="F38" i="3"/>
  <c r="C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D25" i="3"/>
  <c r="E25" i="3"/>
  <c r="F25" i="3"/>
  <c r="C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49" i="2"/>
  <c r="E49" i="2"/>
  <c r="D46" i="2"/>
  <c r="E46" i="2"/>
  <c r="F46" i="2"/>
  <c r="C46" i="2"/>
  <c r="F45" i="2"/>
  <c r="E45" i="2"/>
  <c r="F44" i="2"/>
  <c r="E44" i="2"/>
  <c r="D39" i="2"/>
  <c r="E39" i="2"/>
  <c r="C39" i="2"/>
  <c r="F38" i="2"/>
  <c r="E38" i="2"/>
  <c r="F37" i="2"/>
  <c r="E37" i="2"/>
  <c r="E36" i="2"/>
  <c r="F36" i="2"/>
  <c r="D31" i="2"/>
  <c r="E31" i="2"/>
  <c r="F31" i="2"/>
  <c r="C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18" i="2"/>
  <c r="E18" i="2"/>
  <c r="F17" i="2"/>
  <c r="E17" i="2"/>
  <c r="D16" i="2"/>
  <c r="D19" i="2"/>
  <c r="C16" i="2"/>
  <c r="C19" i="2"/>
  <c r="C33" i="2"/>
  <c r="F15" i="2"/>
  <c r="E15" i="2"/>
  <c r="F14" i="2"/>
  <c r="E14" i="2"/>
  <c r="F13" i="2"/>
  <c r="E13" i="2"/>
  <c r="F12" i="2"/>
  <c r="E12" i="2"/>
  <c r="D73" i="1"/>
  <c r="E73" i="1"/>
  <c r="F73" i="1"/>
  <c r="C73" i="1"/>
  <c r="F72" i="1"/>
  <c r="E72" i="1"/>
  <c r="F71" i="1"/>
  <c r="E71" i="1"/>
  <c r="F70" i="1"/>
  <c r="E70" i="1"/>
  <c r="F67" i="1"/>
  <c r="E67" i="1"/>
  <c r="F64" i="1"/>
  <c r="E64" i="1"/>
  <c r="F63" i="1"/>
  <c r="E63" i="1"/>
  <c r="D61" i="1"/>
  <c r="D65" i="1"/>
  <c r="C61" i="1"/>
  <c r="C65" i="1"/>
  <c r="E60" i="1"/>
  <c r="F60" i="1"/>
  <c r="F59" i="1"/>
  <c r="E59" i="1"/>
  <c r="D56" i="1"/>
  <c r="C56" i="1"/>
  <c r="E55" i="1"/>
  <c r="F55" i="1"/>
  <c r="E54" i="1"/>
  <c r="F54" i="1"/>
  <c r="F53" i="1"/>
  <c r="E53" i="1"/>
  <c r="F52" i="1"/>
  <c r="E52" i="1"/>
  <c r="E51" i="1"/>
  <c r="F51" i="1"/>
  <c r="E50" i="1"/>
  <c r="F50" i="1"/>
  <c r="A50" i="1"/>
  <c r="A51" i="1"/>
  <c r="A52" i="1"/>
  <c r="A53" i="1"/>
  <c r="A54" i="1"/>
  <c r="A55" i="1"/>
  <c r="E49" i="1"/>
  <c r="F49" i="1"/>
  <c r="E40" i="1"/>
  <c r="F40" i="1"/>
  <c r="D38" i="1"/>
  <c r="C38" i="1"/>
  <c r="F37" i="1"/>
  <c r="E37" i="1"/>
  <c r="F36" i="1"/>
  <c r="E36" i="1"/>
  <c r="F33" i="1"/>
  <c r="E33" i="1"/>
  <c r="F32" i="1"/>
  <c r="E32" i="1"/>
  <c r="F31" i="1"/>
  <c r="E31" i="1"/>
  <c r="D29" i="1"/>
  <c r="E29" i="1"/>
  <c r="F29" i="1"/>
  <c r="C29" i="1"/>
  <c r="F28" i="1"/>
  <c r="E28" i="1"/>
  <c r="F27" i="1"/>
  <c r="E27" i="1"/>
  <c r="F26" i="1"/>
  <c r="E26" i="1"/>
  <c r="F25" i="1"/>
  <c r="E25" i="1"/>
  <c r="D22" i="1"/>
  <c r="C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D207" i="14"/>
  <c r="D208" i="14"/>
  <c r="E137" i="14"/>
  <c r="F44" i="14"/>
  <c r="F67" i="14"/>
  <c r="D68" i="14"/>
  <c r="D146" i="14"/>
  <c r="E146" i="14"/>
  <c r="F146" i="14"/>
  <c r="D283" i="14"/>
  <c r="C75" i="1"/>
  <c r="E139" i="5"/>
  <c r="E137" i="5"/>
  <c r="E138" i="5"/>
  <c r="C137" i="5"/>
  <c r="C135" i="5"/>
  <c r="C136" i="5"/>
  <c r="C156" i="5"/>
  <c r="C153" i="5"/>
  <c r="C155" i="5"/>
  <c r="D15" i="5"/>
  <c r="D25" i="5"/>
  <c r="D27" i="5"/>
  <c r="E53" i="5"/>
  <c r="E43" i="5"/>
  <c r="D77" i="5"/>
  <c r="D71" i="5"/>
  <c r="D88" i="5"/>
  <c r="D90" i="5"/>
  <c r="D86" i="5"/>
  <c r="D157" i="5"/>
  <c r="G36" i="11"/>
  <c r="G38" i="11"/>
  <c r="G40" i="11"/>
  <c r="D52" i="3"/>
  <c r="D188" i="4"/>
  <c r="E22" i="1"/>
  <c r="F22" i="1"/>
  <c r="E56" i="1"/>
  <c r="F56" i="1"/>
  <c r="E61" i="1"/>
  <c r="F61" i="1"/>
  <c r="E16" i="2"/>
  <c r="F16" i="2"/>
  <c r="D139" i="5"/>
  <c r="D121" i="7"/>
  <c r="E121" i="7"/>
  <c r="F121" i="7"/>
  <c r="D41" i="8"/>
  <c r="C75" i="8"/>
  <c r="E19" i="9"/>
  <c r="F36" i="11"/>
  <c r="F38" i="11"/>
  <c r="F40" i="11"/>
  <c r="D33" i="9"/>
  <c r="E17" i="5"/>
  <c r="E152" i="5"/>
  <c r="E154" i="5"/>
  <c r="C24" i="5"/>
  <c r="C20" i="5"/>
  <c r="C17" i="5"/>
  <c r="C43" i="5"/>
  <c r="C53" i="5"/>
  <c r="D41" i="1"/>
  <c r="D95" i="4"/>
  <c r="D95" i="3"/>
  <c r="E95" i="3"/>
  <c r="F95" i="3"/>
  <c r="C49" i="5"/>
  <c r="E57" i="5"/>
  <c r="E62" i="5"/>
  <c r="C71" i="5"/>
  <c r="E79" i="5"/>
  <c r="D109" i="5"/>
  <c r="D106" i="5"/>
  <c r="D122" i="7"/>
  <c r="D65" i="8"/>
  <c r="E65" i="8"/>
  <c r="F65" i="8"/>
  <c r="D138" i="5"/>
  <c r="D136" i="5"/>
  <c r="C48" i="9"/>
  <c r="D21" i="10"/>
  <c r="C21" i="10"/>
  <c r="D207" i="6"/>
  <c r="E207" i="6"/>
  <c r="F207" i="6"/>
  <c r="F19" i="9"/>
  <c r="D43" i="15"/>
  <c r="E38" i="15"/>
  <c r="D71" i="15"/>
  <c r="D65" i="15"/>
  <c r="D289" i="15"/>
  <c r="E289" i="15"/>
  <c r="E60" i="15"/>
  <c r="D144" i="15"/>
  <c r="D175" i="15"/>
  <c r="E175" i="15"/>
  <c r="E139" i="15"/>
  <c r="D320" i="15"/>
  <c r="E320" i="15"/>
  <c r="E316" i="15"/>
  <c r="D330" i="15"/>
  <c r="E330" i="15"/>
  <c r="E326" i="15"/>
  <c r="E109" i="19"/>
  <c r="E108" i="19"/>
  <c r="D57" i="5"/>
  <c r="D62" i="5"/>
  <c r="D15" i="10"/>
  <c r="D59" i="10"/>
  <c r="D61" i="10"/>
  <c r="D57" i="10"/>
  <c r="D31" i="11"/>
  <c r="C21" i="14"/>
  <c r="E29" i="14"/>
  <c r="F29" i="14"/>
  <c r="C32" i="14"/>
  <c r="E47" i="14"/>
  <c r="F47" i="14"/>
  <c r="E58" i="14"/>
  <c r="F58" i="14"/>
  <c r="C61" i="14"/>
  <c r="C77" i="14"/>
  <c r="E77" i="14"/>
  <c r="C89" i="14"/>
  <c r="E95" i="14"/>
  <c r="F95" i="14"/>
  <c r="E120" i="14"/>
  <c r="F120" i="14"/>
  <c r="E129" i="14"/>
  <c r="F129" i="14"/>
  <c r="F145" i="14"/>
  <c r="F180" i="14"/>
  <c r="F223" i="14"/>
  <c r="E227" i="14"/>
  <c r="F227" i="14"/>
  <c r="E229" i="14"/>
  <c r="F229" i="14"/>
  <c r="C239" i="14"/>
  <c r="C262" i="14"/>
  <c r="F295" i="14"/>
  <c r="F299" i="14"/>
  <c r="E243" i="15"/>
  <c r="E20" i="17"/>
  <c r="F20" i="17"/>
  <c r="E40" i="17"/>
  <c r="C277" i="14"/>
  <c r="C261" i="14"/>
  <c r="C254" i="14"/>
  <c r="E188" i="14"/>
  <c r="F188" i="14"/>
  <c r="C285" i="14"/>
  <c r="C269" i="14"/>
  <c r="C283" i="15"/>
  <c r="C22" i="15"/>
  <c r="C284" i="15"/>
  <c r="D33" i="15"/>
  <c r="D294" i="15"/>
  <c r="E32" i="15"/>
  <c r="E220" i="15"/>
  <c r="D244" i="15"/>
  <c r="E244" i="15"/>
  <c r="C41" i="17"/>
  <c r="D109" i="19"/>
  <c r="D108" i="19"/>
  <c r="F52" i="14"/>
  <c r="F60" i="14"/>
  <c r="F66" i="14"/>
  <c r="C68" i="14"/>
  <c r="F76" i="14"/>
  <c r="F88" i="14"/>
  <c r="C102" i="14"/>
  <c r="C190" i="14"/>
  <c r="D222" i="15"/>
  <c r="D223" i="15"/>
  <c r="F40" i="17"/>
  <c r="D55" i="15"/>
  <c r="E55" i="15"/>
  <c r="E54" i="15"/>
  <c r="D189" i="15"/>
  <c r="D261" i="15"/>
  <c r="E261" i="15"/>
  <c r="E188" i="15"/>
  <c r="E205" i="15"/>
  <c r="D210" i="15"/>
  <c r="E216" i="15"/>
  <c r="D240" i="15"/>
  <c r="E240" i="15"/>
  <c r="D242" i="15"/>
  <c r="E218" i="15"/>
  <c r="D217" i="15"/>
  <c r="C108" i="19"/>
  <c r="C109" i="19"/>
  <c r="D209" i="14"/>
  <c r="D104" i="14"/>
  <c r="D174" i="14"/>
  <c r="I17" i="11"/>
  <c r="F31" i="11"/>
  <c r="H31" i="11"/>
  <c r="E20" i="14"/>
  <c r="F20" i="14"/>
  <c r="C48" i="14"/>
  <c r="F101" i="14"/>
  <c r="F136" i="14"/>
  <c r="F137" i="14"/>
  <c r="C159" i="14"/>
  <c r="F170" i="14"/>
  <c r="F171" i="14"/>
  <c r="C181" i="14"/>
  <c r="E189" i="14"/>
  <c r="C199" i="14"/>
  <c r="C207" i="14"/>
  <c r="E226" i="14"/>
  <c r="F226" i="14"/>
  <c r="F238" i="14"/>
  <c r="C274" i="14"/>
  <c r="C44" i="15"/>
  <c r="E69" i="15"/>
  <c r="E221" i="15"/>
  <c r="D90" i="14"/>
  <c r="D272" i="14"/>
  <c r="C215" i="14"/>
  <c r="F189" i="14"/>
  <c r="C267" i="14"/>
  <c r="C283" i="14"/>
  <c r="C205" i="14"/>
  <c r="F203" i="14"/>
  <c r="C145" i="15"/>
  <c r="D175" i="14"/>
  <c r="D62" i="14"/>
  <c r="D210" i="14"/>
  <c r="D105" i="14"/>
  <c r="D254" i="14"/>
  <c r="H17" i="11"/>
  <c r="F35" i="14"/>
  <c r="C37" i="14"/>
  <c r="F94" i="14"/>
  <c r="F204" i="14"/>
  <c r="C214" i="14"/>
  <c r="C304" i="14"/>
  <c r="C278" i="14"/>
  <c r="D44" i="15"/>
  <c r="E163" i="15"/>
  <c r="C222" i="15"/>
  <c r="E219" i="15"/>
  <c r="E111" i="14"/>
  <c r="F111" i="14"/>
  <c r="F250" i="14"/>
  <c r="E233" i="15"/>
  <c r="D239" i="15"/>
  <c r="E239" i="15"/>
  <c r="C242" i="15"/>
  <c r="E251" i="15"/>
  <c r="C22" i="16"/>
  <c r="E22" i="19"/>
  <c r="D34" i="19"/>
  <c r="D102" i="19"/>
  <c r="D103" i="19"/>
  <c r="D125" i="14"/>
  <c r="D138" i="14"/>
  <c r="E138" i="14"/>
  <c r="F138" i="14"/>
  <c r="D161" i="14"/>
  <c r="D277" i="14"/>
  <c r="D285" i="14"/>
  <c r="E285" i="14"/>
  <c r="E314" i="15"/>
  <c r="D22" i="19"/>
  <c r="C54" i="19"/>
  <c r="D160" i="14"/>
  <c r="D192" i="14"/>
  <c r="E192" i="14"/>
  <c r="F192" i="14"/>
  <c r="D200" i="14"/>
  <c r="D206" i="14"/>
  <c r="E206" i="14"/>
  <c r="F206" i="14"/>
  <c r="D274" i="14"/>
  <c r="D280" i="14"/>
  <c r="E231" i="15"/>
  <c r="E324" i="15"/>
  <c r="E19" i="17"/>
  <c r="F19" i="17"/>
  <c r="E39" i="17"/>
  <c r="E41" i="17"/>
  <c r="E43" i="17"/>
  <c r="D23" i="19"/>
  <c r="E101" i="19"/>
  <c r="E103" i="19"/>
  <c r="C111" i="19"/>
  <c r="D49" i="14"/>
  <c r="D91" i="14"/>
  <c r="D199" i="14"/>
  <c r="E199" i="14"/>
  <c r="D205" i="14"/>
  <c r="D215" i="14"/>
  <c r="D261" i="14"/>
  <c r="C30" i="19"/>
  <c r="C36" i="19"/>
  <c r="C40" i="19"/>
  <c r="D190" i="14"/>
  <c r="E190" i="14"/>
  <c r="D139" i="14"/>
  <c r="D53" i="19"/>
  <c r="D45" i="19"/>
  <c r="D39" i="19"/>
  <c r="D35" i="19"/>
  <c r="D29" i="19"/>
  <c r="D110" i="19"/>
  <c r="D63" i="14"/>
  <c r="D268" i="14"/>
  <c r="D271" i="14"/>
  <c r="D263" i="14"/>
  <c r="E261" i="14"/>
  <c r="D46" i="19"/>
  <c r="D40" i="19"/>
  <c r="D36" i="19"/>
  <c r="D30" i="19"/>
  <c r="D111" i="19"/>
  <c r="D54" i="19"/>
  <c r="D211" i="14"/>
  <c r="E207" i="14"/>
  <c r="F207" i="14"/>
  <c r="C208" i="14"/>
  <c r="C210" i="14"/>
  <c r="C103" i="14"/>
  <c r="E102" i="14"/>
  <c r="F102" i="14"/>
  <c r="E262" i="14"/>
  <c r="F262" i="14"/>
  <c r="C272" i="14"/>
  <c r="E32" i="14"/>
  <c r="F32" i="14"/>
  <c r="C105" i="14"/>
  <c r="C140" i="14"/>
  <c r="C62" i="14"/>
  <c r="E144" i="15"/>
  <c r="D145" i="15"/>
  <c r="D180" i="15"/>
  <c r="D76" i="15"/>
  <c r="C28" i="5"/>
  <c r="C112" i="5"/>
  <c r="C111" i="5"/>
  <c r="D24" i="5"/>
  <c r="D17" i="5"/>
  <c r="E274" i="14"/>
  <c r="E242" i="15"/>
  <c r="D288" i="14"/>
  <c r="D253" i="15"/>
  <c r="D75" i="8"/>
  <c r="E75" i="8"/>
  <c r="F75" i="8"/>
  <c r="E280" i="14"/>
  <c r="F280" i="14"/>
  <c r="E278" i="14"/>
  <c r="F278" i="14"/>
  <c r="C288" i="14"/>
  <c r="C90" i="14"/>
  <c r="E48" i="14"/>
  <c r="C160" i="14"/>
  <c r="F48" i="14"/>
  <c r="D234" i="15"/>
  <c r="D211" i="15"/>
  <c r="D246" i="15"/>
  <c r="E222" i="15"/>
  <c r="E68" i="14"/>
  <c r="F68" i="14"/>
  <c r="E89" i="14"/>
  <c r="F89" i="14"/>
  <c r="D66" i="15"/>
  <c r="E33" i="9"/>
  <c r="F33" i="9"/>
  <c r="D41" i="9"/>
  <c r="D20" i="5"/>
  <c r="D21" i="5"/>
  <c r="C41" i="2"/>
  <c r="F190" i="14"/>
  <c r="D300" i="14"/>
  <c r="F39" i="17"/>
  <c r="D286" i="14"/>
  <c r="D255" i="14"/>
  <c r="E255" i="14"/>
  <c r="F255" i="14"/>
  <c r="E215" i="14"/>
  <c r="F215" i="14"/>
  <c r="E46" i="17"/>
  <c r="F46" i="17"/>
  <c r="F43" i="17"/>
  <c r="C56" i="19"/>
  <c r="C48" i="19"/>
  <c r="C38" i="19"/>
  <c r="C113" i="19"/>
  <c r="D162" i="14"/>
  <c r="C223" i="15"/>
  <c r="D106" i="14"/>
  <c r="E105" i="14"/>
  <c r="D176" i="14"/>
  <c r="C270" i="14"/>
  <c r="E267" i="14"/>
  <c r="F267" i="14"/>
  <c r="E181" i="14"/>
  <c r="F181" i="14"/>
  <c r="D50" i="14"/>
  <c r="E110" i="19"/>
  <c r="E53" i="19"/>
  <c r="E45" i="19"/>
  <c r="E39" i="19"/>
  <c r="E35" i="19"/>
  <c r="E29" i="19"/>
  <c r="D99" i="15"/>
  <c r="D95" i="15"/>
  <c r="D88" i="15"/>
  <c r="D84" i="15"/>
  <c r="E44" i="15"/>
  <c r="D258" i="15"/>
  <c r="D101" i="15"/>
  <c r="E101" i="15"/>
  <c r="D97" i="15"/>
  <c r="D86" i="15"/>
  <c r="D100" i="15"/>
  <c r="D89" i="15"/>
  <c r="E89" i="15"/>
  <c r="D98" i="15"/>
  <c r="D87" i="15"/>
  <c r="E87" i="15"/>
  <c r="D96" i="15"/>
  <c r="D85" i="15"/>
  <c r="D83" i="15"/>
  <c r="E37" i="14"/>
  <c r="F37" i="14"/>
  <c r="E254" i="14"/>
  <c r="F254" i="14"/>
  <c r="C169" i="15"/>
  <c r="C286" i="14"/>
  <c r="E283" i="14"/>
  <c r="F283" i="14"/>
  <c r="C258" i="15"/>
  <c r="C98" i="15"/>
  <c r="C87" i="15"/>
  <c r="C83" i="15"/>
  <c r="C100" i="15"/>
  <c r="C96" i="15"/>
  <c r="C89" i="15"/>
  <c r="C85" i="15"/>
  <c r="C95" i="15"/>
  <c r="C84" i="15"/>
  <c r="C90" i="15"/>
  <c r="C101" i="15"/>
  <c r="C99" i="15"/>
  <c r="C88" i="15"/>
  <c r="E88" i="15"/>
  <c r="C97" i="15"/>
  <c r="C86" i="15"/>
  <c r="E86" i="15"/>
  <c r="E159" i="14"/>
  <c r="F159" i="14"/>
  <c r="D241" i="15"/>
  <c r="E217" i="15"/>
  <c r="D295" i="15"/>
  <c r="E33" i="15"/>
  <c r="C287" i="14"/>
  <c r="C279" i="14"/>
  <c r="C284" i="14"/>
  <c r="C161" i="14"/>
  <c r="C49" i="14"/>
  <c r="E21" i="14"/>
  <c r="F21" i="14"/>
  <c r="C91" i="14"/>
  <c r="D24" i="10"/>
  <c r="D20" i="10"/>
  <c r="D17" i="10"/>
  <c r="D28" i="10"/>
  <c r="D259" i="15"/>
  <c r="E43" i="15"/>
  <c r="E205" i="14"/>
  <c r="F205" i="14"/>
  <c r="E160" i="14"/>
  <c r="D193" i="14"/>
  <c r="D140" i="14"/>
  <c r="E272" i="14"/>
  <c r="F41" i="17"/>
  <c r="F285" i="14"/>
  <c r="D43" i="1"/>
  <c r="D92" i="14"/>
  <c r="E91" i="14"/>
  <c r="D287" i="14"/>
  <c r="D279" i="14"/>
  <c r="E279" i="14"/>
  <c r="D284" i="14"/>
  <c r="E284" i="14"/>
  <c r="F284" i="14"/>
  <c r="E277" i="14"/>
  <c r="F277" i="14"/>
  <c r="C216" i="14"/>
  <c r="E214" i="14"/>
  <c r="F214" i="14"/>
  <c r="E269" i="14"/>
  <c r="F269" i="14"/>
  <c r="C271" i="14"/>
  <c r="C263" i="14"/>
  <c r="F261" i="14"/>
  <c r="C268" i="14"/>
  <c r="E239" i="14"/>
  <c r="F239" i="14"/>
  <c r="C209" i="14"/>
  <c r="C104" i="14"/>
  <c r="C139" i="14"/>
  <c r="E61" i="14"/>
  <c r="F61" i="14"/>
  <c r="E28" i="5"/>
  <c r="E112" i="5"/>
  <c r="E111" i="5"/>
  <c r="D216" i="14"/>
  <c r="E216" i="14"/>
  <c r="F274" i="14"/>
  <c r="F199" i="14"/>
  <c r="E104" i="14"/>
  <c r="D252" i="15"/>
  <c r="C273" i="14"/>
  <c r="D324" i="14"/>
  <c r="D113" i="14"/>
  <c r="D194" i="14"/>
  <c r="D282" i="14"/>
  <c r="D266" i="14"/>
  <c r="C50" i="14"/>
  <c r="D141" i="14"/>
  <c r="E140" i="14"/>
  <c r="F140" i="14"/>
  <c r="E96" i="15"/>
  <c r="D102" i="15"/>
  <c r="E258" i="15"/>
  <c r="D103" i="15"/>
  <c r="E95" i="15"/>
  <c r="C99" i="5"/>
  <c r="C101" i="5"/>
  <c r="C98" i="5"/>
  <c r="C22" i="5"/>
  <c r="D181" i="15"/>
  <c r="E145" i="15"/>
  <c r="C141" i="14"/>
  <c r="E103" i="14"/>
  <c r="F103" i="14"/>
  <c r="D47" i="19"/>
  <c r="D37" i="19"/>
  <c r="D112" i="19"/>
  <c r="D55" i="19"/>
  <c r="E100" i="15"/>
  <c r="E49" i="14"/>
  <c r="F49" i="14"/>
  <c r="E286" i="14"/>
  <c r="E288" i="14"/>
  <c r="E268" i="14"/>
  <c r="F268" i="14"/>
  <c r="D247" i="15"/>
  <c r="C289" i="14"/>
  <c r="C291" i="14"/>
  <c r="C48" i="2"/>
  <c r="D48" i="9"/>
  <c r="E48" i="9"/>
  <c r="F48" i="9"/>
  <c r="E41" i="9"/>
  <c r="F41" i="9"/>
  <c r="C63" i="14"/>
  <c r="D304" i="14"/>
  <c r="D273" i="14"/>
  <c r="E273" i="14"/>
  <c r="E271" i="14"/>
  <c r="F271" i="14"/>
  <c r="C102" i="15"/>
  <c r="C103" i="15"/>
  <c r="E85" i="15"/>
  <c r="E90" i="14"/>
  <c r="F90" i="14"/>
  <c r="E223" i="15"/>
  <c r="D254" i="15"/>
  <c r="E99" i="5"/>
  <c r="E101" i="5"/>
  <c r="E98" i="5"/>
  <c r="E22" i="5"/>
  <c r="D291" i="14"/>
  <c r="D289" i="14"/>
  <c r="E289" i="14"/>
  <c r="E287" i="14"/>
  <c r="F287" i="14"/>
  <c r="D70" i="10"/>
  <c r="D72" i="10"/>
  <c r="D69" i="10"/>
  <c r="D22" i="10"/>
  <c r="C162" i="14"/>
  <c r="F91" i="14"/>
  <c r="C92" i="14"/>
  <c r="E92" i="14"/>
  <c r="E83" i="15"/>
  <c r="D90" i="15"/>
  <c r="E90" i="15"/>
  <c r="E84" i="15"/>
  <c r="E47" i="19"/>
  <c r="E37" i="19"/>
  <c r="E112" i="19"/>
  <c r="E55" i="19"/>
  <c r="D183" i="14"/>
  <c r="D323" i="14"/>
  <c r="E162" i="14"/>
  <c r="D235" i="15"/>
  <c r="D77" i="15"/>
  <c r="F105" i="14"/>
  <c r="C106" i="14"/>
  <c r="E106" i="14"/>
  <c r="F106" i="14"/>
  <c r="E208" i="14"/>
  <c r="F208" i="14"/>
  <c r="F216" i="14"/>
  <c r="F104" i="14"/>
  <c r="E209" i="14"/>
  <c r="F209" i="14"/>
  <c r="F279" i="14"/>
  <c r="F286" i="14"/>
  <c r="E98" i="15"/>
  <c r="E97" i="15"/>
  <c r="F288" i="14"/>
  <c r="F272" i="14"/>
  <c r="E263" i="14"/>
  <c r="F263" i="14"/>
  <c r="E63" i="14"/>
  <c r="D70" i="14"/>
  <c r="E50" i="14"/>
  <c r="D112" i="5"/>
  <c r="D111" i="5"/>
  <c r="D28" i="5"/>
  <c r="D113" i="19"/>
  <c r="D56" i="19"/>
  <c r="D48" i="19"/>
  <c r="D38" i="19"/>
  <c r="C91" i="15"/>
  <c r="E99" i="15"/>
  <c r="E161" i="14"/>
  <c r="F161" i="14"/>
  <c r="E139" i="14"/>
  <c r="F139" i="14"/>
  <c r="F160" i="14"/>
  <c r="E210" i="14"/>
  <c r="F210" i="14"/>
  <c r="E62" i="14"/>
  <c r="F62" i="14"/>
  <c r="D265" i="14"/>
  <c r="D91" i="15"/>
  <c r="F289" i="14"/>
  <c r="E103" i="15"/>
  <c r="E102" i="15"/>
  <c r="F273" i="14"/>
  <c r="D126" i="15"/>
  <c r="D122" i="15"/>
  <c r="D115" i="15"/>
  <c r="D111" i="15"/>
  <c r="D124" i="15"/>
  <c r="D113" i="15"/>
  <c r="D109" i="15"/>
  <c r="D123" i="15"/>
  <c r="D112" i="15"/>
  <c r="D121" i="15"/>
  <c r="D110" i="15"/>
  <c r="D127" i="15"/>
  <c r="D125" i="15"/>
  <c r="D114" i="15"/>
  <c r="D305" i="14"/>
  <c r="E291" i="14"/>
  <c r="F291" i="14"/>
  <c r="D196" i="14"/>
  <c r="D195" i="14"/>
  <c r="D99" i="5"/>
  <c r="D101" i="5"/>
  <c r="D98" i="5"/>
  <c r="D22" i="5"/>
  <c r="F162" i="14"/>
  <c r="C305" i="14"/>
  <c r="C322" i="14"/>
  <c r="C70" i="14"/>
  <c r="F50" i="14"/>
  <c r="C105" i="15"/>
  <c r="F63" i="14"/>
  <c r="C324" i="14"/>
  <c r="C113" i="14"/>
  <c r="E113" i="14"/>
  <c r="F113" i="14"/>
  <c r="F92" i="14"/>
  <c r="E304" i="14"/>
  <c r="F304" i="14"/>
  <c r="D322" i="14"/>
  <c r="E322" i="14"/>
  <c r="E141" i="14"/>
  <c r="F141" i="14"/>
  <c r="D148" i="14"/>
  <c r="D281" i="14"/>
  <c r="D325" i="14"/>
  <c r="D309" i="14"/>
  <c r="E305" i="14"/>
  <c r="E91" i="15"/>
  <c r="D105" i="15"/>
  <c r="E105" i="15"/>
  <c r="E324" i="14"/>
  <c r="F324" i="14"/>
  <c r="D197" i="14"/>
  <c r="F305" i="14"/>
  <c r="D128" i="15"/>
  <c r="E70" i="14"/>
  <c r="F70" i="14"/>
  <c r="D116" i="15"/>
  <c r="D117" i="15"/>
  <c r="F322" i="14"/>
  <c r="D310" i="14"/>
  <c r="D312" i="14"/>
  <c r="D129" i="15"/>
  <c r="D131" i="15"/>
  <c r="D313" i="14"/>
  <c r="E122" i="7"/>
  <c r="E65" i="1"/>
  <c r="F65" i="1"/>
  <c r="D75" i="1"/>
  <c r="E75" i="1"/>
  <c r="F75" i="1"/>
  <c r="E19" i="2"/>
  <c r="F19" i="2"/>
  <c r="D33" i="2"/>
  <c r="F39" i="2"/>
  <c r="F41" i="3"/>
  <c r="F42" i="3"/>
  <c r="F44" i="3"/>
  <c r="F45" i="3"/>
  <c r="F48" i="3"/>
  <c r="F121" i="4"/>
  <c r="F167" i="4"/>
  <c r="E135" i="5"/>
  <c r="E140" i="5"/>
  <c r="E136" i="5"/>
  <c r="D135" i="5"/>
  <c r="D141" i="5"/>
  <c r="D137" i="5"/>
  <c r="D140" i="5"/>
  <c r="C154" i="5"/>
  <c r="C152" i="5"/>
  <c r="C158" i="5"/>
  <c r="C157" i="5"/>
  <c r="D156" i="5"/>
  <c r="D155" i="5"/>
  <c r="D153" i="5"/>
  <c r="D154" i="5"/>
  <c r="D152" i="5"/>
  <c r="D158" i="5"/>
  <c r="E153" i="5"/>
  <c r="E158" i="5"/>
  <c r="E156" i="5"/>
  <c r="E155" i="5"/>
  <c r="E157" i="5"/>
  <c r="F200" i="6"/>
  <c r="F204" i="6"/>
  <c r="E41" i="8"/>
  <c r="F41" i="8"/>
  <c r="D43" i="8"/>
  <c r="E43" i="8"/>
  <c r="F43" i="8"/>
  <c r="E20" i="5"/>
  <c r="E21" i="5"/>
  <c r="C139" i="5"/>
  <c r="C138" i="5"/>
  <c r="C140" i="5"/>
  <c r="F193" i="6"/>
  <c r="E38" i="1"/>
  <c r="F38" i="1"/>
  <c r="E41" i="3"/>
  <c r="E43" i="3"/>
  <c r="F43" i="3"/>
  <c r="E45" i="3"/>
  <c r="E47" i="3"/>
  <c r="F47" i="3"/>
  <c r="E49" i="3"/>
  <c r="F49" i="3"/>
  <c r="E51" i="3"/>
  <c r="F51" i="3"/>
  <c r="E81" i="3"/>
  <c r="F81" i="3"/>
  <c r="E90" i="4"/>
  <c r="F90" i="4"/>
  <c r="E130" i="4"/>
  <c r="F130" i="4"/>
  <c r="C188" i="4"/>
  <c r="D43" i="5"/>
  <c r="D53" i="5"/>
  <c r="E23" i="6"/>
  <c r="F23" i="6"/>
  <c r="E49" i="6"/>
  <c r="F49" i="6"/>
  <c r="E62" i="6"/>
  <c r="F62" i="6"/>
  <c r="E75" i="6"/>
  <c r="F75" i="6"/>
  <c r="E88" i="6"/>
  <c r="F88" i="6"/>
  <c r="E101" i="6"/>
  <c r="F101" i="6"/>
  <c r="E114" i="6"/>
  <c r="F114" i="6"/>
  <c r="E127" i="6"/>
  <c r="F127" i="6"/>
  <c r="E140" i="6"/>
  <c r="F140" i="6"/>
  <c r="E192" i="6"/>
  <c r="F192" i="6"/>
  <c r="E200" i="6"/>
  <c r="E202" i="6"/>
  <c r="F202" i="6"/>
  <c r="E204" i="6"/>
  <c r="C41" i="1"/>
  <c r="C52" i="3"/>
  <c r="C95" i="4"/>
  <c r="C208" i="6"/>
  <c r="E199" i="6"/>
  <c r="F199" i="6"/>
  <c r="F36" i="7"/>
  <c r="F60" i="7"/>
  <c r="C122" i="7"/>
  <c r="F113" i="7"/>
  <c r="F115" i="7"/>
  <c r="F117" i="7"/>
  <c r="F119" i="7"/>
  <c r="F56" i="8"/>
  <c r="F73" i="8"/>
  <c r="F39" i="9"/>
  <c r="F46" i="9"/>
  <c r="F230" i="14"/>
  <c r="F31" i="9"/>
  <c r="F100" i="14"/>
  <c r="C15" i="10"/>
  <c r="E15" i="10"/>
  <c r="E31" i="11"/>
  <c r="G31" i="11"/>
  <c r="I31" i="11"/>
  <c r="E85" i="14"/>
  <c r="F85" i="14"/>
  <c r="E100" i="14"/>
  <c r="F110" i="14"/>
  <c r="C173" i="14"/>
  <c r="E191" i="14"/>
  <c r="C193" i="14"/>
  <c r="C200" i="14"/>
  <c r="E230" i="14"/>
  <c r="C264" i="14"/>
  <c r="C290" i="14"/>
  <c r="D22" i="15"/>
  <c r="D156" i="15"/>
  <c r="C189" i="15"/>
  <c r="E189" i="15"/>
  <c r="E229" i="15"/>
  <c r="C252" i="15"/>
  <c r="C65" i="16"/>
  <c r="C114" i="16"/>
  <c r="C116" i="16"/>
  <c r="C119" i="16"/>
  <c r="C123" i="16"/>
  <c r="C48" i="10"/>
  <c r="C42" i="10"/>
  <c r="C33" i="11"/>
  <c r="F24" i="14"/>
  <c r="F53" i="14"/>
  <c r="E59" i="14"/>
  <c r="F59" i="14"/>
  <c r="E109" i="14"/>
  <c r="F109" i="14"/>
  <c r="E123" i="14"/>
  <c r="F123" i="14"/>
  <c r="C124" i="14"/>
  <c r="F172" i="14"/>
  <c r="E179" i="14"/>
  <c r="F179" i="14"/>
  <c r="F191" i="14"/>
  <c r="E237" i="14"/>
  <c r="F237" i="14"/>
  <c r="C306" i="14"/>
  <c r="D283" i="15"/>
  <c r="E283" i="15"/>
  <c r="C65" i="15"/>
  <c r="C71" i="15"/>
  <c r="E174" i="15"/>
  <c r="E176" i="15"/>
  <c r="E178" i="15"/>
  <c r="C241" i="15"/>
  <c r="E241" i="15"/>
  <c r="C253" i="15"/>
  <c r="E253" i="15"/>
  <c r="D41" i="17"/>
  <c r="D270" i="14"/>
  <c r="E270" i="14"/>
  <c r="F270" i="14"/>
  <c r="C210" i="15"/>
  <c r="E215" i="15"/>
  <c r="D260" i="15"/>
  <c r="E16" i="17"/>
  <c r="F16" i="17"/>
  <c r="C34" i="19"/>
  <c r="D302" i="15"/>
  <c r="E25" i="17"/>
  <c r="F25" i="17"/>
  <c r="F36" i="17"/>
  <c r="C33" i="19"/>
  <c r="E33" i="19"/>
  <c r="C22" i="19"/>
  <c r="E23" i="19"/>
  <c r="C101" i="19"/>
  <c r="C103" i="19"/>
  <c r="E260" i="15"/>
  <c r="D263" i="15"/>
  <c r="E306" i="14"/>
  <c r="C309" i="14"/>
  <c r="C254" i="15"/>
  <c r="E254" i="15"/>
  <c r="E252" i="15"/>
  <c r="E22" i="15"/>
  <c r="D284" i="15"/>
  <c r="E284" i="15"/>
  <c r="C24" i="10"/>
  <c r="C20" i="10"/>
  <c r="C17" i="10"/>
  <c r="C28" i="10"/>
  <c r="C43" i="1"/>
  <c r="E54" i="19"/>
  <c r="E111" i="19"/>
  <c r="E30" i="19"/>
  <c r="E40" i="19"/>
  <c r="E36" i="19"/>
  <c r="E46" i="19"/>
  <c r="E302" i="15"/>
  <c r="D303" i="15"/>
  <c r="C76" i="15"/>
  <c r="E71" i="15"/>
  <c r="E124" i="14"/>
  <c r="F124" i="14"/>
  <c r="C125" i="14"/>
  <c r="C126" i="14"/>
  <c r="C36" i="11"/>
  <c r="C38" i="11"/>
  <c r="C40" i="11"/>
  <c r="H33" i="11"/>
  <c r="H36" i="11"/>
  <c r="H38" i="11"/>
  <c r="H40" i="11"/>
  <c r="I33" i="11"/>
  <c r="I36" i="11"/>
  <c r="I38" i="11"/>
  <c r="I40" i="11"/>
  <c r="D157" i="15"/>
  <c r="D168" i="15"/>
  <c r="E168" i="15"/>
  <c r="E156" i="15"/>
  <c r="F290" i="14"/>
  <c r="E290" i="14"/>
  <c r="C266" i="14"/>
  <c r="C282" i="14"/>
  <c r="E193" i="14"/>
  <c r="C194" i="14"/>
  <c r="F193" i="14"/>
  <c r="E173" i="14"/>
  <c r="C175" i="14"/>
  <c r="C174" i="14"/>
  <c r="F173" i="14"/>
  <c r="E24" i="10"/>
  <c r="E20" i="10"/>
  <c r="E17" i="10"/>
  <c r="E28" i="10"/>
  <c r="F122" i="7"/>
  <c r="E208" i="6"/>
  <c r="F208" i="6"/>
  <c r="F52" i="3"/>
  <c r="E52" i="3"/>
  <c r="C141" i="5"/>
  <c r="E41" i="1"/>
  <c r="F41" i="1"/>
  <c r="E141" i="5"/>
  <c r="C45" i="19"/>
  <c r="C35" i="19"/>
  <c r="C53" i="19"/>
  <c r="C110" i="19"/>
  <c r="C29" i="19"/>
  <c r="C39" i="19"/>
  <c r="C211" i="15"/>
  <c r="E210" i="15"/>
  <c r="C234" i="15"/>
  <c r="E234" i="15"/>
  <c r="C180" i="15"/>
  <c r="E180" i="15"/>
  <c r="C66" i="15"/>
  <c r="C246" i="15"/>
  <c r="E246" i="15"/>
  <c r="C294" i="15"/>
  <c r="E294" i="15"/>
  <c r="E65" i="15"/>
  <c r="E264" i="14"/>
  <c r="C300" i="14"/>
  <c r="F264" i="14"/>
  <c r="C265" i="14"/>
  <c r="E95" i="4"/>
  <c r="F95" i="4"/>
  <c r="D41" i="2"/>
  <c r="E33" i="2"/>
  <c r="F33" i="2"/>
  <c r="E188" i="4"/>
  <c r="F188" i="4"/>
  <c r="E200" i="14"/>
  <c r="F200" i="14"/>
  <c r="D314" i="14"/>
  <c r="D256" i="14"/>
  <c r="D315" i="14"/>
  <c r="D251" i="14"/>
  <c r="D318" i="14"/>
  <c r="E41" i="2"/>
  <c r="F41" i="2"/>
  <c r="D48" i="2"/>
  <c r="E48" i="2"/>
  <c r="F48" i="2"/>
  <c r="C295" i="15"/>
  <c r="E295" i="15"/>
  <c r="C247" i="15"/>
  <c r="E247" i="15"/>
  <c r="E66" i="15"/>
  <c r="C235" i="15"/>
  <c r="E235" i="15"/>
  <c r="C181" i="15"/>
  <c r="E181" i="15"/>
  <c r="E211" i="15"/>
  <c r="C55" i="19"/>
  <c r="C37" i="19"/>
  <c r="C112" i="19"/>
  <c r="C47" i="19"/>
  <c r="E174" i="14"/>
  <c r="F174" i="14"/>
  <c r="C195" i="14"/>
  <c r="C196" i="14"/>
  <c r="E194" i="14"/>
  <c r="F194" i="14"/>
  <c r="C281" i="14"/>
  <c r="E282" i="14"/>
  <c r="F282" i="14"/>
  <c r="E157" i="15"/>
  <c r="D169" i="15"/>
  <c r="E169" i="15"/>
  <c r="E126" i="14"/>
  <c r="C127" i="14"/>
  <c r="F126" i="14"/>
  <c r="E303" i="15"/>
  <c r="D306" i="15"/>
  <c r="F43" i="1"/>
  <c r="E43" i="1"/>
  <c r="D264" i="15"/>
  <c r="D257" i="14"/>
  <c r="F265" i="14"/>
  <c r="E265" i="14"/>
  <c r="F300" i="14"/>
  <c r="E300" i="14"/>
  <c r="E70" i="10"/>
  <c r="E72" i="10"/>
  <c r="E69" i="10"/>
  <c r="E22" i="10"/>
  <c r="E175" i="14"/>
  <c r="F175" i="14"/>
  <c r="C176" i="14"/>
  <c r="E266" i="14"/>
  <c r="F266" i="14"/>
  <c r="E125" i="14"/>
  <c r="F125" i="14"/>
  <c r="C77" i="15"/>
  <c r="C259" i="15"/>
  <c r="E76" i="15"/>
  <c r="E38" i="19"/>
  <c r="E56" i="19"/>
  <c r="E48" i="19"/>
  <c r="E113" i="19"/>
  <c r="C70" i="10"/>
  <c r="C72" i="10"/>
  <c r="C69" i="10"/>
  <c r="C22" i="10"/>
  <c r="F309" i="14"/>
  <c r="E309" i="14"/>
  <c r="C310" i="14"/>
  <c r="C125" i="15"/>
  <c r="E125" i="15"/>
  <c r="C114" i="15"/>
  <c r="E114" i="15"/>
  <c r="C123" i="15"/>
  <c r="E123" i="15"/>
  <c r="C126" i="15"/>
  <c r="E126" i="15"/>
  <c r="C124" i="15"/>
  <c r="E124" i="15"/>
  <c r="C122" i="15"/>
  <c r="C111" i="15"/>
  <c r="E111" i="15"/>
  <c r="C121" i="15"/>
  <c r="C110" i="15"/>
  <c r="C127" i="15"/>
  <c r="E127" i="15"/>
  <c r="C112" i="15"/>
  <c r="E112" i="15"/>
  <c r="C115" i="15"/>
  <c r="E115" i="15"/>
  <c r="C113" i="15"/>
  <c r="E113" i="15"/>
  <c r="C109" i="15"/>
  <c r="E77" i="15"/>
  <c r="D266" i="15"/>
  <c r="D310" i="15"/>
  <c r="E310" i="15"/>
  <c r="E306" i="15"/>
  <c r="E196" i="14"/>
  <c r="F196" i="14"/>
  <c r="F310" i="14"/>
  <c r="E310" i="14"/>
  <c r="C312" i="14"/>
  <c r="C263" i="15"/>
  <c r="E259" i="15"/>
  <c r="E176" i="14"/>
  <c r="C183" i="14"/>
  <c r="F176" i="14"/>
  <c r="C323" i="14"/>
  <c r="C211" i="14"/>
  <c r="C148" i="14"/>
  <c r="E127" i="14"/>
  <c r="F127" i="14"/>
  <c r="C197" i="14"/>
  <c r="E281" i="14"/>
  <c r="F281" i="14"/>
  <c r="E195" i="14"/>
  <c r="F195" i="14"/>
  <c r="F148" i="14"/>
  <c r="E148" i="14"/>
  <c r="E211" i="14"/>
  <c r="F211" i="14"/>
  <c r="C264" i="15"/>
  <c r="E263" i="15"/>
  <c r="D267" i="15"/>
  <c r="E109" i="15"/>
  <c r="E121" i="15"/>
  <c r="C128" i="15"/>
  <c r="E128" i="15"/>
  <c r="E122" i="15"/>
  <c r="F197" i="14"/>
  <c r="E197" i="14"/>
  <c r="E323" i="14"/>
  <c r="F323" i="14"/>
  <c r="C325" i="14"/>
  <c r="E183" i="14"/>
  <c r="F183" i="14"/>
  <c r="C313" i="14"/>
  <c r="E312" i="14"/>
  <c r="F312" i="14"/>
  <c r="C116" i="15"/>
  <c r="E116" i="15"/>
  <c r="E110" i="15"/>
  <c r="C251" i="14"/>
  <c r="C256" i="14"/>
  <c r="F313" i="14"/>
  <c r="C315" i="14"/>
  <c r="C314" i="14"/>
  <c r="E313" i="14"/>
  <c r="F325" i="14"/>
  <c r="E325" i="14"/>
  <c r="C129" i="15"/>
  <c r="E129" i="15"/>
  <c r="C117" i="15"/>
  <c r="D269" i="15"/>
  <c r="D268" i="15"/>
  <c r="C266" i="15"/>
  <c r="E264" i="15"/>
  <c r="C267" i="15"/>
  <c r="E266" i="15"/>
  <c r="E117" i="15"/>
  <c r="C131" i="15"/>
  <c r="E131" i="15"/>
  <c r="E315" i="14"/>
  <c r="F315" i="14"/>
  <c r="C257" i="14"/>
  <c r="E256" i="14"/>
  <c r="F256" i="14"/>
  <c r="D271" i="15"/>
  <c r="C318" i="14"/>
  <c r="E314" i="14"/>
  <c r="F314" i="14"/>
  <c r="E251" i="14"/>
  <c r="F251" i="14"/>
  <c r="F318" i="14"/>
  <c r="E318" i="14"/>
  <c r="E257" i="14"/>
  <c r="F257" i="14"/>
  <c r="C269" i="15"/>
  <c r="E269" i="15"/>
  <c r="C268" i="15"/>
  <c r="E267" i="15"/>
  <c r="C271" i="15"/>
  <c r="E271" i="15"/>
  <c r="E268" i="15"/>
</calcChain>
</file>

<file path=xl/sharedStrings.xml><?xml version="1.0" encoding="utf-8"?>
<sst xmlns="http://schemas.openxmlformats.org/spreadsheetml/2006/main" count="2321" uniqueCount="997">
  <si>
    <t>MILFORD HOSPITAL</t>
  </si>
  <si>
    <t>TWELVE MONTHS ACTUAL FILING</t>
  </si>
  <si>
    <t xml:space="preserve">      FISCAL YEAR 2012</t>
  </si>
  <si>
    <t>REPORT 100 - HOSPITAL BALANCE SHEET INFORMATION</t>
  </si>
  <si>
    <t xml:space="preserve">      FY 2011</t>
  </si>
  <si>
    <t xml:space="preserve">      FY 2012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</si>
  <si>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</si>
  <si>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</si>
  <si>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</si>
  <si>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</si>
  <si>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</si>
  <si>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</si>
  <si>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</si>
  <si>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</si>
  <si>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</si>
  <si>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</si>
  <si>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</si>
  <si>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</si>
  <si>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</si>
  <si>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</si>
  <si>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</si>
  <si>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</si>
  <si>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</si>
  <si>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</si>
  <si>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</si>
  <si>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</si>
  <si>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</si>
  <si>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</si>
  <si>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</si>
  <si>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</si>
  <si>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</si>
  <si>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</si>
  <si>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</si>
  <si>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</si>
  <si>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</si>
  <si>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</si>
  <si>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</si>
  <si>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</si>
  <si>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</si>
  <si>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</si>
  <si>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</si>
  <si>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</si>
  <si>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</si>
  <si>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</si>
  <si>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</si>
  <si>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</si>
  <si>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</si>
  <si>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</si>
  <si>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</si>
  <si>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</si>
  <si>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</si>
  <si>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</si>
  <si>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</si>
  <si>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</si>
  <si>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</si>
  <si>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</si>
  <si>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</si>
  <si>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</si>
  <si>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</si>
  <si>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</si>
  <si>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</si>
  <si>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</si>
  <si>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</si>
  <si>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</si>
  <si>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</si>
  <si>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</si>
  <si>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</si>
  <si>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</si>
  <si>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</si>
  <si>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</si>
  <si>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</si>
  <si>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</si>
  <si>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</si>
  <si>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</si>
  <si>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</si>
  <si>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</si>
  <si>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</si>
  <si>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</si>
  <si>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</si>
  <si>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</si>
  <si>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</si>
  <si>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</si>
  <si>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</si>
  <si>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</si>
  <si>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</si>
  <si>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</si>
  <si>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</si>
  <si>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</si>
  <si>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</si>
  <si>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</si>
  <si>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</si>
  <si>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</si>
  <si>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</si>
  <si>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</si>
  <si>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</si>
  <si>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</si>
  <si>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</si>
  <si>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</si>
  <si>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</si>
  <si>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</si>
  <si>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</si>
  <si>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</si>
  <si>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</si>
  <si>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</si>
  <si>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</si>
  <si>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2011                ACTUAL     </t>
  </si>
  <si>
    <t xml:space="preserve">      FY 2012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</si>
  <si>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</si>
  <si>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</si>
  <si>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</si>
  <si>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</si>
  <si>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</si>
  <si>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</si>
  <si>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</si>
  <si>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</si>
  <si>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</si>
  <si>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</si>
  <si>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</si>
  <si>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</si>
  <si>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</si>
  <si>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</si>
  <si>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</si>
  <si>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</si>
  <si>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</si>
  <si>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</si>
  <si>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</si>
  <si>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</si>
  <si>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</si>
  <si>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</si>
  <si>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</si>
  <si>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</si>
  <si>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</si>
  <si>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</si>
  <si>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</si>
  <si>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</si>
  <si>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</si>
  <si>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</si>
  <si>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</si>
  <si>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</si>
  <si>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</si>
  <si>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</si>
  <si>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</si>
  <si>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</si>
  <si>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</si>
  <si>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</si>
  <si>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</si>
  <si>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</si>
  <si>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</si>
  <si>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</si>
  <si>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</si>
  <si>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</si>
  <si>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</si>
  <si>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</si>
  <si>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</si>
  <si>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</si>
  <si>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</si>
  <si>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</si>
  <si>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</si>
  <si>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</si>
  <si>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</si>
  <si>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</si>
  <si>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</si>
  <si>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</si>
  <si>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</si>
  <si>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</si>
  <si>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</si>
  <si>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</si>
  <si>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</si>
  <si>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</si>
  <si>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</si>
  <si>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</si>
  <si>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</si>
  <si>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</si>
  <si>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</si>
  <si>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</si>
  <si>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</si>
  <si>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</si>
  <si>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</si>
  <si>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</si>
  <si>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</si>
  <si>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</si>
  <si>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</si>
  <si>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</si>
  <si>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</si>
  <si>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</si>
  <si>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</si>
  <si>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</si>
  <si>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</si>
  <si>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</si>
  <si>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</si>
  <si>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</si>
  <si>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</si>
  <si>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</si>
  <si>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</si>
  <si>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</si>
  <si>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</si>
  <si>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</si>
  <si>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</si>
  <si>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</si>
  <si>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</si>
  <si>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</si>
  <si>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</si>
  <si>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</si>
  <si>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</si>
  <si>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</si>
  <si>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</si>
  <si>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</si>
  <si>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</si>
  <si>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</si>
  <si>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</si>
  <si>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</si>
  <si>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</si>
  <si>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</si>
  <si>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</si>
  <si>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</si>
  <si>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</si>
  <si>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</si>
  <si>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</si>
  <si>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</si>
  <si>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</si>
  <si>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</si>
  <si>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</si>
  <si>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</si>
  <si>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</si>
  <si>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</si>
  <si>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</si>
  <si>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</si>
  <si>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</si>
  <si>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</si>
  <si>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</si>
  <si>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</si>
  <si>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</si>
  <si>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</si>
  <si>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</si>
  <si>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</si>
  <si>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</si>
  <si>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</si>
  <si>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</si>
  <si>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</si>
  <si>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</si>
  <si>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</si>
  <si>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</si>
  <si>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</si>
  <si>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</si>
  <si>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</si>
  <si>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</si>
  <si>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</si>
  <si>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</si>
  <si>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</si>
  <si>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</si>
  <si>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</si>
  <si>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</si>
  <si>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</si>
  <si>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</si>
  <si>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</si>
  <si>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</si>
  <si>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</si>
  <si>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</si>
  <si>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</si>
  <si>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</si>
  <si>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</si>
  <si>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</si>
  <si>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</si>
  <si>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</si>
  <si>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</si>
  <si>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</si>
  <si>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</si>
  <si>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</si>
  <si>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</si>
  <si>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</si>
  <si>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</si>
  <si>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</si>
  <si>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</si>
  <si>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</si>
  <si>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</si>
  <si>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</si>
  <si>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</si>
  <si>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</si>
  <si>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</si>
  <si>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</si>
  <si>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</si>
  <si>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</si>
  <si>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</si>
  <si>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</si>
  <si>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</si>
  <si>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</si>
  <si>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</si>
  <si>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</si>
  <si>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</si>
  <si>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</si>
  <si>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</si>
  <si>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</si>
  <si>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</si>
  <si>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</si>
  <si>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</si>
  <si>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</si>
  <si>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</si>
  <si>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</si>
  <si>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</si>
  <si>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</si>
  <si>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</si>
  <si>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</si>
  <si>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</si>
  <si>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</si>
  <si>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</si>
  <si>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</si>
  <si>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</si>
  <si>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</si>
  <si>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</si>
  <si>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</si>
  <si>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</si>
  <si>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</si>
  <si>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</si>
  <si>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</si>
  <si>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</si>
  <si>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</si>
  <si>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</si>
  <si>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</si>
  <si>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</si>
  <si>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2010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</si>
  <si>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</si>
  <si>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</si>
  <si>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</si>
  <si>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</si>
  <si>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</si>
  <si>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</si>
  <si>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</si>
  <si>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</si>
  <si>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</si>
  <si>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</si>
  <si>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</si>
  <si>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</si>
  <si>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</si>
  <si>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</si>
  <si>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</si>
  <si>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</si>
  <si>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</si>
  <si>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</si>
  <si>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</si>
  <si>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</si>
  <si>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</si>
  <si>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</si>
  <si>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</si>
  <si>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</si>
  <si>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</si>
  <si>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</si>
  <si>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</si>
  <si>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</si>
  <si>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</si>
  <si>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</si>
  <si>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</si>
  <si>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</si>
  <si>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</si>
  <si>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</si>
  <si>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</si>
  <si>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</si>
  <si>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</si>
  <si>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</si>
  <si>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</si>
  <si>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</si>
  <si>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</si>
  <si>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</si>
  <si>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</si>
  <si>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</si>
  <si>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</si>
  <si>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</si>
  <si>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</si>
  <si>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</si>
  <si>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</si>
  <si>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</si>
  <si>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</si>
  <si>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</si>
  <si>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</si>
  <si>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</si>
  <si>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</si>
  <si>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</si>
  <si>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</si>
  <si>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</si>
  <si>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</si>
  <si>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</si>
  <si>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</si>
  <si>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</si>
  <si>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</si>
  <si>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</si>
  <si>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</si>
  <si>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</si>
  <si>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</si>
  <si>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</si>
  <si>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</si>
  <si>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</si>
  <si>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</si>
  <si>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</si>
  <si>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</si>
  <si>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</si>
  <si>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</si>
  <si>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</si>
  <si>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</si>
  <si>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</si>
  <si>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</si>
  <si>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</si>
  <si>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</si>
  <si>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</si>
  <si>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</si>
  <si>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</si>
  <si>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</si>
  <si>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</si>
  <si>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</si>
  <si>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</si>
  <si>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</si>
  <si>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</si>
  <si>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</si>
  <si>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</si>
  <si>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</si>
  <si>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</si>
  <si>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</si>
  <si>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</si>
  <si>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</si>
  <si>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</si>
  <si>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</si>
  <si>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</si>
  <si>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</si>
  <si>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</si>
  <si>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</si>
  <si>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</si>
  <si>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</si>
  <si>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</si>
  <si>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</si>
  <si>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</si>
  <si>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</si>
  <si>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</si>
  <si>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</si>
  <si>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</si>
  <si>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</si>
  <si>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</si>
  <si>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</si>
  <si>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</si>
  <si>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</si>
  <si>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</si>
  <si>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</si>
  <si>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</si>
  <si>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</si>
  <si>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</si>
  <si>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2011 ACTUAL     </t>
  </si>
  <si>
    <t xml:space="preserve">      FY 2012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</si>
  <si>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</si>
  <si>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</si>
  <si>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</si>
  <si>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</si>
  <si>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</si>
  <si>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</si>
  <si>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</si>
  <si>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</si>
  <si>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</si>
  <si>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</si>
  <si>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</si>
  <si>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</si>
  <si>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</si>
  <si>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</si>
  <si>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</si>
  <si>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</si>
  <si>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</si>
  <si>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</si>
  <si>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</si>
  <si>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</si>
  <si>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</si>
  <si>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</si>
  <si>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</si>
  <si>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</si>
  <si>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</si>
  <si>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</si>
  <si>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</si>
  <si>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</si>
  <si>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</si>
  <si>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</si>
  <si>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</si>
  <si>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</si>
  <si>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</si>
  <si>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</si>
  <si>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</si>
  <si>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</si>
  <si>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</si>
  <si>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</si>
  <si>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</si>
  <si>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</si>
  <si>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</si>
  <si>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</si>
  <si>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</si>
  <si>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</si>
  <si>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</si>
  <si>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</si>
  <si>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</si>
  <si>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MILFORD HEALTH &amp; MEDICAL,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</si>
  <si>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</si>
  <si>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</si>
  <si>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</si>
  <si>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</si>
  <si>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</si>
  <si>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</si>
  <si>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</si>
  <si>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</si>
  <si>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</si>
  <si>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</si>
  <si>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</si>
  <si>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</si>
  <si>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</si>
  <si>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</si>
  <si>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</si>
  <si>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</si>
  <si>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</si>
  <si>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</si>
  <si>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</si>
  <si>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</si>
  <si>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</si>
  <si>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</si>
  <si>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</si>
  <si>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</si>
  <si>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</si>
  <si>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</si>
  <si>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</si>
  <si>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</si>
  <si>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</si>
  <si>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</si>
  <si>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</si>
  <si>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</si>
  <si>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</si>
  <si>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</si>
  <si>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</si>
  <si>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</si>
  <si>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</si>
  <si>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</si>
  <si>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</si>
  <si>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</si>
  <si>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</si>
  <si>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</si>
  <si>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</si>
  <si>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</si>
  <si>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</si>
  <si>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</si>
  <si>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</si>
  <si>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</si>
  <si>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</si>
  <si>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</si>
  <si>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</si>
  <si>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</si>
  <si>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</si>
  <si>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</si>
  <si>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</si>
  <si>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</si>
  <si>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</si>
  <si>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</si>
  <si>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</si>
  <si>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</si>
  <si>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</si>
  <si>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</si>
  <si>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</si>
  <si>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</si>
  <si>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</si>
  <si>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</si>
  <si>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</si>
  <si>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</si>
  <si>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</si>
  <si>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</si>
  <si>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</si>
  <si>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</si>
  <si>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</si>
  <si>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</si>
  <si>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</si>
  <si>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</si>
  <si>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</si>
  <si>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</si>
  <si>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</si>
  <si>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</si>
  <si>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</si>
  <si>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</si>
  <si>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</si>
  <si>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</si>
  <si>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</si>
  <si>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</si>
  <si>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</si>
  <si>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</si>
  <si>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</si>
  <si>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</si>
  <si>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</si>
  <si>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</si>
  <si>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</si>
  <si>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</si>
  <si>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</si>
  <si>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</si>
  <si>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</si>
  <si>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</si>
  <si>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</si>
  <si>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</si>
  <si>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</si>
  <si>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</si>
  <si>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</si>
  <si>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</si>
  <si>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</si>
  <si>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</si>
  <si>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</si>
  <si>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</si>
  <si>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</si>
  <si>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Milford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</si>
  <si>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</si>
  <si>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</si>
  <si>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</si>
  <si>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>MilfHospBostonPostRd WalkIn Ctr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</si>
  <si>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</si>
  <si>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</si>
  <si>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</si>
  <si>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</si>
  <si>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</si>
  <si>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2012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</si>
  <si>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</si>
  <si>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</si>
  <si>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</si>
  <si>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</si>
  <si>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2011</t>
  </si>
  <si>
    <t xml:space="preserve">         FY 2012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</si>
  <si>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</si>
  <si>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</si>
  <si>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</si>
  <si>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</si>
  <si>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</si>
  <si>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</si>
  <si>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</si>
  <si>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</si>
  <si>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</si>
  <si>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</si>
  <si>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</si>
  <si>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</si>
  <si>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</si>
  <si>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</si>
  <si>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</si>
  <si>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</si>
  <si>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</si>
  <si>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</si>
  <si>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</si>
  <si>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</si>
  <si>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</si>
  <si>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</si>
  <si>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</si>
  <si>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</si>
  <si>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</si>
  <si>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</si>
  <si>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</si>
  <si>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</si>
  <si>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</si>
  <si>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</si>
  <si>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</si>
  <si>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</si>
  <si>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</si>
  <si>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</si>
  <si>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</si>
  <si>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</si>
  <si>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</si>
  <si>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</si>
  <si>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</si>
  <si>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</si>
  <si>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</si>
  <si>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</si>
  <si>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</si>
  <si>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</si>
  <si>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</si>
  <si>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</si>
  <si>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</si>
  <si>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</si>
  <si>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</si>
  <si>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</si>
  <si>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</si>
  <si>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</si>
  <si>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</si>
  <si>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</si>
  <si>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</si>
  <si>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</si>
  <si>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</si>
  <si>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</si>
  <si>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</si>
  <si>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</si>
  <si>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</si>
  <si>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</si>
  <si>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</si>
  <si>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</si>
  <si>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</si>
  <si>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</si>
  <si>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</si>
  <si>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</si>
  <si>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</si>
  <si>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</si>
  <si>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</si>
  <si>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</si>
  <si>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</si>
  <si>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</si>
  <si>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</si>
  <si>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</si>
  <si>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</si>
  <si>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</si>
  <si>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</si>
  <si>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</si>
  <si>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</si>
  <si>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</si>
  <si>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</si>
  <si>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</si>
  <si>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</si>
  <si>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</si>
  <si>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</si>
  <si>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</si>
  <si>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</si>
  <si>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</si>
  <si>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</si>
  <si>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</si>
  <si>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</si>
  <si>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</si>
  <si>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</si>
  <si>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</si>
  <si>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</si>
  <si>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</si>
  <si>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</si>
  <si>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</si>
  <si>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</si>
  <si>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</si>
  <si>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</si>
  <si>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</si>
  <si>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</si>
  <si>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</si>
  <si>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</si>
  <si>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</si>
  <si>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</si>
  <si>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</si>
  <si>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</si>
  <si>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</si>
  <si>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</si>
  <si>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</si>
  <si>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</si>
  <si>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</si>
  <si>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</si>
  <si>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</si>
  <si>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</si>
  <si>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</si>
  <si>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</si>
  <si>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</si>
  <si>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</si>
  <si>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</si>
  <si>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</si>
  <si>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</si>
  <si>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</si>
  <si>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</si>
  <si>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</si>
  <si>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</si>
  <si>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</si>
  <si>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</si>
  <si>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</si>
  <si>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</si>
  <si>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</si>
  <si>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</si>
  <si>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</si>
  <si>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</si>
  <si>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</si>
  <si>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</si>
  <si>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</si>
  <si>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</si>
  <si>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</si>
  <si>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2012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</si>
  <si>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</si>
  <si>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</si>
  <si>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</si>
  <si>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</si>
  <si>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</si>
  <si>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</si>
  <si>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</si>
  <si>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</si>
  <si>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</si>
  <si>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</si>
  <si>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</si>
  <si>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</si>
  <si>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</si>
  <si>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</si>
  <si>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</si>
  <si>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</si>
  <si>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</si>
  <si>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</si>
  <si>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</si>
  <si>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</si>
  <si>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</si>
  <si>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</si>
  <si>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</si>
  <si>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</si>
  <si>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</si>
  <si>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</si>
  <si>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</si>
  <si>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</si>
  <si>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</si>
  <si>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</si>
  <si>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</si>
  <si>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</si>
  <si>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</si>
  <si>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</si>
  <si>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</si>
  <si>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</si>
  <si>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</si>
  <si>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</si>
  <si>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</si>
  <si>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</si>
  <si>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</si>
  <si>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</si>
  <si>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</si>
  <si>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</si>
  <si>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</si>
  <si>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</si>
  <si>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</si>
  <si>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</si>
  <si>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</si>
  <si>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</si>
  <si>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</si>
  <si>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</si>
  <si>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</si>
  <si>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</si>
  <si>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</si>
  <si>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</si>
  <si>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</si>
  <si>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</si>
  <si>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</si>
  <si>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</si>
  <si>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</si>
  <si>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</si>
  <si>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</si>
  <si>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</si>
  <si>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</si>
  <si>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</si>
  <si>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</si>
  <si>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</si>
  <si>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</si>
  <si>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</si>
  <si>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</si>
  <si>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</si>
  <si>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</si>
  <si>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</si>
  <si>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</si>
  <si>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</si>
  <si>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</si>
  <si>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</si>
  <si>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</si>
  <si>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</si>
  <si>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</si>
  <si>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</si>
  <si>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</si>
  <si>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</si>
  <si>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</si>
  <si>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</si>
  <si>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</si>
  <si>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</si>
  <si>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</si>
  <si>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</si>
  <si>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</si>
  <si>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</si>
  <si>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</si>
  <si>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</si>
  <si>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</si>
  <si>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</si>
  <si>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</si>
  <si>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</si>
  <si>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2012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</si>
  <si>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</si>
  <si>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</si>
  <si>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</si>
  <si>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</si>
  <si>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</si>
  <si>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</si>
  <si>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</si>
  <si>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</si>
  <si>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</si>
  <si>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</si>
  <si>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</si>
  <si>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</si>
  <si>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</si>
  <si>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</si>
  <si>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</si>
  <si>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</si>
  <si>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</si>
  <si>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</si>
  <si>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</si>
  <si>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</si>
  <si>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</si>
  <si>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</si>
  <si>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</si>
  <si>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</si>
  <si>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</si>
  <si>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</si>
  <si>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</si>
  <si>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</si>
  <si>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</si>
  <si>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</si>
  <si>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</si>
  <si>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</si>
  <si>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</si>
  <si>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</si>
  <si>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</si>
  <si>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</si>
  <si>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</si>
  <si>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</si>
  <si>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</si>
  <si>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</si>
  <si>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</si>
  <si>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</si>
  <si>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</si>
  <si>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</si>
  <si>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</si>
  <si>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</si>
  <si>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</si>
  <si>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</si>
  <si>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</si>
  <si>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</si>
  <si>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</si>
  <si>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</si>
  <si>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</si>
  <si>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</si>
  <si>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</si>
  <si>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</si>
  <si>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2011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</si>
  <si>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2012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</si>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</sst>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956229</v>
      </c>
      <c r="D13" s="23">
        <v>404540</v>
      </c>
      <c r="E13" s="23">
        <f t="shared" ref="E13:E22" si="0">D13-C13</f>
        <v>-551689</v>
      </c>
      <c r="F13" s="24">
        <f t="shared" ref="F13:F22" si="1">IF(C13=0,0,E13/C13)</f>
        <v>-0.5769423433089772</v>
      </c>
    </row>
    <row r="14" spans="1:8" ht="24" customHeight="1" x14ac:dyDescent="0.2">
      <c r="A14" s="21">
        <v>2</v>
      </c>
      <c r="B14" s="22" t="s">
        <v>17</v>
      </c>
      <c r="C14" s="23">
        <v>224305</v>
      </c>
      <c r="D14" s="23">
        <v>225160</v>
      </c>
      <c r="E14" s="23">
        <f t="shared" si="0"/>
        <v>855</v>
      </c>
      <c r="F14" s="24">
        <f t="shared" si="1"/>
        <v>3.8117741468090324E-3</v>
      </c>
    </row>
    <row r="15" spans="1:8" ht="30.75" customHeight="1" x14ac:dyDescent="0.2">
      <c r="A15" s="21">
        <v>3</v>
      </c>
      <c r="B15" s="22" t="s">
        <v>18</v>
      </c>
      <c r="C15" s="23">
        <v>12622341</v>
      </c>
      <c r="D15" s="23">
        <v>12293728</v>
      </c>
      <c r="E15" s="23">
        <f t="shared" si="0"/>
        <v>-328613</v>
      </c>
      <c r="F15" s="24">
        <f t="shared" si="1"/>
        <v>-2.6034235646145196E-2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676168</v>
      </c>
      <c r="D17" s="23">
        <v>654070</v>
      </c>
      <c r="E17" s="23">
        <f t="shared" si="0"/>
        <v>-22098</v>
      </c>
      <c r="F17" s="24">
        <f t="shared" si="1"/>
        <v>-3.2681227150648952E-2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774644</v>
      </c>
      <c r="D19" s="23">
        <v>861132</v>
      </c>
      <c r="E19" s="23">
        <f t="shared" si="0"/>
        <v>86488</v>
      </c>
      <c r="F19" s="24">
        <f t="shared" si="1"/>
        <v>0.11164870572805057</v>
      </c>
    </row>
    <row r="20" spans="1:11" ht="24" customHeight="1" x14ac:dyDescent="0.2">
      <c r="A20" s="21">
        <v>8</v>
      </c>
      <c r="B20" s="22" t="s">
        <v>23</v>
      </c>
      <c r="C20" s="23">
        <v>751650</v>
      </c>
      <c r="D20" s="23">
        <v>613086</v>
      </c>
      <c r="E20" s="23">
        <f t="shared" si="0"/>
        <v>-138564</v>
      </c>
      <c r="F20" s="24">
        <f t="shared" si="1"/>
        <v>-0.18434643783675914</v>
      </c>
    </row>
    <row r="21" spans="1:11" ht="24" customHeight="1" x14ac:dyDescent="0.2">
      <c r="A21" s="21">
        <v>9</v>
      </c>
      <c r="B21" s="22" t="s">
        <v>24</v>
      </c>
      <c r="C21" s="23">
        <v>715740</v>
      </c>
      <c r="D21" s="23">
        <v>1770456</v>
      </c>
      <c r="E21" s="23">
        <f t="shared" si="0"/>
        <v>1054716</v>
      </c>
      <c r="F21" s="24">
        <f t="shared" si="1"/>
        <v>1.4736021460306816</v>
      </c>
    </row>
    <row r="22" spans="1:11" ht="24" customHeight="1" x14ac:dyDescent="0.25">
      <c r="A22" s="25"/>
      <c r="B22" s="26" t="s">
        <v>25</v>
      </c>
      <c r="C22" s="27">
        <f>SUM(C13:C21)</f>
        <v>16721077</v>
      </c>
      <c r="D22" s="27">
        <f>SUM(D13:D21)</f>
        <v>16822172</v>
      </c>
      <c r="E22" s="27">
        <f t="shared" si="0"/>
        <v>101095</v>
      </c>
      <c r="F22" s="28">
        <f t="shared" si="1"/>
        <v>6.0459622307821436E-3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727662</v>
      </c>
      <c r="D25" s="23">
        <v>761871</v>
      </c>
      <c r="E25" s="23">
        <f>D25-C25</f>
        <v>34209</v>
      </c>
      <c r="F25" s="24">
        <f>IF(C25=0,0,E25/C25)</f>
        <v>4.7012211713680252E-2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1076619</v>
      </c>
      <c r="D28" s="23">
        <v>919295</v>
      </c>
      <c r="E28" s="23">
        <f>D28-C28</f>
        <v>-157324</v>
      </c>
      <c r="F28" s="24">
        <f>IF(C28=0,0,E28/C28)</f>
        <v>-0.14612783166561244</v>
      </c>
    </row>
    <row r="29" spans="1:11" ht="24" customHeight="1" x14ac:dyDescent="0.25">
      <c r="A29" s="25"/>
      <c r="B29" s="26" t="s">
        <v>32</v>
      </c>
      <c r="C29" s="27">
        <f>SUM(C25:C28)</f>
        <v>1804281</v>
      </c>
      <c r="D29" s="27">
        <f>SUM(D25:D28)</f>
        <v>1681166</v>
      </c>
      <c r="E29" s="27">
        <f>D29-C29</f>
        <v>-123115</v>
      </c>
      <c r="F29" s="28">
        <f>IF(C29=0,0,E29/C29)</f>
        <v>-6.8234936797538739E-2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745924</v>
      </c>
      <c r="D31" s="23">
        <v>789204</v>
      </c>
      <c r="E31" s="23">
        <f>D31-C31</f>
        <v>43280</v>
      </c>
      <c r="F31" s="24">
        <f>IF(C31=0,0,E31/C31)</f>
        <v>5.8021996879038612E-2</v>
      </c>
    </row>
    <row r="32" spans="1:11" ht="24" customHeight="1" x14ac:dyDescent="0.2">
      <c r="A32" s="21">
        <v>6</v>
      </c>
      <c r="B32" s="22" t="s">
        <v>34</v>
      </c>
      <c r="C32" s="23">
        <v>20575753</v>
      </c>
      <c r="D32" s="23">
        <v>12311143</v>
      </c>
      <c r="E32" s="23">
        <f>D32-C32</f>
        <v>-8264610</v>
      </c>
      <c r="F32" s="24">
        <f>IF(C32=0,0,E32/C32)</f>
        <v>-0.40166743836786922</v>
      </c>
    </row>
    <row r="33" spans="1:8" ht="24" customHeight="1" x14ac:dyDescent="0.2">
      <c r="A33" s="21">
        <v>7</v>
      </c>
      <c r="B33" s="22" t="s">
        <v>35</v>
      </c>
      <c r="C33" s="23">
        <v>0</v>
      </c>
      <c r="D33" s="23">
        <v>3038843</v>
      </c>
      <c r="E33" s="23">
        <f>D33-C33</f>
        <v>3038843</v>
      </c>
      <c r="F33" s="24">
        <f>IF(C33=0,0,E33/C33)</f>
        <v>0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72022773</v>
      </c>
      <c r="D36" s="23">
        <v>72359288</v>
      </c>
      <c r="E36" s="23">
        <f>D36-C36</f>
        <v>336515</v>
      </c>
      <c r="F36" s="24">
        <f>IF(C36=0,0,E36/C36)</f>
        <v>4.6723416217256727E-3</v>
      </c>
    </row>
    <row r="37" spans="1:8" ht="24" customHeight="1" x14ac:dyDescent="0.2">
      <c r="A37" s="21">
        <v>2</v>
      </c>
      <c r="B37" s="22" t="s">
        <v>39</v>
      </c>
      <c r="C37" s="23">
        <v>47323119</v>
      </c>
      <c r="D37" s="23">
        <v>48777136</v>
      </c>
      <c r="E37" s="23">
        <f>D37-C37</f>
        <v>1454017</v>
      </c>
      <c r="F37" s="24">
        <f>IF(C37=0,0,E37/C37)</f>
        <v>3.0725299403870653E-2</v>
      </c>
    </row>
    <row r="38" spans="1:8" ht="24" customHeight="1" x14ac:dyDescent="0.25">
      <c r="A38" s="25"/>
      <c r="B38" s="26" t="s">
        <v>40</v>
      </c>
      <c r="C38" s="27">
        <f>C36-C37</f>
        <v>24699654</v>
      </c>
      <c r="D38" s="27">
        <f>D36-D37</f>
        <v>23582152</v>
      </c>
      <c r="E38" s="27">
        <f>D38-C38</f>
        <v>-1117502</v>
      </c>
      <c r="F38" s="28">
        <f>IF(C38=0,0,E38/C38)</f>
        <v>-4.5243629728578386E-2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36667</v>
      </c>
      <c r="D40" s="23">
        <v>0</v>
      </c>
      <c r="E40" s="23">
        <f>D40-C40</f>
        <v>-36667</v>
      </c>
      <c r="F40" s="24">
        <f>IF(C40=0,0,E40/C40)</f>
        <v>-1</v>
      </c>
    </row>
    <row r="41" spans="1:8" ht="24" customHeight="1" x14ac:dyDescent="0.25">
      <c r="A41" s="25"/>
      <c r="B41" s="26" t="s">
        <v>42</v>
      </c>
      <c r="C41" s="27">
        <f>+C38+C40</f>
        <v>24736321</v>
      </c>
      <c r="D41" s="27">
        <f>+D38+D40</f>
        <v>23582152</v>
      </c>
      <c r="E41" s="27">
        <f>D41-C41</f>
        <v>-1154169</v>
      </c>
      <c r="F41" s="28">
        <f>IF(C41=0,0,E41/C41)</f>
        <v>-4.6658878658633191E-2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64583356</v>
      </c>
      <c r="D43" s="27">
        <f>D22+D29+D31+D32+D33+D41</f>
        <v>58224680</v>
      </c>
      <c r="E43" s="27">
        <f>D43-C43</f>
        <v>-6358676</v>
      </c>
      <c r="F43" s="28">
        <f>IF(C43=0,0,E43/C43)</f>
        <v>-9.8456884154487112E-2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4033312</v>
      </c>
      <c r="D49" s="23">
        <v>4350123</v>
      </c>
      <c r="E49" s="23">
        <f t="shared" ref="E49:E56" si="2">D49-C49</f>
        <v>316811</v>
      </c>
      <c r="F49" s="24">
        <f t="shared" ref="F49:F56" si="3">IF(C49=0,0,E49/C49)</f>
        <v>7.8548597281836857E-2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6308053</v>
      </c>
      <c r="D50" s="23">
        <v>6702468</v>
      </c>
      <c r="E50" s="23">
        <f t="shared" si="2"/>
        <v>394415</v>
      </c>
      <c r="F50" s="24">
        <f t="shared" si="3"/>
        <v>6.2525631918438226E-2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2024212</v>
      </c>
      <c r="D51" s="23">
        <v>895803</v>
      </c>
      <c r="E51" s="23">
        <f t="shared" si="2"/>
        <v>-1128409</v>
      </c>
      <c r="F51" s="24">
        <f t="shared" si="3"/>
        <v>-0.55745593840961327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11500</v>
      </c>
      <c r="E52" s="23">
        <f t="shared" si="2"/>
        <v>11500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0</v>
      </c>
      <c r="D53" s="23">
        <v>0</v>
      </c>
      <c r="E53" s="23">
        <f t="shared" si="2"/>
        <v>0</v>
      </c>
      <c r="F53" s="24">
        <f t="shared" si="3"/>
        <v>0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955684</v>
      </c>
      <c r="D54" s="23">
        <v>935367</v>
      </c>
      <c r="E54" s="23">
        <f t="shared" si="2"/>
        <v>-20317</v>
      </c>
      <c r="F54" s="24">
        <f t="shared" si="3"/>
        <v>-2.1259119123057411E-2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2859722</v>
      </c>
      <c r="D55" s="23">
        <v>3299189</v>
      </c>
      <c r="E55" s="23">
        <f t="shared" si="2"/>
        <v>439467</v>
      </c>
      <c r="F55" s="24">
        <f t="shared" si="3"/>
        <v>0.153674727823194</v>
      </c>
    </row>
    <row r="56" spans="1:6" ht="24" customHeight="1" x14ac:dyDescent="0.25">
      <c r="A56" s="25"/>
      <c r="B56" s="26" t="s">
        <v>54</v>
      </c>
      <c r="C56" s="27">
        <f>SUM(C49:C55)</f>
        <v>16180983</v>
      </c>
      <c r="D56" s="27">
        <f>SUM(D49:D55)</f>
        <v>16194450</v>
      </c>
      <c r="E56" s="27">
        <f t="shared" si="2"/>
        <v>13467</v>
      </c>
      <c r="F56" s="28">
        <f t="shared" si="3"/>
        <v>8.3227329266707712E-4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935367</v>
      </c>
      <c r="D60" s="23">
        <v>0</v>
      </c>
      <c r="E60" s="23">
        <f>D60-C60</f>
        <v>-935367</v>
      </c>
      <c r="F60" s="24">
        <f>IF(C60=0,0,E60/C60)</f>
        <v>-1</v>
      </c>
    </row>
    <row r="61" spans="1:6" ht="24" customHeight="1" x14ac:dyDescent="0.25">
      <c r="A61" s="25"/>
      <c r="B61" s="26" t="s">
        <v>58</v>
      </c>
      <c r="C61" s="27">
        <f>SUM(C59:C60)</f>
        <v>935367</v>
      </c>
      <c r="D61" s="27">
        <f>SUM(D59:D60)</f>
        <v>0</v>
      </c>
      <c r="E61" s="27">
        <f>D61-C61</f>
        <v>-935367</v>
      </c>
      <c r="F61" s="28">
        <f>IF(C61=0,0,E61/C61)</f>
        <v>-1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30733115</v>
      </c>
      <c r="D63" s="23">
        <v>29974311</v>
      </c>
      <c r="E63" s="23">
        <f>D63-C63</f>
        <v>-758804</v>
      </c>
      <c r="F63" s="24">
        <f>IF(C63=0,0,E63/C63)</f>
        <v>-2.4690110325621076E-2</v>
      </c>
    </row>
    <row r="64" spans="1:6" ht="24" customHeight="1" x14ac:dyDescent="0.2">
      <c r="A64" s="21">
        <v>4</v>
      </c>
      <c r="B64" s="22" t="s">
        <v>60</v>
      </c>
      <c r="C64" s="23">
        <v>1238672</v>
      </c>
      <c r="D64" s="23">
        <v>4785456</v>
      </c>
      <c r="E64" s="23">
        <f>D64-C64</f>
        <v>3546784</v>
      </c>
      <c r="F64" s="24">
        <f>IF(C64=0,0,E64/C64)</f>
        <v>2.8633762610279394</v>
      </c>
    </row>
    <row r="65" spans="1:6" ht="24" customHeight="1" x14ac:dyDescent="0.25">
      <c r="A65" s="25"/>
      <c r="B65" s="26" t="s">
        <v>61</v>
      </c>
      <c r="C65" s="27">
        <f>SUM(C61:C64)</f>
        <v>32907154</v>
      </c>
      <c r="D65" s="27">
        <f>SUM(D61:D64)</f>
        <v>34759767</v>
      </c>
      <c r="E65" s="27">
        <f>D65-C65</f>
        <v>1852613</v>
      </c>
      <c r="F65" s="28">
        <f>IF(C65=0,0,E65/C65)</f>
        <v>5.6298183671550567E-2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14195295</v>
      </c>
      <c r="D70" s="23">
        <v>5927259</v>
      </c>
      <c r="E70" s="23">
        <f>D70-C70</f>
        <v>-8268036</v>
      </c>
      <c r="F70" s="24">
        <f>IF(C70=0,0,E70/C70)</f>
        <v>-0.58244904385572827</v>
      </c>
    </row>
    <row r="71" spans="1:6" ht="24" customHeight="1" x14ac:dyDescent="0.2">
      <c r="A71" s="21">
        <v>2</v>
      </c>
      <c r="B71" s="22" t="s">
        <v>65</v>
      </c>
      <c r="C71" s="23">
        <v>626161</v>
      </c>
      <c r="D71" s="23">
        <v>669441</v>
      </c>
      <c r="E71" s="23">
        <f>D71-C71</f>
        <v>43280</v>
      </c>
      <c r="F71" s="24">
        <f>IF(C71=0,0,E71/C71)</f>
        <v>6.9119603424678322E-2</v>
      </c>
    </row>
    <row r="72" spans="1:6" ht="24" customHeight="1" x14ac:dyDescent="0.2">
      <c r="A72" s="21">
        <v>3</v>
      </c>
      <c r="B72" s="22" t="s">
        <v>66</v>
      </c>
      <c r="C72" s="23">
        <v>673763</v>
      </c>
      <c r="D72" s="23">
        <v>673763</v>
      </c>
      <c r="E72" s="23">
        <f>D72-C72</f>
        <v>0</v>
      </c>
      <c r="F72" s="24">
        <f>IF(C72=0,0,E72/C72)</f>
        <v>0</v>
      </c>
    </row>
    <row r="73" spans="1:6" ht="24" customHeight="1" x14ac:dyDescent="0.25">
      <c r="A73" s="21"/>
      <c r="B73" s="26" t="s">
        <v>67</v>
      </c>
      <c r="C73" s="27">
        <f>SUM(C70:C72)</f>
        <v>15495219</v>
      </c>
      <c r="D73" s="27">
        <f>SUM(D70:D72)</f>
        <v>7270463</v>
      </c>
      <c r="E73" s="27">
        <f>D73-C73</f>
        <v>-8224756</v>
      </c>
      <c r="F73" s="28">
        <f>IF(C73=0,0,E73/C73)</f>
        <v>-0.5307931433560249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64583356</v>
      </c>
      <c r="D75" s="27">
        <f>D56+D65+D67+D73</f>
        <v>58224680</v>
      </c>
      <c r="E75" s="27">
        <f>D75-C75</f>
        <v>-6358676</v>
      </c>
      <c r="F75" s="28">
        <f>IF(C75=0,0,E75/C75)</f>
        <v>-9.8456884154487112E-2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FILING&amp;RMILFORD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/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491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494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319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495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496</v>
      </c>
      <c r="C11" s="51">
        <v>83794463</v>
      </c>
      <c r="D11" s="51">
        <v>84946930</v>
      </c>
      <c r="E11" s="51">
        <v>89130320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1669876</v>
      </c>
      <c r="D12" s="49">
        <v>1505504</v>
      </c>
      <c r="E12" s="49">
        <v>3585478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85464339</v>
      </c>
      <c r="D13" s="51">
        <f>+D11+D12</f>
        <v>86452434</v>
      </c>
      <c r="E13" s="51">
        <f>+E11+E12</f>
        <v>92715798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93410584</v>
      </c>
      <c r="D14" s="49">
        <v>93643054</v>
      </c>
      <c r="E14" s="49">
        <v>98072081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-7946245</v>
      </c>
      <c r="D15" s="51">
        <f>+D13-D14</f>
        <v>-7190620</v>
      </c>
      <c r="E15" s="51">
        <f>+E13-E14</f>
        <v>-5356283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3718367</v>
      </c>
      <c r="D16" s="49">
        <v>111096</v>
      </c>
      <c r="E16" s="49">
        <v>2793652</v>
      </c>
      <c r="F16" s="70"/>
    </row>
    <row r="17" spans="1:14" s="56" customFormat="1" ht="24" customHeight="1" x14ac:dyDescent="0.2">
      <c r="A17" s="44">
        <v>7</v>
      </c>
      <c r="B17" s="45" t="s">
        <v>322</v>
      </c>
      <c r="C17" s="51">
        <f>C15+C16</f>
        <v>-4227878</v>
      </c>
      <c r="D17" s="51">
        <f>D15+D16</f>
        <v>-7079524</v>
      </c>
      <c r="E17" s="51">
        <f>E15+E16</f>
        <v>-2562631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497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498</v>
      </c>
      <c r="C20" s="169">
        <f>IF(+C27=0,0,+C24/+C27)</f>
        <v>-8.9100738880921598E-2</v>
      </c>
      <c r="D20" s="169">
        <f>IF(+D27=0,0,+D24/+D27)</f>
        <v>-8.3067545882197738E-2</v>
      </c>
      <c r="E20" s="169">
        <f>IF(+E27=0,0,+E24/+E27)</f>
        <v>-5.6081183589686674E-2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499</v>
      </c>
      <c r="C21" s="169">
        <f>IF(+C27=0,0,+C26/+C27)</f>
        <v>4.1693812250998531E-2</v>
      </c>
      <c r="D21" s="169">
        <f>IF(+D27=0,0,+D26/+D27)</f>
        <v>1.2834042234645467E-3</v>
      </c>
      <c r="E21" s="169">
        <f>IF(+E27=0,0,+E26/+E27)</f>
        <v>2.9250006151223779E-2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500</v>
      </c>
      <c r="C22" s="169">
        <f>IF(+C27=0,0,+C28/+C27)</f>
        <v>-4.7406926629923067E-2</v>
      </c>
      <c r="D22" s="169">
        <f>IF(+D27=0,0,+D28/+D27)</f>
        <v>-8.1784141658733184E-2</v>
      </c>
      <c r="E22" s="169">
        <f>IF(+E27=0,0,+E28/+E27)</f>
        <v>-2.6831177438462896E-2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-7946245</v>
      </c>
      <c r="D24" s="51">
        <f>+D15</f>
        <v>-7190620</v>
      </c>
      <c r="E24" s="51">
        <f>+E15</f>
        <v>-5356283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85464339</v>
      </c>
      <c r="D25" s="51">
        <f>+D13</f>
        <v>86452434</v>
      </c>
      <c r="E25" s="51">
        <f>+E13</f>
        <v>92715798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3718367</v>
      </c>
      <c r="D26" s="51">
        <f>+D16</f>
        <v>111096</v>
      </c>
      <c r="E26" s="51">
        <f>+E16</f>
        <v>2793652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327</v>
      </c>
      <c r="C27" s="51">
        <f>SUM(C25:C26)</f>
        <v>89182706</v>
      </c>
      <c r="D27" s="51">
        <f>SUM(D25:D26)</f>
        <v>86563530</v>
      </c>
      <c r="E27" s="51">
        <f>SUM(E25:E26)</f>
        <v>95509450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322</v>
      </c>
      <c r="C28" s="51">
        <f>+C17</f>
        <v>-4227878</v>
      </c>
      <c r="D28" s="51">
        <f>+D17</f>
        <v>-7079524</v>
      </c>
      <c r="E28" s="51">
        <f>+E17</f>
        <v>-2562631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501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502</v>
      </c>
      <c r="C31" s="51">
        <v>35488206</v>
      </c>
      <c r="D31" s="51">
        <v>23731621</v>
      </c>
      <c r="E31" s="52">
        <v>15462135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503</v>
      </c>
      <c r="C32" s="51">
        <v>36814704</v>
      </c>
      <c r="D32" s="51">
        <v>25031545</v>
      </c>
      <c r="E32" s="51">
        <v>16805339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504</v>
      </c>
      <c r="C33" s="51">
        <v>-9744670</v>
      </c>
      <c r="D33" s="51">
        <f>+D32-C32</f>
        <v>-11783159</v>
      </c>
      <c r="E33" s="51">
        <f>+E32-D32</f>
        <v>-8226206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505</v>
      </c>
      <c r="C34" s="171">
        <v>0.79069999999999996</v>
      </c>
      <c r="D34" s="171">
        <f>IF(C32=0,0,+D33/C32)</f>
        <v>-0.32006665054267447</v>
      </c>
      <c r="E34" s="171">
        <f>IF(D32=0,0,+E33/D32)</f>
        <v>-0.32863357016117062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333</v>
      </c>
      <c r="B36" s="16" t="s">
        <v>355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356</v>
      </c>
      <c r="C38" s="269">
        <f>IF(+C40=0,0,+C39/+C40)</f>
        <v>1.0414926248571956</v>
      </c>
      <c r="D38" s="269">
        <f>IF(+D40=0,0,+D39/+D40)</f>
        <v>1.0735962756217052</v>
      </c>
      <c r="E38" s="269">
        <f>IF(+E40=0,0,+E39/+E40)</f>
        <v>1.0589079330353635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17465246</v>
      </c>
      <c r="D39" s="270">
        <v>18572828</v>
      </c>
      <c r="E39" s="270">
        <v>18172170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16769438</v>
      </c>
      <c r="D40" s="270">
        <v>17299639</v>
      </c>
      <c r="E40" s="270">
        <v>17161237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357</v>
      </c>
      <c r="C42" s="271">
        <f>IF((C48/365)=0,0,+C45/(C48/365))</f>
        <v>9.8558311087537049</v>
      </c>
      <c r="D42" s="271">
        <f>IF((D48/365)=0,0,+D45/(D48/365))</f>
        <v>10.651210187629292</v>
      </c>
      <c r="E42" s="271">
        <f>IF((E48/365)=0,0,+E45/(E48/365))</f>
        <v>6.9473259239080374</v>
      </c>
    </row>
    <row r="43" spans="1:14" ht="24" customHeight="1" x14ac:dyDescent="0.2">
      <c r="A43" s="17">
        <v>5</v>
      </c>
      <c r="B43" s="188" t="s">
        <v>16</v>
      </c>
      <c r="C43" s="272">
        <v>2195638</v>
      </c>
      <c r="D43" s="272">
        <v>2404819</v>
      </c>
      <c r="E43" s="272">
        <v>1579650</v>
      </c>
    </row>
    <row r="44" spans="1:14" ht="24" customHeight="1" x14ac:dyDescent="0.2">
      <c r="A44" s="17">
        <v>6</v>
      </c>
      <c r="B44" s="273" t="s">
        <v>17</v>
      </c>
      <c r="C44" s="274">
        <v>224820</v>
      </c>
      <c r="D44" s="274">
        <v>225915</v>
      </c>
      <c r="E44" s="274">
        <v>226782</v>
      </c>
    </row>
    <row r="45" spans="1:14" ht="24" customHeight="1" x14ac:dyDescent="0.2">
      <c r="A45" s="17">
        <v>7</v>
      </c>
      <c r="B45" s="45" t="s">
        <v>358</v>
      </c>
      <c r="C45" s="270">
        <f>+C43+C44</f>
        <v>2420458</v>
      </c>
      <c r="D45" s="270">
        <f>+D43+D44</f>
        <v>2630734</v>
      </c>
      <c r="E45" s="270">
        <f>+E43+E44</f>
        <v>1806432</v>
      </c>
    </row>
    <row r="46" spans="1:14" ht="24" customHeight="1" x14ac:dyDescent="0.2">
      <c r="A46" s="17">
        <v>8</v>
      </c>
      <c r="B46" s="45" t="s">
        <v>336</v>
      </c>
      <c r="C46" s="270">
        <f>+C14</f>
        <v>93410584</v>
      </c>
      <c r="D46" s="270">
        <f>+D14</f>
        <v>93643054</v>
      </c>
      <c r="E46" s="270">
        <f>+E14</f>
        <v>98072081</v>
      </c>
    </row>
    <row r="47" spans="1:14" ht="24" customHeight="1" x14ac:dyDescent="0.2">
      <c r="A47" s="17">
        <v>9</v>
      </c>
      <c r="B47" s="45" t="s">
        <v>359</v>
      </c>
      <c r="C47" s="270">
        <v>3771551</v>
      </c>
      <c r="D47" s="270">
        <v>3491992</v>
      </c>
      <c r="E47" s="270">
        <v>3165395</v>
      </c>
    </row>
    <row r="48" spans="1:14" ht="24" customHeight="1" x14ac:dyDescent="0.2">
      <c r="A48" s="17">
        <v>10</v>
      </c>
      <c r="B48" s="45" t="s">
        <v>360</v>
      </c>
      <c r="C48" s="270">
        <f>+C46-C47</f>
        <v>89639033</v>
      </c>
      <c r="D48" s="270">
        <f>+D46-D47</f>
        <v>90151062</v>
      </c>
      <c r="E48" s="270">
        <f>+E46-E47</f>
        <v>94906686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361</v>
      </c>
      <c r="C50" s="278">
        <f>IF((C55/365)=0,0,+C54/(C55/365))</f>
        <v>47.449885919073196</v>
      </c>
      <c r="D50" s="278">
        <f>IF((D55/365)=0,0,+D54/(D55/365))</f>
        <v>48.446742101215428</v>
      </c>
      <c r="E50" s="278">
        <f>IF((E55/365)=0,0,+E54/(E55/365))</f>
        <v>48.965391182259864</v>
      </c>
    </row>
    <row r="51" spans="1:5" ht="24" customHeight="1" x14ac:dyDescent="0.2">
      <c r="A51" s="17">
        <v>12</v>
      </c>
      <c r="B51" s="188" t="s">
        <v>362</v>
      </c>
      <c r="C51" s="279">
        <v>12871074</v>
      </c>
      <c r="D51" s="279">
        <v>13593372</v>
      </c>
      <c r="E51" s="279">
        <v>13057002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1977820</v>
      </c>
      <c r="D53" s="270">
        <v>2318298</v>
      </c>
      <c r="E53" s="270">
        <v>1100013</v>
      </c>
    </row>
    <row r="54" spans="1:5" ht="32.25" customHeight="1" x14ac:dyDescent="0.2">
      <c r="A54" s="17">
        <v>15</v>
      </c>
      <c r="B54" s="45" t="s">
        <v>363</v>
      </c>
      <c r="C54" s="280">
        <f>+C51+C52-C53</f>
        <v>10893254</v>
      </c>
      <c r="D54" s="280">
        <f>+D51+D52-D53</f>
        <v>11275074</v>
      </c>
      <c r="E54" s="280">
        <f>+E51+E52-E53</f>
        <v>11956989</v>
      </c>
    </row>
    <row r="55" spans="1:5" ht="24" customHeight="1" x14ac:dyDescent="0.2">
      <c r="A55" s="17">
        <v>16</v>
      </c>
      <c r="B55" s="45" t="s">
        <v>75</v>
      </c>
      <c r="C55" s="270">
        <f>+C11</f>
        <v>83794463</v>
      </c>
      <c r="D55" s="270">
        <f>+D11</f>
        <v>84946930</v>
      </c>
      <c r="E55" s="270">
        <f>+E11</f>
        <v>89130320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364</v>
      </c>
      <c r="C57" s="283">
        <f>IF((C61/365)=0,0,+C58/(C61/365))</f>
        <v>68.283254126581213</v>
      </c>
      <c r="D57" s="283">
        <f>IF((D61/365)=0,0,+D58/(D61/365))</f>
        <v>70.042083752712756</v>
      </c>
      <c r="E57" s="283">
        <f>IF((E61/365)=0,0,+E58/(E61/365))</f>
        <v>66.000107779550959</v>
      </c>
    </row>
    <row r="58" spans="1:5" ht="24" customHeight="1" x14ac:dyDescent="0.2">
      <c r="A58" s="17">
        <v>18</v>
      </c>
      <c r="B58" s="45" t="s">
        <v>54</v>
      </c>
      <c r="C58" s="281">
        <f>+C40</f>
        <v>16769438</v>
      </c>
      <c r="D58" s="281">
        <f>+D40</f>
        <v>17299639</v>
      </c>
      <c r="E58" s="281">
        <f>+E40</f>
        <v>17161237</v>
      </c>
    </row>
    <row r="59" spans="1:5" ht="24" customHeight="1" x14ac:dyDescent="0.2">
      <c r="A59" s="17">
        <v>19</v>
      </c>
      <c r="B59" s="45" t="s">
        <v>336</v>
      </c>
      <c r="C59" s="281">
        <f t="shared" ref="C59:E60" si="0">+C46</f>
        <v>93410584</v>
      </c>
      <c r="D59" s="281">
        <f t="shared" si="0"/>
        <v>93643054</v>
      </c>
      <c r="E59" s="281">
        <f t="shared" si="0"/>
        <v>98072081</v>
      </c>
    </row>
    <row r="60" spans="1:5" ht="24" customHeight="1" x14ac:dyDescent="0.2">
      <c r="A60" s="17">
        <v>20</v>
      </c>
      <c r="B60" s="45" t="s">
        <v>359</v>
      </c>
      <c r="C60" s="176">
        <f t="shared" si="0"/>
        <v>3771551</v>
      </c>
      <c r="D60" s="176">
        <f t="shared" si="0"/>
        <v>3491992</v>
      </c>
      <c r="E60" s="176">
        <f t="shared" si="0"/>
        <v>3165395</v>
      </c>
    </row>
    <row r="61" spans="1:5" ht="24" customHeight="1" x14ac:dyDescent="0.2">
      <c r="A61" s="17">
        <v>21</v>
      </c>
      <c r="B61" s="45" t="s">
        <v>365</v>
      </c>
      <c r="C61" s="281">
        <f>+C59-C60</f>
        <v>89639033</v>
      </c>
      <c r="D61" s="281">
        <f>+D59-D60</f>
        <v>90151062</v>
      </c>
      <c r="E61" s="281">
        <f>+E59-E60</f>
        <v>94906686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354</v>
      </c>
      <c r="B63" s="16" t="s">
        <v>367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368</v>
      </c>
      <c r="C65" s="284">
        <f>IF(C67=0,0,(C66/C67)*100)</f>
        <v>41.475827132544993</v>
      </c>
      <c r="D65" s="284">
        <f>IF(D67=0,0,(D66/D67)*100)</f>
        <v>30.477297002286875</v>
      </c>
      <c r="E65" s="284">
        <f>IF(E67=0,0,(E66/E67)*100)</f>
        <v>22.260393586020506</v>
      </c>
    </row>
    <row r="66" spans="1:5" ht="24" customHeight="1" x14ac:dyDescent="0.2">
      <c r="A66" s="17">
        <v>2</v>
      </c>
      <c r="B66" s="45" t="s">
        <v>67</v>
      </c>
      <c r="C66" s="281">
        <f>+C32</f>
        <v>36814704</v>
      </c>
      <c r="D66" s="281">
        <f>+D32</f>
        <v>25031545</v>
      </c>
      <c r="E66" s="281">
        <f>+E32</f>
        <v>16805339</v>
      </c>
    </row>
    <row r="67" spans="1:5" ht="24" customHeight="1" x14ac:dyDescent="0.2">
      <c r="A67" s="17">
        <v>3</v>
      </c>
      <c r="B67" s="45" t="s">
        <v>43</v>
      </c>
      <c r="C67" s="281">
        <v>88761832</v>
      </c>
      <c r="D67" s="281">
        <v>82131775</v>
      </c>
      <c r="E67" s="281">
        <v>75494348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369</v>
      </c>
      <c r="C69" s="284">
        <f>IF(C75=0,0,(C72/C75)*100)</f>
        <v>-1.8992323526471435</v>
      </c>
      <c r="D69" s="284">
        <f>IF(D75=0,0,(D72/D75)*100)</f>
        <v>-14.276777912582963</v>
      </c>
      <c r="E69" s="284">
        <f>IF(E75=0,0,(E72/E75)*100)</f>
        <v>2.5189431407814755</v>
      </c>
    </row>
    <row r="70" spans="1:5" ht="24" customHeight="1" x14ac:dyDescent="0.2">
      <c r="A70" s="17">
        <v>5</v>
      </c>
      <c r="B70" s="45" t="s">
        <v>370</v>
      </c>
      <c r="C70" s="281">
        <f>+C28</f>
        <v>-4227878</v>
      </c>
      <c r="D70" s="281">
        <f>+D28</f>
        <v>-7079524</v>
      </c>
      <c r="E70" s="281">
        <f>+E28</f>
        <v>-2562631</v>
      </c>
    </row>
    <row r="71" spans="1:5" ht="24" customHeight="1" x14ac:dyDescent="0.2">
      <c r="A71" s="17">
        <v>6</v>
      </c>
      <c r="B71" s="45" t="s">
        <v>359</v>
      </c>
      <c r="C71" s="176">
        <f>+C47</f>
        <v>3771551</v>
      </c>
      <c r="D71" s="176">
        <f>+D47</f>
        <v>3491992</v>
      </c>
      <c r="E71" s="176">
        <f>+E47</f>
        <v>3165395</v>
      </c>
    </row>
    <row r="72" spans="1:5" ht="24" customHeight="1" x14ac:dyDescent="0.2">
      <c r="A72" s="17">
        <v>7</v>
      </c>
      <c r="B72" s="45" t="s">
        <v>371</v>
      </c>
      <c r="C72" s="281">
        <f>+C70+C71</f>
        <v>-456327</v>
      </c>
      <c r="D72" s="281">
        <f>+D70+D71</f>
        <v>-3587532</v>
      </c>
      <c r="E72" s="281">
        <f>+E70+E71</f>
        <v>602764</v>
      </c>
    </row>
    <row r="73" spans="1:5" ht="24" customHeight="1" x14ac:dyDescent="0.2">
      <c r="A73" s="17">
        <v>8</v>
      </c>
      <c r="B73" s="45" t="s">
        <v>54</v>
      </c>
      <c r="C73" s="270">
        <f>+C40</f>
        <v>16769438</v>
      </c>
      <c r="D73" s="270">
        <f>+D40</f>
        <v>17299639</v>
      </c>
      <c r="E73" s="270">
        <f>+E40</f>
        <v>17161237</v>
      </c>
    </row>
    <row r="74" spans="1:5" ht="24" customHeight="1" x14ac:dyDescent="0.2">
      <c r="A74" s="17">
        <v>9</v>
      </c>
      <c r="B74" s="45" t="s">
        <v>58</v>
      </c>
      <c r="C74" s="281">
        <v>7257480</v>
      </c>
      <c r="D74" s="281">
        <v>7828804</v>
      </c>
      <c r="E74" s="281">
        <v>6768005</v>
      </c>
    </row>
    <row r="75" spans="1:5" ht="24" customHeight="1" x14ac:dyDescent="0.2">
      <c r="A75" s="17">
        <v>10</v>
      </c>
      <c r="B75" s="285" t="s">
        <v>372</v>
      </c>
      <c r="C75" s="270">
        <f>+C73+C74</f>
        <v>24026918</v>
      </c>
      <c r="D75" s="270">
        <f>+D73+D74</f>
        <v>25128443</v>
      </c>
      <c r="E75" s="270">
        <f>+E73+E74</f>
        <v>23929242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373</v>
      </c>
      <c r="C77" s="286">
        <f>IF(C80=0,0,(C78/C80)*100)</f>
        <v>16.467257442925906</v>
      </c>
      <c r="D77" s="286">
        <f>IF(D80=0,0,(D78/D80)*100)</f>
        <v>23.824470032256809</v>
      </c>
      <c r="E77" s="286">
        <f>IF(E80=0,0,(E78/E80)*100)</f>
        <v>28.710415459088029</v>
      </c>
    </row>
    <row r="78" spans="1:5" ht="24" customHeight="1" x14ac:dyDescent="0.2">
      <c r="A78" s="17">
        <v>12</v>
      </c>
      <c r="B78" s="45" t="s">
        <v>58</v>
      </c>
      <c r="C78" s="270">
        <f>+C74</f>
        <v>7257480</v>
      </c>
      <c r="D78" s="270">
        <f>+D74</f>
        <v>7828804</v>
      </c>
      <c r="E78" s="270">
        <f>+E74</f>
        <v>6768005</v>
      </c>
    </row>
    <row r="79" spans="1:5" ht="24" customHeight="1" x14ac:dyDescent="0.2">
      <c r="A79" s="17">
        <v>13</v>
      </c>
      <c r="B79" s="45" t="s">
        <v>67</v>
      </c>
      <c r="C79" s="270">
        <f>+C32</f>
        <v>36814704</v>
      </c>
      <c r="D79" s="270">
        <f>+D32</f>
        <v>25031545</v>
      </c>
      <c r="E79" s="270">
        <f>+E32</f>
        <v>16805339</v>
      </c>
    </row>
    <row r="80" spans="1:5" ht="24" customHeight="1" x14ac:dyDescent="0.2">
      <c r="A80" s="17">
        <v>14</v>
      </c>
      <c r="B80" s="45" t="s">
        <v>374</v>
      </c>
      <c r="C80" s="270">
        <f>+C78+C79</f>
        <v>44072184</v>
      </c>
      <c r="D80" s="270">
        <f>+D78+D79</f>
        <v>32860349</v>
      </c>
      <c r="E80" s="270">
        <f>+E78+E79</f>
        <v>23573344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r:id="rId1"/>
  <headerFooter>
    <oddHeader>&amp;L&amp;8OFFICE OF HEALTH CARE ACCESS&amp;C&amp;8TWELVE MONTHS ACTUAL FILING&amp;R&amp;8MILFORD HEALTH &amp;AMP; MEDICAL,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506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507</v>
      </c>
      <c r="E6" s="126" t="s">
        <v>508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509</v>
      </c>
      <c r="I7" s="126" t="s">
        <v>509</v>
      </c>
      <c r="J7" s="125"/>
      <c r="K7" s="289"/>
    </row>
    <row r="8" spans="1:11" ht="15.75" customHeight="1" x14ac:dyDescent="0.25">
      <c r="A8" s="287"/>
      <c r="B8" s="126"/>
      <c r="C8" s="126" t="s">
        <v>510</v>
      </c>
      <c r="D8" s="126" t="s">
        <v>511</v>
      </c>
      <c r="E8" s="126" t="s">
        <v>512</v>
      </c>
      <c r="F8" s="126" t="s">
        <v>513</v>
      </c>
      <c r="G8" s="126" t="s">
        <v>514</v>
      </c>
      <c r="H8" s="126" t="s">
        <v>515</v>
      </c>
      <c r="I8" s="126" t="s">
        <v>516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517</v>
      </c>
      <c r="D9" s="292" t="s">
        <v>518</v>
      </c>
      <c r="E9" s="292" t="s">
        <v>519</v>
      </c>
      <c r="F9" s="292" t="s">
        <v>520</v>
      </c>
      <c r="G9" s="292" t="s">
        <v>521</v>
      </c>
      <c r="H9" s="292" t="s">
        <v>520</v>
      </c>
      <c r="I9" s="292" t="s">
        <v>521</v>
      </c>
      <c r="J9" s="125"/>
      <c r="K9" s="56"/>
    </row>
    <row r="10" spans="1:11" ht="15.75" customHeight="1" x14ac:dyDescent="0.25">
      <c r="A10" s="293" t="s">
        <v>519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522</v>
      </c>
      <c r="C11" s="296">
        <v>11724</v>
      </c>
      <c r="D11" s="296">
        <v>3178</v>
      </c>
      <c r="E11" s="296">
        <v>3180</v>
      </c>
      <c r="F11" s="297">
        <v>33</v>
      </c>
      <c r="G11" s="297">
        <v>78</v>
      </c>
      <c r="H11" s="298">
        <f>IF(F11=0,0,$C11/(F11*365))</f>
        <v>0.97334993773349943</v>
      </c>
      <c r="I11" s="298">
        <f>IF(G11=0,0,$C11/(G11*365))</f>
        <v>0.41180189673340356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523</v>
      </c>
      <c r="C13" s="296">
        <v>1853</v>
      </c>
      <c r="D13" s="296">
        <v>548</v>
      </c>
      <c r="E13" s="296">
        <v>0</v>
      </c>
      <c r="F13" s="297">
        <v>6</v>
      </c>
      <c r="G13" s="297">
        <v>10</v>
      </c>
      <c r="H13" s="298">
        <f>IF(F13=0,0,$C13/(F13*365))</f>
        <v>0.84611872146118716</v>
      </c>
      <c r="I13" s="298">
        <f>IF(G13=0,0,$C13/(G13*365))</f>
        <v>0.50767123287671234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524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525</v>
      </c>
      <c r="C16" s="296">
        <v>0</v>
      </c>
      <c r="D16" s="296">
        <v>0</v>
      </c>
      <c r="E16" s="296">
        <v>0</v>
      </c>
      <c r="F16" s="297">
        <v>0</v>
      </c>
      <c r="G16" s="297">
        <v>0</v>
      </c>
      <c r="H16" s="298">
        <f t="shared" si="0"/>
        <v>0</v>
      </c>
      <c r="I16" s="298">
        <f t="shared" si="0"/>
        <v>0</v>
      </c>
      <c r="J16" s="125"/>
      <c r="K16" s="299"/>
    </row>
    <row r="17" spans="1:11" ht="15.75" customHeight="1" x14ac:dyDescent="0.25">
      <c r="A17" s="293"/>
      <c r="B17" s="135" t="s">
        <v>526</v>
      </c>
      <c r="C17" s="300">
        <f>SUM(C15:C16)</f>
        <v>0</v>
      </c>
      <c r="D17" s="300">
        <f>SUM(D15:D16)</f>
        <v>0</v>
      </c>
      <c r="E17" s="300">
        <f>SUM(E15:E16)</f>
        <v>0</v>
      </c>
      <c r="F17" s="300">
        <f>SUM(F15:F16)</f>
        <v>0</v>
      </c>
      <c r="G17" s="300">
        <f>SUM(G15:G16)</f>
        <v>0</v>
      </c>
      <c r="H17" s="301">
        <f t="shared" si="0"/>
        <v>0</v>
      </c>
      <c r="I17" s="301">
        <f t="shared" si="0"/>
        <v>0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527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528</v>
      </c>
      <c r="C21" s="296">
        <v>591</v>
      </c>
      <c r="D21" s="296">
        <v>201</v>
      </c>
      <c r="E21" s="296">
        <v>198</v>
      </c>
      <c r="F21" s="297">
        <v>4</v>
      </c>
      <c r="G21" s="297">
        <v>12</v>
      </c>
      <c r="H21" s="298">
        <f>IF(F21=0,0,$C21/(F21*365))</f>
        <v>0.40479452054794518</v>
      </c>
      <c r="I21" s="298">
        <f>IF(G21=0,0,$C21/(G21*365))</f>
        <v>0.13493150684931507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529</v>
      </c>
      <c r="C23" s="296">
        <v>588</v>
      </c>
      <c r="D23" s="296">
        <v>201</v>
      </c>
      <c r="E23" s="296">
        <v>200</v>
      </c>
      <c r="F23" s="297">
        <v>4</v>
      </c>
      <c r="G23" s="297">
        <v>12</v>
      </c>
      <c r="H23" s="298">
        <f>IF(F23=0,0,$C23/(F23*365))</f>
        <v>0.40273972602739727</v>
      </c>
      <c r="I23" s="298">
        <f>IF(G23=0,0,$C23/(G23*365))</f>
        <v>0.13424657534246576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307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530</v>
      </c>
      <c r="C27" s="296">
        <v>0</v>
      </c>
      <c r="D27" s="296">
        <v>0</v>
      </c>
      <c r="E27" s="296">
        <v>0</v>
      </c>
      <c r="F27" s="297">
        <v>0</v>
      </c>
      <c r="G27" s="297">
        <v>6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531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532</v>
      </c>
      <c r="C31" s="300">
        <f>SUM(C10:C29)-C17-C23</f>
        <v>14168</v>
      </c>
      <c r="D31" s="300">
        <f>SUM(D10:D29)-D13-D17-D23</f>
        <v>3379</v>
      </c>
      <c r="E31" s="300">
        <f>SUM(E10:E29)-E17-E23</f>
        <v>3378</v>
      </c>
      <c r="F31" s="300">
        <f>SUM(F10:F29)-F17-F23</f>
        <v>43</v>
      </c>
      <c r="G31" s="300">
        <f>SUM(G10:G29)-G17-G23</f>
        <v>106</v>
      </c>
      <c r="H31" s="301">
        <f>IF(F31=0,0,$C31/(F31*365))</f>
        <v>0.9027078687480089</v>
      </c>
      <c r="I31" s="301">
        <f>IF(G31=0,0,$C31/(G31*365))</f>
        <v>0.36619281468079606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533</v>
      </c>
      <c r="C33" s="300">
        <f>SUM(C10:C29)-C17</f>
        <v>14756</v>
      </c>
      <c r="D33" s="300">
        <f>SUM(D10:D29)-D13-D17</f>
        <v>3580</v>
      </c>
      <c r="E33" s="300">
        <f>SUM(E10:E29)-E17</f>
        <v>3578</v>
      </c>
      <c r="F33" s="300">
        <f>SUM(F10:F29)-F17</f>
        <v>47</v>
      </c>
      <c r="G33" s="300">
        <f>SUM(G10:G29)-G17</f>
        <v>118</v>
      </c>
      <c r="H33" s="301">
        <f>IF(F33=0,0,$C33/(F33*365))</f>
        <v>0.8601573885164675</v>
      </c>
      <c r="I33" s="301">
        <f>IF(G33=0,0,$C33/(G33*365))</f>
        <v>0.34260506152774556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534</v>
      </c>
      <c r="C36" s="300">
        <f t="shared" ref="C36:I36" si="1">+C33</f>
        <v>14756</v>
      </c>
      <c r="D36" s="300">
        <f t="shared" si="1"/>
        <v>3580</v>
      </c>
      <c r="E36" s="300">
        <f t="shared" si="1"/>
        <v>3578</v>
      </c>
      <c r="F36" s="300">
        <f t="shared" si="1"/>
        <v>47</v>
      </c>
      <c r="G36" s="300">
        <f t="shared" si="1"/>
        <v>118</v>
      </c>
      <c r="H36" s="301">
        <f t="shared" si="1"/>
        <v>0.8601573885164675</v>
      </c>
      <c r="I36" s="301">
        <f t="shared" si="1"/>
        <v>0.34260506152774556</v>
      </c>
      <c r="J36" s="125"/>
      <c r="K36" s="299"/>
    </row>
    <row r="37" spans="1:11" ht="15.75" customHeight="1" x14ac:dyDescent="0.25">
      <c r="A37" s="293"/>
      <c r="B37" s="135" t="s">
        <v>535</v>
      </c>
      <c r="C37" s="300">
        <v>17312</v>
      </c>
      <c r="D37" s="300">
        <v>4374</v>
      </c>
      <c r="E37" s="300">
        <v>4361</v>
      </c>
      <c r="F37" s="302">
        <v>49</v>
      </c>
      <c r="G37" s="302">
        <v>118</v>
      </c>
      <c r="H37" s="301">
        <f>IF(F37=0,0,$C37/(F37*365))</f>
        <v>0.9679619793122729</v>
      </c>
      <c r="I37" s="301">
        <f>IF(G37=0,0,$C37/(G37*365))</f>
        <v>0.40195031344323195</v>
      </c>
      <c r="J37" s="125"/>
      <c r="K37" s="299"/>
    </row>
    <row r="38" spans="1:11" ht="15.75" customHeight="1" x14ac:dyDescent="0.25">
      <c r="A38" s="293"/>
      <c r="B38" s="135" t="s">
        <v>536</v>
      </c>
      <c r="C38" s="300">
        <f t="shared" ref="C38:I38" si="2">+C36-C37</f>
        <v>-2556</v>
      </c>
      <c r="D38" s="300">
        <f t="shared" si="2"/>
        <v>-794</v>
      </c>
      <c r="E38" s="300">
        <f t="shared" si="2"/>
        <v>-783</v>
      </c>
      <c r="F38" s="300">
        <f t="shared" si="2"/>
        <v>-2</v>
      </c>
      <c r="G38" s="300">
        <f t="shared" si="2"/>
        <v>0</v>
      </c>
      <c r="H38" s="301">
        <f t="shared" si="2"/>
        <v>-0.1078045907958054</v>
      </c>
      <c r="I38" s="301">
        <f t="shared" si="2"/>
        <v>-5.9345251915486397E-2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537</v>
      </c>
      <c r="C40" s="148">
        <f t="shared" ref="C40:I40" si="3">IF(C37=0,0,C38/C37)</f>
        <v>-0.14764325323475047</v>
      </c>
      <c r="D40" s="148">
        <f t="shared" si="3"/>
        <v>-0.18152720621856425</v>
      </c>
      <c r="E40" s="148">
        <f t="shared" si="3"/>
        <v>-0.17954597569364825</v>
      </c>
      <c r="F40" s="148">
        <f t="shared" si="3"/>
        <v>-4.0816326530612242E-2</v>
      </c>
      <c r="G40" s="148">
        <f t="shared" si="3"/>
        <v>0</v>
      </c>
      <c r="H40" s="148">
        <f t="shared" si="3"/>
        <v>-0.11137275337239946</v>
      </c>
      <c r="I40" s="148">
        <f t="shared" si="3"/>
        <v>-0.14764325323475042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538</v>
      </c>
      <c r="C42" s="295">
        <v>118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539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519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4" t="s">
        <v>540</v>
      </c>
      <c r="B46" s="305"/>
      <c r="C46" s="125"/>
      <c r="D46" s="125"/>
      <c r="E46" s="125"/>
      <c r="F46" s="125"/>
      <c r="G46" s="125"/>
      <c r="H46" s="125"/>
      <c r="I46" s="125"/>
      <c r="J46" s="125"/>
      <c r="K46" s="299"/>
    </row>
    <row r="47" spans="1:11" ht="15.75" customHeight="1" x14ac:dyDescent="0.25">
      <c r="A47" s="306"/>
      <c r="B47" s="305"/>
      <c r="C47" s="305"/>
      <c r="D47" s="305"/>
      <c r="E47" s="305"/>
      <c r="F47" s="305"/>
      <c r="G47" s="305"/>
      <c r="H47" s="305"/>
      <c r="I47" s="305"/>
    </row>
    <row r="48" spans="1:11" ht="15" customHeight="1" x14ac:dyDescent="0.25">
      <c r="B48" s="26"/>
      <c r="C48" s="48"/>
    </row>
  </sheetData>
  <printOptions horizontalCentered="1" gridLines="1"/>
  <pageMargins left="0.5" right="0.5" top="0.5" bottom="0.5" header="0.25" footer="0.25"/>
  <pageSetup paperSize="9" scale="74" orientation="landscape" r:id="rId1"/>
  <headerFooter>
    <oddHeader>&amp;LOFFICE OF HEALTH CARE ACCESS&amp;CTWELVE MONTHS ACTUAL FILING&amp;RMILFORD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/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541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542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543</v>
      </c>
      <c r="C12" s="296">
        <v>983</v>
      </c>
      <c r="D12" s="296">
        <v>628</v>
      </c>
      <c r="E12" s="296">
        <f>+D12-C12</f>
        <v>-355</v>
      </c>
      <c r="F12" s="316">
        <f>IF(C12=0,0,+E12/C12)</f>
        <v>-0.36113936927772128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544</v>
      </c>
      <c r="C13" s="296">
        <v>1726</v>
      </c>
      <c r="D13" s="296">
        <v>1622</v>
      </c>
      <c r="E13" s="296">
        <f>+D13-C13</f>
        <v>-104</v>
      </c>
      <c r="F13" s="316">
        <f>IF(C13=0,0,+E13/C13)</f>
        <v>-6.0254924681344149E-2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545</v>
      </c>
      <c r="C14" s="296">
        <v>6445</v>
      </c>
      <c r="D14" s="296">
        <v>5887</v>
      </c>
      <c r="E14" s="296">
        <f>+D14-C14</f>
        <v>-558</v>
      </c>
      <c r="F14" s="316">
        <f>IF(C14=0,0,+E14/C14)</f>
        <v>-8.6578743211792084E-2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546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547</v>
      </c>
      <c r="C16" s="300">
        <f>SUM(C12:C15)</f>
        <v>9154</v>
      </c>
      <c r="D16" s="300">
        <f>SUM(D12:D15)</f>
        <v>8137</v>
      </c>
      <c r="E16" s="300">
        <f>+D16-C16</f>
        <v>-1017</v>
      </c>
      <c r="F16" s="309">
        <f>IF(C16=0,0,+E16/C16)</f>
        <v>-0.11109897312650208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548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543</v>
      </c>
      <c r="C19" s="296">
        <v>335</v>
      </c>
      <c r="D19" s="296">
        <v>258</v>
      </c>
      <c r="E19" s="296">
        <f>+D19-C19</f>
        <v>-77</v>
      </c>
      <c r="F19" s="316">
        <f>IF(C19=0,0,+E19/C19)</f>
        <v>-0.2298507462686567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544</v>
      </c>
      <c r="C20" s="296">
        <v>1773</v>
      </c>
      <c r="D20" s="296">
        <v>1794</v>
      </c>
      <c r="E20" s="296">
        <f>+D20-C20</f>
        <v>21</v>
      </c>
      <c r="F20" s="316">
        <f>IF(C20=0,0,+E20/C20)</f>
        <v>1.1844331641285956E-2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545</v>
      </c>
      <c r="C21" s="296">
        <v>94</v>
      </c>
      <c r="D21" s="296">
        <v>75</v>
      </c>
      <c r="E21" s="296">
        <f>+D21-C21</f>
        <v>-19</v>
      </c>
      <c r="F21" s="316">
        <f>IF(C21=0,0,+E21/C21)</f>
        <v>-0.20212765957446807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546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549</v>
      </c>
      <c r="C23" s="300">
        <f>SUM(C19:C22)</f>
        <v>2202</v>
      </c>
      <c r="D23" s="300">
        <f>SUM(D19:D22)</f>
        <v>2127</v>
      </c>
      <c r="E23" s="300">
        <f>+D23-C23</f>
        <v>-75</v>
      </c>
      <c r="F23" s="309">
        <f>IF(C23=0,0,+E23/C23)</f>
        <v>-3.4059945504087197E-2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550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543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544</v>
      </c>
      <c r="C27" s="296">
        <v>52</v>
      </c>
      <c r="D27" s="296">
        <v>68</v>
      </c>
      <c r="E27" s="296">
        <f>+D27-C27</f>
        <v>16</v>
      </c>
      <c r="F27" s="316">
        <f>IF(C27=0,0,+E27/C27)</f>
        <v>0.30769230769230771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545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546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551</v>
      </c>
      <c r="C30" s="300">
        <f>SUM(C26:C29)</f>
        <v>52</v>
      </c>
      <c r="D30" s="300">
        <f>SUM(D26:D29)</f>
        <v>68</v>
      </c>
      <c r="E30" s="300">
        <f>+D30-C30</f>
        <v>16</v>
      </c>
      <c r="F30" s="309">
        <f>IF(C30=0,0,+E30/C30)</f>
        <v>0.30769230769230771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333</v>
      </c>
      <c r="B32" s="291" t="s">
        <v>552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543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544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545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546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553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554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555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354</v>
      </c>
      <c r="B42" s="291" t="s">
        <v>556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557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558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559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366</v>
      </c>
      <c r="B47" s="291" t="s">
        <v>560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557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558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561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378</v>
      </c>
      <c r="B52" s="291" t="s">
        <v>562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563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564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565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382</v>
      </c>
      <c r="B57" s="291" t="s">
        <v>566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567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568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569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570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571</v>
      </c>
      <c r="C63" s="296">
        <v>1180</v>
      </c>
      <c r="D63" s="296">
        <v>1091</v>
      </c>
      <c r="E63" s="296">
        <f>+D63-C63</f>
        <v>-89</v>
      </c>
      <c r="F63" s="316">
        <f>IF(C63=0,0,+E63/C63)</f>
        <v>-7.5423728813559326E-2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572</v>
      </c>
      <c r="C64" s="296">
        <v>2139</v>
      </c>
      <c r="D64" s="296">
        <v>1936</v>
      </c>
      <c r="E64" s="296">
        <f>+D64-C64</f>
        <v>-203</v>
      </c>
      <c r="F64" s="316">
        <f>IF(C64=0,0,+E64/C64)</f>
        <v>-9.4904160822814401E-2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573</v>
      </c>
      <c r="C65" s="300">
        <f>SUM(C63:C64)</f>
        <v>3319</v>
      </c>
      <c r="D65" s="300">
        <f>SUM(D63:D64)</f>
        <v>3027</v>
      </c>
      <c r="E65" s="300">
        <f>+D65-C65</f>
        <v>-292</v>
      </c>
      <c r="F65" s="309">
        <f>IF(C65=0,0,+E65/C65)</f>
        <v>-8.797830671889123E-2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408</v>
      </c>
      <c r="B67" s="291" t="s">
        <v>574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575</v>
      </c>
      <c r="C68" s="296">
        <v>301</v>
      </c>
      <c r="D68" s="296">
        <v>245</v>
      </c>
      <c r="E68" s="296">
        <f>+D68-C68</f>
        <v>-56</v>
      </c>
      <c r="F68" s="316">
        <f>IF(C68=0,0,+E68/C68)</f>
        <v>-0.18604651162790697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576</v>
      </c>
      <c r="C69" s="296">
        <v>2520</v>
      </c>
      <c r="D69" s="296">
        <v>2363</v>
      </c>
      <c r="E69" s="296">
        <f>+D69-C69</f>
        <v>-157</v>
      </c>
      <c r="F69" s="318">
        <f>IF(C69=0,0,+E69/C69)</f>
        <v>-6.2301587301587302E-2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577</v>
      </c>
      <c r="C70" s="300">
        <f>SUM(C68:C69)</f>
        <v>2821</v>
      </c>
      <c r="D70" s="300">
        <f>SUM(D68:D69)</f>
        <v>2608</v>
      </c>
      <c r="E70" s="300">
        <f>+D70-C70</f>
        <v>-213</v>
      </c>
      <c r="F70" s="309">
        <f>IF(C70=0,0,+E70/C70)</f>
        <v>-7.5505140021269054E-2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424</v>
      </c>
      <c r="B72" s="291" t="s">
        <v>578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579</v>
      </c>
      <c r="C73" s="319">
        <v>3152</v>
      </c>
      <c r="D73" s="319">
        <v>3025</v>
      </c>
      <c r="E73" s="296">
        <f>+D73-C73</f>
        <v>-127</v>
      </c>
      <c r="F73" s="316">
        <f>IF(C73=0,0,+E73/C73)</f>
        <v>-4.0291878172588835E-2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580</v>
      </c>
      <c r="C74" s="319">
        <v>34292</v>
      </c>
      <c r="D74" s="319">
        <v>33427</v>
      </c>
      <c r="E74" s="296">
        <f>+D74-C74</f>
        <v>-865</v>
      </c>
      <c r="F74" s="316">
        <f>IF(C74=0,0,+E74/C74)</f>
        <v>-2.5224542167269333E-2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440</v>
      </c>
      <c r="C75" s="300">
        <f>SUM(C73:C74)</f>
        <v>37444</v>
      </c>
      <c r="D75" s="300">
        <f>SUM(D73:D74)</f>
        <v>36452</v>
      </c>
      <c r="E75" s="300">
        <f>SUM(E73:E74)</f>
        <v>-992</v>
      </c>
      <c r="F75" s="309">
        <f>IF(C75=0,0,+E75/C75)</f>
        <v>-2.649289605811345E-2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433</v>
      </c>
      <c r="B78" s="291" t="s">
        <v>581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582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583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584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585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586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587</v>
      </c>
      <c r="C84" s="320">
        <f>SUM(C79:C83)</f>
        <v>0</v>
      </c>
      <c r="D84" s="320">
        <f>SUM(D79:D83)</f>
        <v>0</v>
      </c>
      <c r="E84" s="300">
        <f t="shared" si="0"/>
        <v>0</v>
      </c>
      <c r="F84" s="309">
        <f t="shared" si="1"/>
        <v>0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436</v>
      </c>
      <c r="B86" s="291" t="s">
        <v>588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589</v>
      </c>
      <c r="C87" s="322">
        <v>0</v>
      </c>
      <c r="D87" s="322">
        <v>0</v>
      </c>
      <c r="E87" s="323">
        <f t="shared" ref="E87:E92" si="2">+D87-C87</f>
        <v>0</v>
      </c>
      <c r="F87" s="318">
        <f t="shared" ref="F87:F92" si="3">IF(C87=0,0,+E87/C87)</f>
        <v>0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275</v>
      </c>
      <c r="C88" s="322">
        <v>0</v>
      </c>
      <c r="D88" s="322">
        <v>0</v>
      </c>
      <c r="E88" s="296">
        <f t="shared" si="2"/>
        <v>0</v>
      </c>
      <c r="F88" s="316">
        <f t="shared" si="3"/>
        <v>0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590</v>
      </c>
      <c r="C89" s="322">
        <v>0</v>
      </c>
      <c r="D89" s="322">
        <v>0</v>
      </c>
      <c r="E89" s="296">
        <f t="shared" si="2"/>
        <v>0</v>
      </c>
      <c r="F89" s="316">
        <f t="shared" si="3"/>
        <v>0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591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592</v>
      </c>
      <c r="C91" s="322">
        <v>27532</v>
      </c>
      <c r="D91" s="322">
        <v>23926</v>
      </c>
      <c r="E91" s="296">
        <f t="shared" si="2"/>
        <v>-3606</v>
      </c>
      <c r="F91" s="316">
        <f t="shared" si="3"/>
        <v>-0.13097486561092547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593</v>
      </c>
      <c r="C92" s="320">
        <f>SUM(C87:C91)</f>
        <v>27532</v>
      </c>
      <c r="D92" s="320">
        <f>SUM(D87:D91)</f>
        <v>23926</v>
      </c>
      <c r="E92" s="300">
        <f t="shared" si="2"/>
        <v>-3606</v>
      </c>
      <c r="F92" s="309">
        <f t="shared" si="3"/>
        <v>-0.13097486561092547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594</v>
      </c>
      <c r="B95" s="291" t="s">
        <v>595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596</v>
      </c>
      <c r="C96" s="325">
        <v>196</v>
      </c>
      <c r="D96" s="325">
        <v>195</v>
      </c>
      <c r="E96" s="326">
        <f>+D96-C96</f>
        <v>-1</v>
      </c>
      <c r="F96" s="316">
        <f>IF(C96=0,0,+E96/C96)</f>
        <v>-5.1020408163265302E-3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597</v>
      </c>
      <c r="C97" s="325">
        <v>21.5</v>
      </c>
      <c r="D97" s="325">
        <v>18</v>
      </c>
      <c r="E97" s="326">
        <f>+D97-C97</f>
        <v>-3.5</v>
      </c>
      <c r="F97" s="316">
        <f>IF(C97=0,0,+E97/C97)</f>
        <v>-0.16279069767441862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598</v>
      </c>
      <c r="C98" s="325">
        <v>287.5</v>
      </c>
      <c r="D98" s="325">
        <v>294</v>
      </c>
      <c r="E98" s="326">
        <f>+D98-C98</f>
        <v>6.5</v>
      </c>
      <c r="F98" s="316">
        <f>IF(C98=0,0,+E98/C98)</f>
        <v>2.2608695652173914E-2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599</v>
      </c>
      <c r="C99" s="327">
        <f>SUM(C96:C98)</f>
        <v>505</v>
      </c>
      <c r="D99" s="327">
        <f>SUM(D96:D98)</f>
        <v>507</v>
      </c>
      <c r="E99" s="327">
        <f>+D99-C99</f>
        <v>2</v>
      </c>
      <c r="F99" s="309">
        <f>IF(C99=0,0,+E99/C99)</f>
        <v>3.9603960396039604E-3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r:id="rId1"/>
  <headerFooter>
    <oddHeader>&amp;LOFFICE OF HEALTH CARE ACCESS&amp;CTWELVE MONTHS ACTUAL FILING&amp;RMILFORD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75" zoomScaleSheetLayoutView="90" workbookViewId="0"/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600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572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601</v>
      </c>
      <c r="C12" s="296">
        <v>2139</v>
      </c>
      <c r="D12" s="296">
        <v>1936</v>
      </c>
      <c r="E12" s="296">
        <f>+D12-C12</f>
        <v>-203</v>
      </c>
      <c r="F12" s="316">
        <f>IF(C12=0,0,+E12/C12)</f>
        <v>-9.4904160822814401E-2</v>
      </c>
    </row>
    <row r="13" spans="1:16" ht="15.75" customHeight="1" x14ac:dyDescent="0.25">
      <c r="A13" s="294"/>
      <c r="B13" s="135" t="s">
        <v>602</v>
      </c>
      <c r="C13" s="300">
        <f>SUM(C11:C12)</f>
        <v>2139</v>
      </c>
      <c r="D13" s="300">
        <f>SUM(D11:D12)</f>
        <v>1936</v>
      </c>
      <c r="E13" s="300">
        <f>+D13-C13</f>
        <v>-203</v>
      </c>
      <c r="F13" s="309">
        <f>IF(C13=0,0,+E13/C13)</f>
        <v>-9.4904160822814401E-2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576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601</v>
      </c>
      <c r="C16" s="296">
        <v>2520</v>
      </c>
      <c r="D16" s="296">
        <v>2363</v>
      </c>
      <c r="E16" s="296">
        <f>+D16-C16</f>
        <v>-157</v>
      </c>
      <c r="F16" s="316">
        <f>IF(C16=0,0,+E16/C16)</f>
        <v>-6.2301587301587302E-2</v>
      </c>
    </row>
    <row r="17" spans="1:6" ht="15.75" customHeight="1" x14ac:dyDescent="0.25">
      <c r="A17" s="294"/>
      <c r="B17" s="135" t="s">
        <v>603</v>
      </c>
      <c r="C17" s="300">
        <f>SUM(C15:C16)</f>
        <v>2520</v>
      </c>
      <c r="D17" s="300">
        <f>SUM(D15:D16)</f>
        <v>2363</v>
      </c>
      <c r="E17" s="300">
        <f>+D17-C17</f>
        <v>-157</v>
      </c>
      <c r="F17" s="309">
        <f>IF(C17=0,0,+E17/C17)</f>
        <v>-6.2301587301587302E-2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604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605</v>
      </c>
      <c r="C20" s="296">
        <v>13100</v>
      </c>
      <c r="D20" s="296">
        <v>12783</v>
      </c>
      <c r="E20" s="296">
        <f>+D20-C20</f>
        <v>-317</v>
      </c>
      <c r="F20" s="316">
        <f>IF(C20=0,0,+E20/C20)</f>
        <v>-2.4198473282442748E-2</v>
      </c>
    </row>
    <row r="21" spans="1:6" ht="15.75" customHeight="1" x14ac:dyDescent="0.2">
      <c r="A21" s="294">
        <v>2</v>
      </c>
      <c r="B21" s="295" t="s">
        <v>601</v>
      </c>
      <c r="C21" s="296">
        <v>21192</v>
      </c>
      <c r="D21" s="296">
        <v>20644</v>
      </c>
      <c r="E21" s="296">
        <f>+D21-C21</f>
        <v>-548</v>
      </c>
      <c r="F21" s="316">
        <f>IF(C21=0,0,+E21/C21)</f>
        <v>-2.5858814647036616E-2</v>
      </c>
    </row>
    <row r="22" spans="1:6" ht="15.75" customHeight="1" x14ac:dyDescent="0.25">
      <c r="A22" s="294"/>
      <c r="B22" s="135" t="s">
        <v>606</v>
      </c>
      <c r="C22" s="300">
        <f>SUM(C19:C21)</f>
        <v>34292</v>
      </c>
      <c r="D22" s="300">
        <f>SUM(D19:D21)</f>
        <v>33427</v>
      </c>
      <c r="E22" s="300">
        <f>+D22-C22</f>
        <v>-865</v>
      </c>
      <c r="F22" s="309">
        <f>IF(C22=0,0,+E22/C22)</f>
        <v>-2.5224542167269333E-2</v>
      </c>
    </row>
    <row r="23" spans="1:6" ht="15.75" customHeight="1" x14ac:dyDescent="0.25">
      <c r="A23" s="293"/>
      <c r="B23" s="135"/>
      <c r="C23" s="300"/>
      <c r="D23" s="300"/>
      <c r="E23" s="300"/>
      <c r="F23" s="309"/>
    </row>
    <row r="24" spans="1:6" ht="15.75" customHeight="1" x14ac:dyDescent="0.25">
      <c r="B24" s="699" t="s">
        <v>607</v>
      </c>
      <c r="C24" s="700"/>
      <c r="D24" s="700"/>
      <c r="E24" s="700"/>
      <c r="F24" s="701"/>
    </row>
    <row r="25" spans="1:6" ht="15.75" customHeight="1" x14ac:dyDescent="0.25">
      <c r="A25" s="293"/>
      <c r="B25" s="135"/>
      <c r="C25" s="300"/>
      <c r="D25" s="300"/>
      <c r="E25" s="300"/>
      <c r="F25" s="309"/>
    </row>
    <row r="26" spans="1:6" ht="15.75" customHeight="1" x14ac:dyDescent="0.25">
      <c r="B26" s="699" t="s">
        <v>608</v>
      </c>
      <c r="C26" s="700"/>
      <c r="D26" s="700"/>
      <c r="E26" s="700"/>
      <c r="F26" s="701"/>
    </row>
    <row r="27" spans="1:6" ht="15.75" customHeight="1" x14ac:dyDescent="0.25">
      <c r="A27" s="293"/>
      <c r="B27" s="135"/>
      <c r="C27" s="300"/>
      <c r="D27" s="300"/>
      <c r="E27" s="300"/>
      <c r="F27" s="309"/>
    </row>
    <row r="28" spans="1:6" ht="15.75" customHeight="1" x14ac:dyDescent="0.25">
      <c r="B28" s="699" t="s">
        <v>609</v>
      </c>
      <c r="C28" s="700"/>
      <c r="D28" s="700"/>
      <c r="E28" s="700"/>
      <c r="F28" s="701"/>
    </row>
    <row r="29" spans="1:6" ht="15.75" customHeight="1" x14ac:dyDescent="0.25">
      <c r="A29" s="293"/>
      <c r="B29" s="135"/>
      <c r="C29" s="300"/>
      <c r="D29" s="300"/>
      <c r="E29" s="300"/>
      <c r="F29" s="309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FILING&amp;RMILFORD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/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610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611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612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613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614</v>
      </c>
      <c r="D7" s="341" t="s">
        <v>614</v>
      </c>
      <c r="E7" s="341" t="s">
        <v>615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616</v>
      </c>
      <c r="D8" s="344" t="s">
        <v>617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618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619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620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621</v>
      </c>
      <c r="C15" s="361">
        <v>57173474</v>
      </c>
      <c r="D15" s="361">
        <v>61030757</v>
      </c>
      <c r="E15" s="361">
        <f t="shared" ref="E15:E24" si="0">D15-C15</f>
        <v>3857283</v>
      </c>
      <c r="F15" s="362">
        <f t="shared" ref="F15:F24" si="1">IF(C15=0,0,E15/C15)</f>
        <v>6.7466304391438595E-2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622</v>
      </c>
      <c r="C16" s="361">
        <v>20681371</v>
      </c>
      <c r="D16" s="361">
        <v>21772310</v>
      </c>
      <c r="E16" s="361">
        <f t="shared" si="0"/>
        <v>1090939</v>
      </c>
      <c r="F16" s="362">
        <f t="shared" si="1"/>
        <v>5.2749839456968303E-2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623</v>
      </c>
      <c r="C17" s="366">
        <f>IF(C15=0,0,C16/C15)</f>
        <v>0.36173017927859341</v>
      </c>
      <c r="D17" s="366">
        <f>IF(LN_IA1=0,0,LN_IA2/LN_IA1)</f>
        <v>0.35674324013382303</v>
      </c>
      <c r="E17" s="367">
        <f t="shared" si="0"/>
        <v>-4.9869391447703859E-3</v>
      </c>
      <c r="F17" s="362">
        <f t="shared" si="1"/>
        <v>-1.3786350795269419E-2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2050</v>
      </c>
      <c r="D18" s="369">
        <v>1986</v>
      </c>
      <c r="E18" s="369">
        <f t="shared" si="0"/>
        <v>-64</v>
      </c>
      <c r="F18" s="362">
        <f t="shared" si="1"/>
        <v>-3.1219512195121951E-2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624</v>
      </c>
      <c r="C19" s="372">
        <v>1.5190999999999999</v>
      </c>
      <c r="D19" s="372">
        <v>1.4881899999999999</v>
      </c>
      <c r="E19" s="373">
        <f t="shared" si="0"/>
        <v>-3.0909999999999993E-2</v>
      </c>
      <c r="F19" s="362">
        <f t="shared" si="1"/>
        <v>-2.0347574221578565E-2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625</v>
      </c>
      <c r="C20" s="376">
        <f>C18*C19</f>
        <v>3114.1549999999997</v>
      </c>
      <c r="D20" s="376">
        <f>LN_IA4*LN_IA5</f>
        <v>2955.5453399999997</v>
      </c>
      <c r="E20" s="376">
        <f t="shared" si="0"/>
        <v>-158.60966000000008</v>
      </c>
      <c r="F20" s="362">
        <f t="shared" si="1"/>
        <v>-5.0931845075148828E-2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626</v>
      </c>
      <c r="C21" s="378">
        <f>IF(C20=0,0,C16/C20)</f>
        <v>6641.0859446623572</v>
      </c>
      <c r="D21" s="378">
        <f>IF(LN_IA6=0,0,LN_IA2/LN_IA6)</f>
        <v>7366.5965144693073</v>
      </c>
      <c r="E21" s="378">
        <f t="shared" si="0"/>
        <v>725.51056980695012</v>
      </c>
      <c r="F21" s="362">
        <f t="shared" si="1"/>
        <v>0.10924577333471569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9577</v>
      </c>
      <c r="D22" s="369">
        <v>9198</v>
      </c>
      <c r="E22" s="369">
        <f t="shared" si="0"/>
        <v>-379</v>
      </c>
      <c r="F22" s="362">
        <f t="shared" si="1"/>
        <v>-3.9573979325467266E-2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627</v>
      </c>
      <c r="C23" s="378">
        <f>IF(C22=0,0,C16/C22)</f>
        <v>2159.483241098465</v>
      </c>
      <c r="D23" s="378">
        <f>IF(LN_IA8=0,0,LN_IA2/LN_IA8)</f>
        <v>2367.0700152207</v>
      </c>
      <c r="E23" s="378">
        <f t="shared" si="0"/>
        <v>207.58677412223506</v>
      </c>
      <c r="F23" s="362">
        <f t="shared" si="1"/>
        <v>9.6127985701172577E-2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628</v>
      </c>
      <c r="C24" s="379">
        <f>IF(C18=0,0,C22/C18)</f>
        <v>4.6717073170731709</v>
      </c>
      <c r="D24" s="379">
        <f>IF(LN_IA4=0,0,LN_IA8/LN_IA4)</f>
        <v>4.6314199395770395</v>
      </c>
      <c r="E24" s="379">
        <f t="shared" si="0"/>
        <v>-4.0287377496131427E-2</v>
      </c>
      <c r="F24" s="362">
        <f t="shared" si="1"/>
        <v>-8.6236946713030612E-3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629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630</v>
      </c>
      <c r="C27" s="361">
        <v>27391983</v>
      </c>
      <c r="D27" s="361">
        <v>29160897</v>
      </c>
      <c r="E27" s="361">
        <f t="shared" ref="E27:E32" si="2">D27-C27</f>
        <v>1768914</v>
      </c>
      <c r="F27" s="362">
        <f t="shared" ref="F27:F32" si="3">IF(C27=0,0,E27/C27)</f>
        <v>6.4577800008126462E-2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631</v>
      </c>
      <c r="C28" s="361">
        <v>8506902</v>
      </c>
      <c r="D28" s="361">
        <v>7860506</v>
      </c>
      <c r="E28" s="361">
        <f t="shared" si="2"/>
        <v>-646396</v>
      </c>
      <c r="F28" s="362">
        <f t="shared" si="3"/>
        <v>-7.598488850582738E-2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632</v>
      </c>
      <c r="C29" s="366">
        <f>IF(C27=0,0,C28/C27)</f>
        <v>0.31056174355832505</v>
      </c>
      <c r="D29" s="366">
        <f>IF(LN_IA11=0,0,LN_IA12/LN_IA11)</f>
        <v>0.2695563857312071</v>
      </c>
      <c r="E29" s="367">
        <f t="shared" si="2"/>
        <v>-4.100535782711795E-2</v>
      </c>
      <c r="F29" s="362">
        <f t="shared" si="3"/>
        <v>-0.13203608840319683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633</v>
      </c>
      <c r="C30" s="366">
        <f>IF(C15=0,0,C27/C15)</f>
        <v>0.47910300150730739</v>
      </c>
      <c r="D30" s="366">
        <f>IF(LN_IA1=0,0,LN_IA11/LN_IA1)</f>
        <v>0.4778065754616152</v>
      </c>
      <c r="E30" s="367">
        <f t="shared" si="2"/>
        <v>-1.2964260456921894E-3</v>
      </c>
      <c r="F30" s="362">
        <f t="shared" si="3"/>
        <v>-2.705944320143058E-3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634</v>
      </c>
      <c r="C31" s="376">
        <f>C30*C18</f>
        <v>982.16115308998019</v>
      </c>
      <c r="D31" s="376">
        <f>LN_IA14*LN_IA4</f>
        <v>948.92385886676777</v>
      </c>
      <c r="E31" s="376">
        <f t="shared" si="2"/>
        <v>-33.237294223212416</v>
      </c>
      <c r="F31" s="362">
        <f t="shared" si="3"/>
        <v>-3.3840978253563039E-2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635</v>
      </c>
      <c r="C32" s="378">
        <f>IF(C31=0,0,C28/C31)</f>
        <v>8661.4115954763729</v>
      </c>
      <c r="D32" s="378">
        <f>IF(LN_IA15=0,0,LN_IA12/LN_IA15)</f>
        <v>8283.6003400602058</v>
      </c>
      <c r="E32" s="378">
        <f t="shared" si="2"/>
        <v>-377.81125541616711</v>
      </c>
      <c r="F32" s="362">
        <f t="shared" si="3"/>
        <v>-4.3620055605426714E-2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636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637</v>
      </c>
      <c r="C35" s="361">
        <f>C15+C27</f>
        <v>84565457</v>
      </c>
      <c r="D35" s="361">
        <f>LN_IA1+LN_IA11</f>
        <v>90191654</v>
      </c>
      <c r="E35" s="361">
        <f>D35-C35</f>
        <v>5626197</v>
      </c>
      <c r="F35" s="362">
        <f>IF(C35=0,0,E35/C35)</f>
        <v>6.6530675758069868E-2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638</v>
      </c>
      <c r="C36" s="361">
        <f>C16+C28</f>
        <v>29188273</v>
      </c>
      <c r="D36" s="361">
        <f>LN_IA2+LN_IA12</f>
        <v>29632816</v>
      </c>
      <c r="E36" s="361">
        <f>D36-C36</f>
        <v>444543</v>
      </c>
      <c r="F36" s="362">
        <f>IF(C36=0,0,E36/C36)</f>
        <v>1.5230191933589219E-2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639</v>
      </c>
      <c r="C37" s="361">
        <f>C35-C36</f>
        <v>55377184</v>
      </c>
      <c r="D37" s="361">
        <f>LN_IA17-LN_IA18</f>
        <v>60558838</v>
      </c>
      <c r="E37" s="361">
        <f>D37-C37</f>
        <v>5181654</v>
      </c>
      <c r="F37" s="362">
        <f>IF(C37=0,0,E37/C37)</f>
        <v>9.3570196707727135E-2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640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641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621</v>
      </c>
      <c r="C42" s="361">
        <v>30377323</v>
      </c>
      <c r="D42" s="361">
        <v>30011039</v>
      </c>
      <c r="E42" s="361">
        <f t="shared" ref="E42:E53" si="4">D42-C42</f>
        <v>-366284</v>
      </c>
      <c r="F42" s="362">
        <f t="shared" ref="F42:F53" si="5">IF(C42=0,0,E42/C42)</f>
        <v>-1.2057810360708875E-2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622</v>
      </c>
      <c r="C43" s="361">
        <v>13589422</v>
      </c>
      <c r="D43" s="361">
        <v>12471918</v>
      </c>
      <c r="E43" s="361">
        <f t="shared" si="4"/>
        <v>-1117504</v>
      </c>
      <c r="F43" s="362">
        <f t="shared" si="5"/>
        <v>-8.2233372398031357E-2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623</v>
      </c>
      <c r="C44" s="366">
        <f>IF(C42=0,0,C43/C42)</f>
        <v>0.44735416613241397</v>
      </c>
      <c r="D44" s="366">
        <f>IF(LN_IB1=0,0,LN_IB2/LN_IB1)</f>
        <v>0.41557768126588351</v>
      </c>
      <c r="E44" s="367">
        <f t="shared" si="4"/>
        <v>-3.1776484866530452E-2</v>
      </c>
      <c r="F44" s="362">
        <f t="shared" si="5"/>
        <v>-7.1032053062684161E-2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1797</v>
      </c>
      <c r="D45" s="369">
        <v>1240</v>
      </c>
      <c r="E45" s="369">
        <f t="shared" si="4"/>
        <v>-557</v>
      </c>
      <c r="F45" s="362">
        <f t="shared" si="5"/>
        <v>-0.30996104618809128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624</v>
      </c>
      <c r="C46" s="372">
        <v>1.1516599999999999</v>
      </c>
      <c r="D46" s="372">
        <v>1.3326</v>
      </c>
      <c r="E46" s="373">
        <f t="shared" si="4"/>
        <v>0.1809400000000001</v>
      </c>
      <c r="F46" s="362">
        <f t="shared" si="5"/>
        <v>0.15711234218432535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625</v>
      </c>
      <c r="C47" s="376">
        <f>C45*C46</f>
        <v>2069.5330199999999</v>
      </c>
      <c r="D47" s="376">
        <f>LN_IB4*LN_IB5</f>
        <v>1652.424</v>
      </c>
      <c r="E47" s="376">
        <f t="shared" si="4"/>
        <v>-417.10901999999987</v>
      </c>
      <c r="F47" s="362">
        <f t="shared" si="5"/>
        <v>-0.20154740995628082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626</v>
      </c>
      <c r="C48" s="378">
        <f>IF(C47=0,0,C43/C47)</f>
        <v>6566.41951042656</v>
      </c>
      <c r="D48" s="378">
        <f>IF(LN_IB6=0,0,LN_IB2/LN_IB6)</f>
        <v>7547.6499978213824</v>
      </c>
      <c r="E48" s="378">
        <f t="shared" si="4"/>
        <v>981.23048739482238</v>
      </c>
      <c r="F48" s="362">
        <f t="shared" si="5"/>
        <v>0.14943158685441357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642</v>
      </c>
      <c r="C49" s="378">
        <f>C21-C48</f>
        <v>74.666434235797169</v>
      </c>
      <c r="D49" s="378">
        <f>LN_IA7-LN_IB7</f>
        <v>-181.05348335207509</v>
      </c>
      <c r="E49" s="378">
        <f t="shared" si="4"/>
        <v>-255.71991758787226</v>
      </c>
      <c r="F49" s="362">
        <f t="shared" si="5"/>
        <v>-3.4248309860399493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643</v>
      </c>
      <c r="C50" s="391">
        <f>C49*C47</f>
        <v>154524.65113664069</v>
      </c>
      <c r="D50" s="391">
        <f>LN_IB8*LN_IB6</f>
        <v>-299177.1211745693</v>
      </c>
      <c r="E50" s="391">
        <f t="shared" si="4"/>
        <v>-453701.77231120999</v>
      </c>
      <c r="F50" s="362">
        <f t="shared" si="5"/>
        <v>-2.9361125812218631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5938</v>
      </c>
      <c r="D51" s="369">
        <v>4297</v>
      </c>
      <c r="E51" s="369">
        <f t="shared" si="4"/>
        <v>-1641</v>
      </c>
      <c r="F51" s="362">
        <f t="shared" si="5"/>
        <v>-0.2763556753115527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627</v>
      </c>
      <c r="C52" s="378">
        <f>IF(C51=0,0,C43/C51)</f>
        <v>2288.5520377231392</v>
      </c>
      <c r="D52" s="378">
        <f>IF(LN_IB10=0,0,LN_IB2/LN_IB10)</f>
        <v>2902.4710262974168</v>
      </c>
      <c r="E52" s="378">
        <f t="shared" si="4"/>
        <v>613.91898857427759</v>
      </c>
      <c r="F52" s="362">
        <f t="shared" si="5"/>
        <v>0.2682565126135652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628</v>
      </c>
      <c r="C53" s="379">
        <f>IF(C45=0,0,C51/C45)</f>
        <v>3.3043962159154145</v>
      </c>
      <c r="D53" s="379">
        <f>IF(LN_IB4=0,0,LN_IB10/LN_IB4)</f>
        <v>3.4653225806451613</v>
      </c>
      <c r="E53" s="379">
        <f t="shared" si="4"/>
        <v>0.16092636472974675</v>
      </c>
      <c r="F53" s="362">
        <f t="shared" si="5"/>
        <v>4.8700686665435318E-2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644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630</v>
      </c>
      <c r="C56" s="361">
        <v>48791363</v>
      </c>
      <c r="D56" s="361">
        <v>49192603</v>
      </c>
      <c r="E56" s="361">
        <f t="shared" ref="E56:E63" si="6">D56-C56</f>
        <v>401240</v>
      </c>
      <c r="F56" s="362">
        <f t="shared" ref="F56:F63" si="7">IF(C56=0,0,E56/C56)</f>
        <v>8.2235866212632749E-3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631</v>
      </c>
      <c r="C57" s="361">
        <v>21161699</v>
      </c>
      <c r="D57" s="361">
        <v>23031817</v>
      </c>
      <c r="E57" s="361">
        <f t="shared" si="6"/>
        <v>1870118</v>
      </c>
      <c r="F57" s="362">
        <f t="shared" si="7"/>
        <v>8.8372771959378121E-2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632</v>
      </c>
      <c r="C58" s="366">
        <f>IF(C56=0,0,C57/C56)</f>
        <v>0.43371813572824353</v>
      </c>
      <c r="D58" s="366">
        <f>IF(LN_IB13=0,0,LN_IB14/LN_IB13)</f>
        <v>0.4681967530768803</v>
      </c>
      <c r="E58" s="367">
        <f t="shared" si="6"/>
        <v>3.4478617348636775E-2</v>
      </c>
      <c r="F58" s="362">
        <f t="shared" si="7"/>
        <v>7.9495447638463931E-2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633</v>
      </c>
      <c r="C59" s="366">
        <f>IF(C42=0,0,C56/C42)</f>
        <v>1.6061771802604199</v>
      </c>
      <c r="D59" s="366">
        <f>IF(LN_IB1=0,0,LN_IB13/LN_IB1)</f>
        <v>1.63915028066839</v>
      </c>
      <c r="E59" s="367">
        <f t="shared" si="6"/>
        <v>3.297310040797008E-2</v>
      </c>
      <c r="F59" s="362">
        <f t="shared" si="7"/>
        <v>2.0528930938132205E-2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634</v>
      </c>
      <c r="C60" s="376">
        <f>C59*C45</f>
        <v>2886.3003929279744</v>
      </c>
      <c r="D60" s="376">
        <f>LN_IB16*LN_IB4</f>
        <v>2032.5463480288035</v>
      </c>
      <c r="E60" s="376">
        <f t="shared" si="6"/>
        <v>-853.75404489917082</v>
      </c>
      <c r="F60" s="362">
        <f t="shared" si="7"/>
        <v>-0.29579528416066553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635</v>
      </c>
      <c r="C61" s="378">
        <f>IF(C60=0,0,C57/C60)</f>
        <v>7331.7728992624907</v>
      </c>
      <c r="D61" s="378">
        <f>IF(LN_IB17=0,0,LN_IB14/LN_IB17)</f>
        <v>11331.508884083569</v>
      </c>
      <c r="E61" s="378">
        <f t="shared" si="6"/>
        <v>3999.7359848210781</v>
      </c>
      <c r="F61" s="362">
        <f t="shared" si="7"/>
        <v>0.54553462576881162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645</v>
      </c>
      <c r="C62" s="378">
        <f>C32-C61</f>
        <v>1329.6386962138822</v>
      </c>
      <c r="D62" s="378">
        <f>LN_IA16-LN_IB18</f>
        <v>-3047.908544023363</v>
      </c>
      <c r="E62" s="378">
        <f t="shared" si="6"/>
        <v>-4377.5472402372452</v>
      </c>
      <c r="F62" s="362">
        <f t="shared" si="7"/>
        <v>-3.2922832741723127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646</v>
      </c>
      <c r="C63" s="361">
        <f>C62*C60</f>
        <v>3837736.6913343677</v>
      </c>
      <c r="D63" s="361">
        <f>LN_IB19*LN_IB17</f>
        <v>-6195015.3802804742</v>
      </c>
      <c r="E63" s="361">
        <f t="shared" si="6"/>
        <v>-10032752.071614843</v>
      </c>
      <c r="F63" s="362">
        <f t="shared" si="7"/>
        <v>-2.6142366917117728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647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637</v>
      </c>
      <c r="C66" s="361">
        <f>C42+C56</f>
        <v>79168686</v>
      </c>
      <c r="D66" s="361">
        <f>LN_IB1+LN_IB13</f>
        <v>79203642</v>
      </c>
      <c r="E66" s="361">
        <f>D66-C66</f>
        <v>34956</v>
      </c>
      <c r="F66" s="362">
        <f>IF(C66=0,0,E66/C66)</f>
        <v>4.4153821120638533E-4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638</v>
      </c>
      <c r="C67" s="361">
        <f>C43+C57</f>
        <v>34751121</v>
      </c>
      <c r="D67" s="361">
        <f>LN_IB2+LN_IB14</f>
        <v>35503735</v>
      </c>
      <c r="E67" s="361">
        <f>D67-C67</f>
        <v>752614</v>
      </c>
      <c r="F67" s="362">
        <f>IF(C67=0,0,E67/C67)</f>
        <v>2.1657258193196128E-2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639</v>
      </c>
      <c r="C68" s="361">
        <f>C66-C67</f>
        <v>44417565</v>
      </c>
      <c r="D68" s="361">
        <f>LN_IB21-LN_IB22</f>
        <v>43699907</v>
      </c>
      <c r="E68" s="361">
        <f>D68-C68</f>
        <v>-717658</v>
      </c>
      <c r="F68" s="362">
        <f>IF(C68=0,0,E68/C68)</f>
        <v>-1.6157076597962991E-2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648</v>
      </c>
      <c r="C70" s="353">
        <f>C50+C63</f>
        <v>3992261.3424710082</v>
      </c>
      <c r="D70" s="353">
        <f>LN_IB9+LN_IB20</f>
        <v>-6494192.5014550434</v>
      </c>
      <c r="E70" s="361">
        <f>D70-C70</f>
        <v>-10486453.843926052</v>
      </c>
      <c r="F70" s="362">
        <f>IF(C70=0,0,E70/C70)</f>
        <v>-2.6266952346950978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649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650</v>
      </c>
      <c r="C73" s="400">
        <v>71322702</v>
      </c>
      <c r="D73" s="400">
        <v>69988341</v>
      </c>
      <c r="E73" s="400">
        <f>D73-C73</f>
        <v>-1334361</v>
      </c>
      <c r="F73" s="401">
        <f>IF(C73=0,0,E73/C73)</f>
        <v>-1.8708783635258238E-2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651</v>
      </c>
      <c r="C74" s="400">
        <v>36788412</v>
      </c>
      <c r="D74" s="400">
        <v>35620019</v>
      </c>
      <c r="E74" s="400">
        <f>D74-C74</f>
        <v>-1168393</v>
      </c>
      <c r="F74" s="401">
        <f>IF(C74=0,0,E74/C74)</f>
        <v>-3.1759810670816672E-2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652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653</v>
      </c>
      <c r="C76" s="353">
        <f>C73-C74</f>
        <v>34534290</v>
      </c>
      <c r="D76" s="353">
        <f>LN_IB32-LN_IB33</f>
        <v>34368322</v>
      </c>
      <c r="E76" s="400">
        <f>D76-C76</f>
        <v>-165968</v>
      </c>
      <c r="F76" s="401">
        <f>IF(C76=0,0,E76/C76)</f>
        <v>-4.8058900298804464E-3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654</v>
      </c>
      <c r="C77" s="366">
        <f>IF(C73=0,0,C76/C73)</f>
        <v>0.48419772430943514</v>
      </c>
      <c r="D77" s="366">
        <f>IF(LN_IB1=0,0,LN_IB34/LN_IB32)</f>
        <v>0.49105781775853208</v>
      </c>
      <c r="E77" s="405">
        <f>D77-C77</f>
        <v>6.8600934490969379E-3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655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656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621</v>
      </c>
      <c r="C83" s="361">
        <v>1800823</v>
      </c>
      <c r="D83" s="361">
        <v>1735686</v>
      </c>
      <c r="E83" s="361">
        <f t="shared" ref="E83:E95" si="8">D83-C83</f>
        <v>-65137</v>
      </c>
      <c r="F83" s="362">
        <f t="shared" ref="F83:F95" si="9">IF(C83=0,0,E83/C83)</f>
        <v>-3.61706841816214E-2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622</v>
      </c>
      <c r="C84" s="361">
        <v>34130</v>
      </c>
      <c r="D84" s="361">
        <v>77021</v>
      </c>
      <c r="E84" s="361">
        <f t="shared" si="8"/>
        <v>42891</v>
      </c>
      <c r="F84" s="362">
        <f t="shared" si="9"/>
        <v>1.2566949897450923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623</v>
      </c>
      <c r="C85" s="366">
        <f>IF(C83=0,0,C84/C83)</f>
        <v>1.8952445631802792E-2</v>
      </c>
      <c r="D85" s="366">
        <f>IF(LN_IC1=0,0,LN_IC2/LN_IC1)</f>
        <v>4.4374961830653703E-2</v>
      </c>
      <c r="E85" s="367">
        <f t="shared" si="8"/>
        <v>2.5422516198850911E-2</v>
      </c>
      <c r="F85" s="362">
        <f t="shared" si="9"/>
        <v>1.3413844678805535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78</v>
      </c>
      <c r="D86" s="369">
        <v>63</v>
      </c>
      <c r="E86" s="369">
        <f t="shared" si="8"/>
        <v>-15</v>
      </c>
      <c r="F86" s="362">
        <f t="shared" si="9"/>
        <v>-0.19230769230769232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624</v>
      </c>
      <c r="C87" s="372">
        <v>1.2761</v>
      </c>
      <c r="D87" s="372">
        <v>1.3215399999999999</v>
      </c>
      <c r="E87" s="373">
        <f t="shared" si="8"/>
        <v>4.5439999999999925E-2</v>
      </c>
      <c r="F87" s="362">
        <f t="shared" si="9"/>
        <v>3.5608494632082065E-2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625</v>
      </c>
      <c r="C88" s="376">
        <f>C86*C87</f>
        <v>99.535799999999995</v>
      </c>
      <c r="D88" s="376">
        <f>LN_IC4*LN_IC5</f>
        <v>83.257019999999997</v>
      </c>
      <c r="E88" s="376">
        <f t="shared" si="8"/>
        <v>-16.278779999999998</v>
      </c>
      <c r="F88" s="362">
        <f t="shared" si="9"/>
        <v>-0.16354698510485674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626</v>
      </c>
      <c r="C89" s="378">
        <f>IF(C88=0,0,C84/C88)</f>
        <v>342.89170328665665</v>
      </c>
      <c r="D89" s="378">
        <f>IF(LN_IC6=0,0,LN_IC2/LN_IC6)</f>
        <v>925.09916881483389</v>
      </c>
      <c r="E89" s="378">
        <f t="shared" si="8"/>
        <v>582.20746552817718</v>
      </c>
      <c r="F89" s="362">
        <f t="shared" si="9"/>
        <v>1.6979339539208773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657</v>
      </c>
      <c r="C90" s="378">
        <f>C48-C89</f>
        <v>6223.5278071399034</v>
      </c>
      <c r="D90" s="378">
        <f>LN_IB7-LN_IC7</f>
        <v>6622.5508290065482</v>
      </c>
      <c r="E90" s="378">
        <f t="shared" si="8"/>
        <v>399.02302186664474</v>
      </c>
      <c r="F90" s="362">
        <f t="shared" si="9"/>
        <v>6.4115246887604171E-2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658</v>
      </c>
      <c r="C91" s="378">
        <f>C21-C89</f>
        <v>6298.1942413757006</v>
      </c>
      <c r="D91" s="378">
        <f>LN_IA7-LN_IC7</f>
        <v>6441.4973456544731</v>
      </c>
      <c r="E91" s="378">
        <f t="shared" si="8"/>
        <v>143.30310427877248</v>
      </c>
      <c r="F91" s="362">
        <f t="shared" si="9"/>
        <v>2.2753046156841154E-2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643</v>
      </c>
      <c r="C92" s="353">
        <f>C91*C88</f>
        <v>626895.80237072345</v>
      </c>
      <c r="D92" s="353">
        <f>LN_IC9*LN_IC6</f>
        <v>536299.87333710131</v>
      </c>
      <c r="E92" s="353">
        <f t="shared" si="8"/>
        <v>-90595.929033622146</v>
      </c>
      <c r="F92" s="362">
        <f t="shared" si="9"/>
        <v>-0.14451513104891872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311</v>
      </c>
      <c r="D93" s="369">
        <v>252</v>
      </c>
      <c r="E93" s="369">
        <f t="shared" si="8"/>
        <v>-59</v>
      </c>
      <c r="F93" s="362">
        <f t="shared" si="9"/>
        <v>-0.18971061093247588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627</v>
      </c>
      <c r="C94" s="411">
        <f>IF(C93=0,0,C84/C93)</f>
        <v>109.7427652733119</v>
      </c>
      <c r="D94" s="411">
        <f>IF(LN_IC11=0,0,LN_IC2/LN_IC11)</f>
        <v>305.63888888888891</v>
      </c>
      <c r="E94" s="411">
        <f t="shared" si="8"/>
        <v>195.89612361557701</v>
      </c>
      <c r="F94" s="362">
        <f t="shared" si="9"/>
        <v>1.7850481817885862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628</v>
      </c>
      <c r="C95" s="379">
        <f>IF(C86=0,0,C93/C86)</f>
        <v>3.9871794871794872</v>
      </c>
      <c r="D95" s="379">
        <f>IF(LN_IC4=0,0,LN_IC11/LN_IC4)</f>
        <v>4</v>
      </c>
      <c r="E95" s="379">
        <f t="shared" si="8"/>
        <v>1.2820512820512775E-2</v>
      </c>
      <c r="F95" s="362">
        <f t="shared" si="9"/>
        <v>3.2154340836012749E-3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659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630</v>
      </c>
      <c r="C98" s="361">
        <v>3757990</v>
      </c>
      <c r="D98" s="361">
        <v>3892808</v>
      </c>
      <c r="E98" s="361">
        <f t="shared" ref="E98:E106" si="10">D98-C98</f>
        <v>134818</v>
      </c>
      <c r="F98" s="362">
        <f t="shared" ref="F98:F106" si="11">IF(C98=0,0,E98/C98)</f>
        <v>3.5875028938342039E-2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631</v>
      </c>
      <c r="C99" s="361">
        <v>246883</v>
      </c>
      <c r="D99" s="361">
        <v>172743</v>
      </c>
      <c r="E99" s="361">
        <f t="shared" si="10"/>
        <v>-74140</v>
      </c>
      <c r="F99" s="362">
        <f t="shared" si="11"/>
        <v>-0.30030419267426273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632</v>
      </c>
      <c r="C100" s="366">
        <f>IF(C98=0,0,C99/C98)</f>
        <v>6.569549147283521E-2</v>
      </c>
      <c r="D100" s="366">
        <f>IF(LN_IC14=0,0,LN_IC15/LN_IC14)</f>
        <v>4.4374908806188232E-2</v>
      </c>
      <c r="E100" s="367">
        <f t="shared" si="10"/>
        <v>-2.1320582666646978E-2</v>
      </c>
      <c r="F100" s="362">
        <f t="shared" si="11"/>
        <v>-0.32453646648587664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633</v>
      </c>
      <c r="C101" s="366">
        <f>IF(C83=0,0,C98/C83)</f>
        <v>2.0868180826211127</v>
      </c>
      <c r="D101" s="366">
        <f>IF(LN_IC1=0,0,LN_IC14/LN_IC1)</f>
        <v>2.2428065905929988</v>
      </c>
      <c r="E101" s="367">
        <f t="shared" si="10"/>
        <v>0.15598850797188613</v>
      </c>
      <c r="F101" s="362">
        <f t="shared" si="11"/>
        <v>7.4749451938790651E-2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634</v>
      </c>
      <c r="C102" s="376">
        <f>C101*C86</f>
        <v>162.7718104444468</v>
      </c>
      <c r="D102" s="376">
        <f>LN_IC17*LN_IC4</f>
        <v>141.29681520735892</v>
      </c>
      <c r="E102" s="376">
        <f t="shared" si="10"/>
        <v>-21.474995237087882</v>
      </c>
      <c r="F102" s="362">
        <f t="shared" si="11"/>
        <v>-0.13193313497251533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635</v>
      </c>
      <c r="C103" s="378">
        <f>IF(C102=0,0,C99/C102)</f>
        <v>1516.7429748793015</v>
      </c>
      <c r="D103" s="378">
        <f>IF(LN_IC18=0,0,LN_IC15/LN_IC18)</f>
        <v>1222.5540947012323</v>
      </c>
      <c r="E103" s="378">
        <f t="shared" si="10"/>
        <v>-294.18888017806921</v>
      </c>
      <c r="F103" s="362">
        <f t="shared" si="11"/>
        <v>-0.19396093145015555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660</v>
      </c>
      <c r="C104" s="378">
        <f>C61-C103</f>
        <v>5815.0299243831887</v>
      </c>
      <c r="D104" s="378">
        <f>LN_IB18-LN_IC19</f>
        <v>10108.954789382336</v>
      </c>
      <c r="E104" s="378">
        <f t="shared" si="10"/>
        <v>4293.9248649991478</v>
      </c>
      <c r="F104" s="362">
        <f t="shared" si="11"/>
        <v>0.73841836084009704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661</v>
      </c>
      <c r="C105" s="378">
        <f>C32-C103</f>
        <v>7144.6686205970709</v>
      </c>
      <c r="D105" s="378">
        <f>LN_IA16-LN_IC19</f>
        <v>7061.0462453589735</v>
      </c>
      <c r="E105" s="378">
        <f t="shared" si="10"/>
        <v>-83.622375238097447</v>
      </c>
      <c r="F105" s="362">
        <f t="shared" si="11"/>
        <v>-1.1704164276706402E-2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646</v>
      </c>
      <c r="C106" s="361">
        <f>C105*C102</f>
        <v>1162950.6464002137</v>
      </c>
      <c r="D106" s="361">
        <f>LN_IC21*LN_IC18</f>
        <v>997703.34650110244</v>
      </c>
      <c r="E106" s="361">
        <f t="shared" si="10"/>
        <v>-165247.29989911127</v>
      </c>
      <c r="F106" s="362">
        <f t="shared" si="11"/>
        <v>-0.14209313216396258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662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637</v>
      </c>
      <c r="C109" s="361">
        <f>C83+C98</f>
        <v>5558813</v>
      </c>
      <c r="D109" s="361">
        <f>LN_IC1+LN_IC14</f>
        <v>5628494</v>
      </c>
      <c r="E109" s="361">
        <f>D109-C109</f>
        <v>69681</v>
      </c>
      <c r="F109" s="362">
        <f>IF(C109=0,0,E109/C109)</f>
        <v>1.2535230093187161E-2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638</v>
      </c>
      <c r="C110" s="361">
        <f>C84+C99</f>
        <v>281013</v>
      </c>
      <c r="D110" s="361">
        <f>LN_IC2+LN_IC15</f>
        <v>249764</v>
      </c>
      <c r="E110" s="361">
        <f>D110-C110</f>
        <v>-31249</v>
      </c>
      <c r="F110" s="362">
        <f>IF(C110=0,0,E110/C110)</f>
        <v>-0.11120126115161932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639</v>
      </c>
      <c r="C111" s="361">
        <f>C109-C110</f>
        <v>5277800</v>
      </c>
      <c r="D111" s="361">
        <f>LN_IC23-LN_IC24</f>
        <v>5378730</v>
      </c>
      <c r="E111" s="361">
        <f>D111-C111</f>
        <v>100930</v>
      </c>
      <c r="F111" s="362">
        <f>IF(C111=0,0,E111/C111)</f>
        <v>1.9123498427375044E-2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648</v>
      </c>
      <c r="C113" s="361">
        <f>C92+C106</f>
        <v>1789846.448770937</v>
      </c>
      <c r="D113" s="361">
        <f>LN_IC10+LN_IC22</f>
        <v>1534003.2198382039</v>
      </c>
      <c r="E113" s="361">
        <f>D113-C113</f>
        <v>-255843.22893273318</v>
      </c>
      <c r="F113" s="362">
        <f>IF(C113=0,0,E113/C113)</f>
        <v>-0.14294144009304105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333</v>
      </c>
      <c r="B115" s="356" t="s">
        <v>663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664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621</v>
      </c>
      <c r="C118" s="361">
        <v>7651286</v>
      </c>
      <c r="D118" s="361">
        <v>5450784</v>
      </c>
      <c r="E118" s="361">
        <f t="shared" ref="E118:E130" si="12">D118-C118</f>
        <v>-2200502</v>
      </c>
      <c r="F118" s="362">
        <f t="shared" ref="F118:F130" si="13">IF(C118=0,0,E118/C118)</f>
        <v>-0.28759897355817049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622</v>
      </c>
      <c r="C119" s="361">
        <v>2205637</v>
      </c>
      <c r="D119" s="361">
        <v>1206486</v>
      </c>
      <c r="E119" s="361">
        <f t="shared" si="12"/>
        <v>-999151</v>
      </c>
      <c r="F119" s="362">
        <f t="shared" si="13"/>
        <v>-0.45299883888418629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623</v>
      </c>
      <c r="C120" s="366">
        <f>IF(C118=0,0,C119/C118)</f>
        <v>0.28827010256837871</v>
      </c>
      <c r="D120" s="366">
        <f>IF(LN_ID1=0,0,LN_1D2/LN_ID1)</f>
        <v>0.22134173726201589</v>
      </c>
      <c r="E120" s="367">
        <f t="shared" si="12"/>
        <v>-6.6928365306362814E-2</v>
      </c>
      <c r="F120" s="362">
        <f t="shared" si="13"/>
        <v>-0.23217241299065056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517</v>
      </c>
      <c r="D121" s="369">
        <v>349</v>
      </c>
      <c r="E121" s="369">
        <f t="shared" si="12"/>
        <v>-168</v>
      </c>
      <c r="F121" s="362">
        <f t="shared" si="13"/>
        <v>-0.32495164410058025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624</v>
      </c>
      <c r="C122" s="372">
        <v>0.95099999999999996</v>
      </c>
      <c r="D122" s="372">
        <v>0.96408000000000005</v>
      </c>
      <c r="E122" s="373">
        <f t="shared" si="12"/>
        <v>1.3080000000000092E-2</v>
      </c>
      <c r="F122" s="362">
        <f t="shared" si="13"/>
        <v>1.3753943217665711E-2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625</v>
      </c>
      <c r="C123" s="376">
        <f>C121*C122</f>
        <v>491.66699999999997</v>
      </c>
      <c r="D123" s="376">
        <f>LN_ID4*LN_ID5</f>
        <v>336.46392000000003</v>
      </c>
      <c r="E123" s="376">
        <f t="shared" si="12"/>
        <v>-155.20307999999994</v>
      </c>
      <c r="F123" s="362">
        <f t="shared" si="13"/>
        <v>-0.31566706734436101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626</v>
      </c>
      <c r="C124" s="378">
        <f>IF(C123=0,0,C119/C123)</f>
        <v>4486.0383145502956</v>
      </c>
      <c r="D124" s="378">
        <f>IF(LN_ID6=0,0,LN_1D2/LN_ID6)</f>
        <v>3585.7812035239913</v>
      </c>
      <c r="E124" s="378">
        <f t="shared" si="12"/>
        <v>-900.2571110263043</v>
      </c>
      <c r="F124" s="362">
        <f t="shared" si="13"/>
        <v>-0.20067976417106256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665</v>
      </c>
      <c r="C125" s="378">
        <f>C48-C124</f>
        <v>2080.3811958762644</v>
      </c>
      <c r="D125" s="378">
        <f>LN_IB7-LN_ID7</f>
        <v>3961.8687942973911</v>
      </c>
      <c r="E125" s="378">
        <f t="shared" si="12"/>
        <v>1881.4875984211267</v>
      </c>
      <c r="F125" s="362">
        <f t="shared" si="13"/>
        <v>0.90439559930200053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666</v>
      </c>
      <c r="C126" s="378">
        <f>C21-C124</f>
        <v>2155.0476301120616</v>
      </c>
      <c r="D126" s="378">
        <f>LN_IA7-LN_ID7</f>
        <v>3780.815310945316</v>
      </c>
      <c r="E126" s="378">
        <f t="shared" si="12"/>
        <v>1625.7676808332544</v>
      </c>
      <c r="F126" s="362">
        <f t="shared" si="13"/>
        <v>0.75439988337924357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643</v>
      </c>
      <c r="C127" s="391">
        <f>C126*C123</f>
        <v>1059565.803154307</v>
      </c>
      <c r="D127" s="391">
        <f>LN_ID9*LN_ID6</f>
        <v>1272107.9403166801</v>
      </c>
      <c r="E127" s="391">
        <f t="shared" si="12"/>
        <v>212542.13716237317</v>
      </c>
      <c r="F127" s="362">
        <f t="shared" si="13"/>
        <v>0.20059361724362879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1762</v>
      </c>
      <c r="D128" s="369">
        <v>1247</v>
      </c>
      <c r="E128" s="369">
        <f t="shared" si="12"/>
        <v>-515</v>
      </c>
      <c r="F128" s="362">
        <f t="shared" si="13"/>
        <v>-0.29228149829738931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627</v>
      </c>
      <c r="C129" s="378">
        <f>IF(C128=0,0,C119/C128)</f>
        <v>1251.7803632236096</v>
      </c>
      <c r="D129" s="378">
        <f>IF(LN_ID11=0,0,LN_1D2/LN_ID11)</f>
        <v>967.51082598235769</v>
      </c>
      <c r="E129" s="378">
        <f t="shared" si="12"/>
        <v>-284.2695372412519</v>
      </c>
      <c r="F129" s="362">
        <f t="shared" si="13"/>
        <v>-0.22709218453403068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628</v>
      </c>
      <c r="C130" s="379">
        <f>IF(C121=0,0,C128/C121)</f>
        <v>3.4081237911025144</v>
      </c>
      <c r="D130" s="379">
        <f>IF(LN_ID4=0,0,LN_ID11/LN_ID4)</f>
        <v>3.5730659025787967</v>
      </c>
      <c r="E130" s="379">
        <f t="shared" si="12"/>
        <v>0.16494211147628235</v>
      </c>
      <c r="F130" s="362">
        <f t="shared" si="13"/>
        <v>4.8396748940543688E-2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667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630</v>
      </c>
      <c r="C133" s="361">
        <v>12261281</v>
      </c>
      <c r="D133" s="361">
        <v>14131391</v>
      </c>
      <c r="E133" s="361">
        <f t="shared" ref="E133:E141" si="14">D133-C133</f>
        <v>1870110</v>
      </c>
      <c r="F133" s="362">
        <f t="shared" ref="F133:F141" si="15">IF(C133=0,0,E133/C133)</f>
        <v>0.15252158400088864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631</v>
      </c>
      <c r="C134" s="361">
        <v>2983923</v>
      </c>
      <c r="D134" s="361">
        <v>3971009</v>
      </c>
      <c r="E134" s="361">
        <f t="shared" si="14"/>
        <v>987086</v>
      </c>
      <c r="F134" s="362">
        <f t="shared" si="15"/>
        <v>0.33080143153828029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632</v>
      </c>
      <c r="C135" s="366">
        <f>IF(C133=0,0,C134/C133)</f>
        <v>0.24336143996699855</v>
      </c>
      <c r="D135" s="366">
        <f>IF(LN_ID14=0,0,LN_ID15/LN_ID14)</f>
        <v>0.2810062363995165</v>
      </c>
      <c r="E135" s="367">
        <f t="shared" si="14"/>
        <v>3.7644796432517946E-2</v>
      </c>
      <c r="F135" s="362">
        <f t="shared" si="15"/>
        <v>0.15468677551227028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633</v>
      </c>
      <c r="C136" s="366">
        <f>IF(C118=0,0,C133/C118)</f>
        <v>1.6025124403923732</v>
      </c>
      <c r="D136" s="366">
        <f>IF(LN_ID1=0,0,LN_ID14/LN_ID1)</f>
        <v>2.5925428342051346</v>
      </c>
      <c r="E136" s="367">
        <f t="shared" si="14"/>
        <v>0.99003039381276148</v>
      </c>
      <c r="F136" s="362">
        <f t="shared" si="15"/>
        <v>0.61779888184228626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634</v>
      </c>
      <c r="C137" s="376">
        <f>C136*C121</f>
        <v>828.49893168285689</v>
      </c>
      <c r="D137" s="376">
        <f>LN_ID17*LN_ID4</f>
        <v>904.79744913759203</v>
      </c>
      <c r="E137" s="376">
        <f t="shared" si="14"/>
        <v>76.298517454735133</v>
      </c>
      <c r="F137" s="362">
        <f t="shared" si="15"/>
        <v>9.2092475363554999E-2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635</v>
      </c>
      <c r="C138" s="378">
        <f>IF(C137=0,0,C134/C137)</f>
        <v>3601.6015059174792</v>
      </c>
      <c r="D138" s="378">
        <f>IF(LN_ID18=0,0,LN_ID15/LN_ID18)</f>
        <v>4388.8375279848196</v>
      </c>
      <c r="E138" s="378">
        <f t="shared" si="14"/>
        <v>787.2360220673404</v>
      </c>
      <c r="F138" s="362">
        <f t="shared" si="15"/>
        <v>0.21857943494689824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668</v>
      </c>
      <c r="C139" s="378">
        <f>C61-C138</f>
        <v>3730.1713933450114</v>
      </c>
      <c r="D139" s="378">
        <f>LN_IB18-LN_ID19</f>
        <v>6942.6713560987491</v>
      </c>
      <c r="E139" s="378">
        <f t="shared" si="14"/>
        <v>3212.4999627537377</v>
      </c>
      <c r="F139" s="362">
        <f t="shared" si="15"/>
        <v>0.86122047058887163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669</v>
      </c>
      <c r="C140" s="378">
        <f>C32-C138</f>
        <v>5059.8100895588941</v>
      </c>
      <c r="D140" s="378">
        <f>LN_IA16-LN_ID19</f>
        <v>3894.7628120753861</v>
      </c>
      <c r="E140" s="378">
        <f t="shared" si="14"/>
        <v>-1165.047277483508</v>
      </c>
      <c r="F140" s="362">
        <f t="shared" si="15"/>
        <v>-0.23025513939497971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646</v>
      </c>
      <c r="C141" s="353">
        <f>C140*C137</f>
        <v>4192047.2537176842</v>
      </c>
      <c r="D141" s="353">
        <f>LN_ID21*LN_ID18</f>
        <v>3523971.4573617643</v>
      </c>
      <c r="E141" s="353">
        <f t="shared" si="14"/>
        <v>-668075.79635591991</v>
      </c>
      <c r="F141" s="362">
        <f t="shared" si="15"/>
        <v>-0.15936742978348875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670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637</v>
      </c>
      <c r="C144" s="361">
        <f>C118+C133</f>
        <v>19912567</v>
      </c>
      <c r="D144" s="361">
        <f>LN_ID1+LN_ID14</f>
        <v>19582175</v>
      </c>
      <c r="E144" s="361">
        <f>D144-C144</f>
        <v>-330392</v>
      </c>
      <c r="F144" s="362">
        <f>IF(C144=0,0,E144/C144)</f>
        <v>-1.6592135007003368E-2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638</v>
      </c>
      <c r="C145" s="361">
        <f>C119+C134</f>
        <v>5189560</v>
      </c>
      <c r="D145" s="361">
        <f>LN_1D2+LN_ID15</f>
        <v>5177495</v>
      </c>
      <c r="E145" s="361">
        <f>D145-C145</f>
        <v>-12065</v>
      </c>
      <c r="F145" s="362">
        <f>IF(C145=0,0,E145/C145)</f>
        <v>-2.3248599110521893E-3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639</v>
      </c>
      <c r="C146" s="361">
        <f>C144-C145</f>
        <v>14723007</v>
      </c>
      <c r="D146" s="361">
        <f>LN_ID23-LN_ID24</f>
        <v>14404680</v>
      </c>
      <c r="E146" s="361">
        <f>D146-C146</f>
        <v>-318327</v>
      </c>
      <c r="F146" s="362">
        <f>IF(C146=0,0,E146/C146)</f>
        <v>-2.162105879593754E-2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648</v>
      </c>
      <c r="C148" s="361">
        <f>C127+C141</f>
        <v>5251613.0568719916</v>
      </c>
      <c r="D148" s="361">
        <f>LN_ID10+LN_ID22</f>
        <v>4796079.3976784442</v>
      </c>
      <c r="E148" s="361">
        <f>D148-C148</f>
        <v>-455533.65919354744</v>
      </c>
      <c r="F148" s="415">
        <f>IF(C148=0,0,E148/C148)</f>
        <v>-8.6741664753357914E-2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354</v>
      </c>
      <c r="B150" s="356" t="s">
        <v>671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672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621</v>
      </c>
      <c r="C153" s="361">
        <v>29117</v>
      </c>
      <c r="D153" s="361">
        <v>26850</v>
      </c>
      <c r="E153" s="361">
        <f t="shared" ref="E153:E165" si="16">D153-C153</f>
        <v>-2267</v>
      </c>
      <c r="F153" s="362">
        <f t="shared" ref="F153:F165" si="17">IF(C153=0,0,E153/C153)</f>
        <v>-7.7858295840917677E-2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622</v>
      </c>
      <c r="C154" s="361">
        <v>18017</v>
      </c>
      <c r="D154" s="361">
        <v>6495</v>
      </c>
      <c r="E154" s="361">
        <f t="shared" si="16"/>
        <v>-11522</v>
      </c>
      <c r="F154" s="362">
        <f t="shared" si="17"/>
        <v>-0.63950713215296662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623</v>
      </c>
      <c r="C155" s="366">
        <f>IF(C153=0,0,C154/C153)</f>
        <v>0.61877940721915037</v>
      </c>
      <c r="D155" s="366">
        <f>IF(LN_IE1=0,0,LN_IE2/LN_IE1)</f>
        <v>0.24189944134078212</v>
      </c>
      <c r="E155" s="367">
        <f t="shared" si="16"/>
        <v>-0.37687996587836825</v>
      </c>
      <c r="F155" s="362">
        <f t="shared" si="17"/>
        <v>-0.60906998759396391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2</v>
      </c>
      <c r="D156" s="419">
        <v>2</v>
      </c>
      <c r="E156" s="419">
        <f t="shared" si="16"/>
        <v>0</v>
      </c>
      <c r="F156" s="362">
        <f t="shared" si="17"/>
        <v>0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624</v>
      </c>
      <c r="C157" s="372">
        <v>0.63690000000000002</v>
      </c>
      <c r="D157" s="372">
        <v>1.5387</v>
      </c>
      <c r="E157" s="373">
        <f t="shared" si="16"/>
        <v>0.90179999999999993</v>
      </c>
      <c r="F157" s="362">
        <f t="shared" si="17"/>
        <v>1.4159208666980687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625</v>
      </c>
      <c r="C158" s="376">
        <f>C156*C157</f>
        <v>1.2738</v>
      </c>
      <c r="D158" s="376">
        <f>LN_IE4*LN_IE5</f>
        <v>3.0773999999999999</v>
      </c>
      <c r="E158" s="376">
        <f t="shared" si="16"/>
        <v>1.8035999999999999</v>
      </c>
      <c r="F158" s="362">
        <f t="shared" si="17"/>
        <v>1.4159208666980687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626</v>
      </c>
      <c r="C159" s="378">
        <f>IF(C158=0,0,C154/C158)</f>
        <v>14144.29266760873</v>
      </c>
      <c r="D159" s="378">
        <f>IF(LN_IE6=0,0,LN_IE2/LN_IE6)</f>
        <v>2110.5478650809127</v>
      </c>
      <c r="E159" s="378">
        <f t="shared" si="16"/>
        <v>-12033.744802527817</v>
      </c>
      <c r="F159" s="362">
        <f t="shared" si="17"/>
        <v>-0.85078448850862709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673</v>
      </c>
      <c r="C160" s="378">
        <f>C48-C159</f>
        <v>-7577.87315718217</v>
      </c>
      <c r="D160" s="378">
        <f>LN_IB7-LN_IE7</f>
        <v>5437.1021327404696</v>
      </c>
      <c r="E160" s="378">
        <f t="shared" si="16"/>
        <v>13014.975289922641</v>
      </c>
      <c r="F160" s="362">
        <f t="shared" si="17"/>
        <v>-1.7174971156105041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674</v>
      </c>
      <c r="C161" s="378">
        <f>C21-C159</f>
        <v>-7503.2067229463728</v>
      </c>
      <c r="D161" s="378">
        <f>LN_IA7-LN_IE7</f>
        <v>5256.0486493883946</v>
      </c>
      <c r="E161" s="378">
        <f t="shared" si="16"/>
        <v>12759.255372334766</v>
      </c>
      <c r="F161" s="362">
        <f t="shared" si="17"/>
        <v>-1.7005069756793851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643</v>
      </c>
      <c r="C162" s="391">
        <f>C161*C158</f>
        <v>-9557.5847236890895</v>
      </c>
      <c r="D162" s="391">
        <f>LN_IE9*LN_IE6</f>
        <v>16174.964113627844</v>
      </c>
      <c r="E162" s="391">
        <f t="shared" si="16"/>
        <v>25732.548837316936</v>
      </c>
      <c r="F162" s="362">
        <f t="shared" si="17"/>
        <v>-2.6923694198113837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8</v>
      </c>
      <c r="D163" s="369">
        <v>5</v>
      </c>
      <c r="E163" s="419">
        <f t="shared" si="16"/>
        <v>-3</v>
      </c>
      <c r="F163" s="362">
        <f t="shared" si="17"/>
        <v>-0.375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627</v>
      </c>
      <c r="C164" s="378">
        <f>IF(C163=0,0,C154/C163)</f>
        <v>2252.125</v>
      </c>
      <c r="D164" s="378">
        <f>IF(LN_IE11=0,0,LN_IE2/LN_IE11)</f>
        <v>1299</v>
      </c>
      <c r="E164" s="378">
        <f t="shared" si="16"/>
        <v>-953.125</v>
      </c>
      <c r="F164" s="362">
        <f t="shared" si="17"/>
        <v>-0.42321141144474661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628</v>
      </c>
      <c r="C165" s="379">
        <f>IF(C156=0,0,C163/C156)</f>
        <v>4</v>
      </c>
      <c r="D165" s="379">
        <f>IF(LN_IE4=0,0,LN_IE11/LN_IE4)</f>
        <v>2.5</v>
      </c>
      <c r="E165" s="379">
        <f t="shared" si="16"/>
        <v>-1.5</v>
      </c>
      <c r="F165" s="362">
        <f t="shared" si="17"/>
        <v>-0.375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675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630</v>
      </c>
      <c r="C168" s="424">
        <v>109502</v>
      </c>
      <c r="D168" s="424">
        <v>196919</v>
      </c>
      <c r="E168" s="424">
        <f t="shared" ref="E168:E176" si="18">D168-C168</f>
        <v>87417</v>
      </c>
      <c r="F168" s="362">
        <f t="shared" ref="F168:F176" si="19">IF(C168=0,0,E168/C168)</f>
        <v>0.79831418604226412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631</v>
      </c>
      <c r="C169" s="424">
        <v>67760</v>
      </c>
      <c r="D169" s="424">
        <v>47480</v>
      </c>
      <c r="E169" s="424">
        <f t="shared" si="18"/>
        <v>-20280</v>
      </c>
      <c r="F169" s="362">
        <f t="shared" si="19"/>
        <v>-0.29929161747343563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632</v>
      </c>
      <c r="C170" s="366">
        <f>IF(C168=0,0,C169/C168)</f>
        <v>0.6188014830779347</v>
      </c>
      <c r="D170" s="366">
        <f>IF(LN_IE14=0,0,LN_IE15/LN_IE14)</f>
        <v>0.24111436682087559</v>
      </c>
      <c r="E170" s="367">
        <f t="shared" si="18"/>
        <v>-0.37768711625705909</v>
      </c>
      <c r="F170" s="362">
        <f t="shared" si="19"/>
        <v>-0.61035263583796462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633</v>
      </c>
      <c r="C171" s="366">
        <f>IF(C153=0,0,C168/C153)</f>
        <v>3.7607583198818562</v>
      </c>
      <c r="D171" s="366">
        <f>IF(LN_IE1=0,0,LN_IE14/LN_IE1)</f>
        <v>7.3340409683426442</v>
      </c>
      <c r="E171" s="367">
        <f t="shared" si="18"/>
        <v>3.573282648460788</v>
      </c>
      <c r="F171" s="362">
        <f t="shared" si="19"/>
        <v>0.95014950297924017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634</v>
      </c>
      <c r="C172" s="376">
        <f>C171*C156</f>
        <v>7.5215166397637123</v>
      </c>
      <c r="D172" s="376">
        <f>LN_IE17*LN_IE4</f>
        <v>14.668081936685288</v>
      </c>
      <c r="E172" s="376">
        <f t="shared" si="18"/>
        <v>7.146565296921576</v>
      </c>
      <c r="F172" s="362">
        <f t="shared" si="19"/>
        <v>0.95014950297924017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635</v>
      </c>
      <c r="C173" s="378">
        <f>IF(C172=0,0,C169/C172)</f>
        <v>9008.8213913901109</v>
      </c>
      <c r="D173" s="378">
        <f>IF(LN_IE18=0,0,LN_IE15/LN_IE18)</f>
        <v>3236.9603745702548</v>
      </c>
      <c r="E173" s="378">
        <f t="shared" si="18"/>
        <v>-5771.8610168198556</v>
      </c>
      <c r="F173" s="362">
        <f t="shared" si="19"/>
        <v>-0.64068991559052602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676</v>
      </c>
      <c r="C174" s="378">
        <f>C61-C173</f>
        <v>-1677.0484921276202</v>
      </c>
      <c r="D174" s="378">
        <f>LN_IB18-LN_IE19</f>
        <v>8094.5485095133135</v>
      </c>
      <c r="E174" s="378">
        <f t="shared" si="18"/>
        <v>9771.5970016409337</v>
      </c>
      <c r="F174" s="362">
        <f t="shared" si="19"/>
        <v>-5.8266633597720281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677</v>
      </c>
      <c r="C175" s="378">
        <f>C32-C173</f>
        <v>-347.40979591373798</v>
      </c>
      <c r="D175" s="378">
        <f>LN_IA16-LN_IE19</f>
        <v>5046.6399654899506</v>
      </c>
      <c r="E175" s="378">
        <f t="shared" si="18"/>
        <v>5394.0497614036885</v>
      </c>
      <c r="F175" s="362">
        <f t="shared" si="19"/>
        <v>-15.526475720745173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646</v>
      </c>
      <c r="C176" s="353">
        <f>C175*C172</f>
        <v>-2613.0485607820956</v>
      </c>
      <c r="D176" s="353">
        <f>LN_IE21*LN_IE18</f>
        <v>74024.528518757215</v>
      </c>
      <c r="E176" s="353">
        <f t="shared" si="18"/>
        <v>76637.577079539304</v>
      </c>
      <c r="F176" s="362">
        <f t="shared" si="19"/>
        <v>-29.3287994068512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678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637</v>
      </c>
      <c r="C179" s="361">
        <f>C153+C168</f>
        <v>138619</v>
      </c>
      <c r="D179" s="361">
        <f>LN_IE1+LN_IE14</f>
        <v>223769</v>
      </c>
      <c r="E179" s="361">
        <f>D179-C179</f>
        <v>85150</v>
      </c>
      <c r="F179" s="362">
        <f>IF(C179=0,0,E179/C179)</f>
        <v>0.61427365656944577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638</v>
      </c>
      <c r="C180" s="361">
        <f>C154+C169</f>
        <v>85777</v>
      </c>
      <c r="D180" s="361">
        <f>LN_IE15+LN_IE2</f>
        <v>53975</v>
      </c>
      <c r="E180" s="361">
        <f>D180-C180</f>
        <v>-31802</v>
      </c>
      <c r="F180" s="362">
        <f>IF(C180=0,0,E180/C180)</f>
        <v>-0.37075206640474717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639</v>
      </c>
      <c r="C181" s="361">
        <f>C179-C180</f>
        <v>52842</v>
      </c>
      <c r="D181" s="361">
        <f>LN_IE23-LN_IE24</f>
        <v>169794</v>
      </c>
      <c r="E181" s="361">
        <f>D181-C181</f>
        <v>116952</v>
      </c>
      <c r="F181" s="362">
        <f>IF(C181=0,0,E181/C181)</f>
        <v>2.2132394686045189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679</v>
      </c>
      <c r="C183" s="361">
        <f>C162+C176</f>
        <v>-12170.633284471185</v>
      </c>
      <c r="D183" s="361">
        <f>LN_IE10+LN_IE22</f>
        <v>90199.492632385052</v>
      </c>
      <c r="E183" s="353">
        <f>D183-C183</f>
        <v>102370.12591685624</v>
      </c>
      <c r="F183" s="362">
        <f>IF(C183=0,0,E183/C183)</f>
        <v>-8.4112406909402857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366</v>
      </c>
      <c r="B185" s="356" t="s">
        <v>680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681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621</v>
      </c>
      <c r="C188" s="361">
        <f>C118+C153</f>
        <v>7680403</v>
      </c>
      <c r="D188" s="361">
        <f>LN_ID1+LN_IE1</f>
        <v>5477634</v>
      </c>
      <c r="E188" s="361">
        <f t="shared" ref="E188:E200" si="20">D188-C188</f>
        <v>-2202769</v>
      </c>
      <c r="F188" s="362">
        <f t="shared" ref="F188:F200" si="21">IF(C188=0,0,E188/C188)</f>
        <v>-0.2868038304760831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622</v>
      </c>
      <c r="C189" s="361">
        <f>C119+C154</f>
        <v>2223654</v>
      </c>
      <c r="D189" s="361">
        <f>LN_1D2+LN_IE2</f>
        <v>1212981</v>
      </c>
      <c r="E189" s="361">
        <f t="shared" si="20"/>
        <v>-1010673</v>
      </c>
      <c r="F189" s="362">
        <f t="shared" si="21"/>
        <v>-0.45451000920107176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623</v>
      </c>
      <c r="C190" s="366">
        <f>IF(C188=0,0,C189/C188)</f>
        <v>0.28952308882750033</v>
      </c>
      <c r="D190" s="366">
        <f>IF(LN_IF1=0,0,LN_IF2/LN_IF1)</f>
        <v>0.22144250601628368</v>
      </c>
      <c r="E190" s="367">
        <f t="shared" si="20"/>
        <v>-6.808058281121665E-2</v>
      </c>
      <c r="F190" s="362">
        <f t="shared" si="21"/>
        <v>-0.23514733518120032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519</v>
      </c>
      <c r="D191" s="369">
        <f>LN_ID4+LN_IE4</f>
        <v>351</v>
      </c>
      <c r="E191" s="369">
        <f t="shared" si="20"/>
        <v>-168</v>
      </c>
      <c r="F191" s="362">
        <f t="shared" si="21"/>
        <v>-0.32369942196531792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624</v>
      </c>
      <c r="C192" s="372">
        <f>IF((C121+C156)=0,0,(C123+C158)/(C121+C156))</f>
        <v>0.9497895953757225</v>
      </c>
      <c r="D192" s="372">
        <f>IF((LN_ID4+LN_IE4)=0,0,(LN_ID6+LN_IE6)/(LN_ID4+LN_IE4))</f>
        <v>0.96735418803418816</v>
      </c>
      <c r="E192" s="373">
        <f t="shared" si="20"/>
        <v>1.7564592658465661E-2</v>
      </c>
      <c r="F192" s="362">
        <f t="shared" si="21"/>
        <v>1.8493140737678191E-2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625</v>
      </c>
      <c r="C193" s="376">
        <f>C123+C158</f>
        <v>492.94079999999997</v>
      </c>
      <c r="D193" s="376">
        <f>LN_IF4*LN_IF5</f>
        <v>339.54132000000004</v>
      </c>
      <c r="E193" s="376">
        <f t="shared" si="20"/>
        <v>-153.39947999999993</v>
      </c>
      <c r="F193" s="362">
        <f t="shared" si="21"/>
        <v>-0.31119250019474942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626</v>
      </c>
      <c r="C194" s="378">
        <f>IF(C193=0,0,C189/C193)</f>
        <v>4510.9960465840932</v>
      </c>
      <c r="D194" s="378">
        <f>IF(LN_IF6=0,0,LN_IF2/LN_IF6)</f>
        <v>3572.4105684692508</v>
      </c>
      <c r="E194" s="378">
        <f t="shared" si="20"/>
        <v>-938.58547811484232</v>
      </c>
      <c r="F194" s="362">
        <f t="shared" si="21"/>
        <v>-0.20806612739675903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682</v>
      </c>
      <c r="C195" s="378">
        <f>C48-C194</f>
        <v>2055.4234638424668</v>
      </c>
      <c r="D195" s="378">
        <f>LN_IB7-LN_IF7</f>
        <v>3975.2394293521315</v>
      </c>
      <c r="E195" s="378">
        <f t="shared" si="20"/>
        <v>1919.8159655096647</v>
      </c>
      <c r="F195" s="362">
        <f t="shared" si="21"/>
        <v>0.93402454495712839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683</v>
      </c>
      <c r="C196" s="378">
        <f>C21-C194</f>
        <v>2130.089898078264</v>
      </c>
      <c r="D196" s="378">
        <f>LN_IA7-LN_IF7</f>
        <v>3794.1859460000564</v>
      </c>
      <c r="E196" s="378">
        <f t="shared" si="20"/>
        <v>1664.0960479217924</v>
      </c>
      <c r="F196" s="362">
        <f t="shared" si="21"/>
        <v>0.78123277774478705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643</v>
      </c>
      <c r="C197" s="391">
        <f>C127+C162</f>
        <v>1050008.2184306178</v>
      </c>
      <c r="D197" s="391">
        <f>LN_IF9*LN_IF6</f>
        <v>1288282.9044303081</v>
      </c>
      <c r="E197" s="391">
        <f t="shared" si="20"/>
        <v>238274.68599969032</v>
      </c>
      <c r="F197" s="362">
        <f t="shared" si="21"/>
        <v>0.22692649620954847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1770</v>
      </c>
      <c r="D198" s="369">
        <f>LN_ID11+LN_IE11</f>
        <v>1252</v>
      </c>
      <c r="E198" s="369">
        <f t="shared" si="20"/>
        <v>-518</v>
      </c>
      <c r="F198" s="362">
        <f t="shared" si="21"/>
        <v>-0.29265536723163843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627</v>
      </c>
      <c r="C199" s="432">
        <f>IF(C198=0,0,C189/C198)</f>
        <v>1256.3016949152543</v>
      </c>
      <c r="D199" s="432">
        <f>IF(LN_IF11=0,0,LN_IF2/LN_IF11)</f>
        <v>968.83466453674123</v>
      </c>
      <c r="E199" s="432">
        <f t="shared" si="20"/>
        <v>-287.46703037851307</v>
      </c>
      <c r="F199" s="362">
        <f t="shared" si="21"/>
        <v>-0.22882006093122767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628</v>
      </c>
      <c r="C200" s="379">
        <f>IF(C191=0,0,C198/C191)</f>
        <v>3.4104046242774566</v>
      </c>
      <c r="D200" s="379">
        <f>IF(LN_IF4=0,0,LN_IF11/LN_IF4)</f>
        <v>3.566951566951567</v>
      </c>
      <c r="E200" s="379">
        <f t="shared" si="20"/>
        <v>0.1565469426741104</v>
      </c>
      <c r="F200" s="362">
        <f t="shared" si="21"/>
        <v>4.5902747597662878E-2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684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630</v>
      </c>
      <c r="C203" s="361">
        <f>C133+C168</f>
        <v>12370783</v>
      </c>
      <c r="D203" s="361">
        <f>LN_ID14+LN_IE14</f>
        <v>14328310</v>
      </c>
      <c r="E203" s="361">
        <f t="shared" ref="E203:E211" si="22">D203-C203</f>
        <v>1957527</v>
      </c>
      <c r="F203" s="362">
        <f t="shared" ref="F203:F211" si="23">IF(C203=0,0,E203/C203)</f>
        <v>0.1582379223691823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631</v>
      </c>
      <c r="C204" s="361">
        <f>C134+C169</f>
        <v>3051683</v>
      </c>
      <c r="D204" s="361">
        <f>LN_ID15+LN_IE15</f>
        <v>4018489</v>
      </c>
      <c r="E204" s="361">
        <f t="shared" si="22"/>
        <v>966806</v>
      </c>
      <c r="F204" s="362">
        <f t="shared" si="23"/>
        <v>0.31681075655630025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632</v>
      </c>
      <c r="C205" s="366">
        <f>IF(C203=0,0,C204/C203)</f>
        <v>0.24668470863970374</v>
      </c>
      <c r="D205" s="366">
        <f>IF(LN_IF14=0,0,LN_IF15/LN_IF14)</f>
        <v>0.28045798841594022</v>
      </c>
      <c r="E205" s="367">
        <f t="shared" si="22"/>
        <v>3.3773279776236481E-2</v>
      </c>
      <c r="F205" s="362">
        <f t="shared" si="23"/>
        <v>0.13690868786506005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633</v>
      </c>
      <c r="C206" s="366">
        <f>IF(C188=0,0,C203/C188)</f>
        <v>1.6106945169413636</v>
      </c>
      <c r="D206" s="366">
        <f>IF(LN_IF1=0,0,LN_IF14/LN_IF1)</f>
        <v>2.6157844792112801</v>
      </c>
      <c r="E206" s="367">
        <f t="shared" si="22"/>
        <v>1.0050899622699165</v>
      </c>
      <c r="F206" s="362">
        <f t="shared" si="23"/>
        <v>0.62401029599240032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634</v>
      </c>
      <c r="C207" s="376">
        <f>C137+C172</f>
        <v>836.02044832262061</v>
      </c>
      <c r="D207" s="376">
        <f>LN_ID18+LN_IE18</f>
        <v>919.46553107427735</v>
      </c>
      <c r="E207" s="376">
        <f t="shared" si="22"/>
        <v>83.445082751656741</v>
      </c>
      <c r="F207" s="362">
        <f t="shared" si="23"/>
        <v>9.9812250907354905E-2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635</v>
      </c>
      <c r="C208" s="378">
        <f>IF(C207=0,0,C204/C207)</f>
        <v>3650.2492326866559</v>
      </c>
      <c r="D208" s="378">
        <f>IF(LN_IF18=0,0,LN_IF15/LN_IF18)</f>
        <v>4370.461821776953</v>
      </c>
      <c r="E208" s="378">
        <f t="shared" si="22"/>
        <v>720.21258909029712</v>
      </c>
      <c r="F208" s="362">
        <f t="shared" si="23"/>
        <v>0.19730504499283363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685</v>
      </c>
      <c r="C209" s="378">
        <f>C61-C208</f>
        <v>3681.5236665758348</v>
      </c>
      <c r="D209" s="378">
        <f>LN_IB18-LN_IF19</f>
        <v>6961.0470623066158</v>
      </c>
      <c r="E209" s="378">
        <f t="shared" si="22"/>
        <v>3279.523395730781</v>
      </c>
      <c r="F209" s="362">
        <f t="shared" si="23"/>
        <v>0.89080600662851306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686</v>
      </c>
      <c r="C210" s="378">
        <f>C32-C208</f>
        <v>5011.162362789717</v>
      </c>
      <c r="D210" s="378">
        <f>LN_IA16-LN_IF19</f>
        <v>3913.1385182832528</v>
      </c>
      <c r="E210" s="378">
        <f t="shared" si="22"/>
        <v>-1098.0238445064642</v>
      </c>
      <c r="F210" s="362">
        <f t="shared" si="23"/>
        <v>-0.21911559933875177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646</v>
      </c>
      <c r="C211" s="391">
        <f>C141+C176</f>
        <v>4189434.2051569023</v>
      </c>
      <c r="D211" s="353">
        <f>LN_IF21*LN_IF18</f>
        <v>3597995.9858805216</v>
      </c>
      <c r="E211" s="353">
        <f t="shared" si="22"/>
        <v>-591438.21927638073</v>
      </c>
      <c r="F211" s="362">
        <f t="shared" si="23"/>
        <v>-0.14117376961031192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687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637</v>
      </c>
      <c r="C214" s="361">
        <f>C188+C203</f>
        <v>20051186</v>
      </c>
      <c r="D214" s="361">
        <f>LN_IF1+LN_IF14</f>
        <v>19805944</v>
      </c>
      <c r="E214" s="361">
        <f>D214-C214</f>
        <v>-245242</v>
      </c>
      <c r="F214" s="362">
        <f>IF(C214=0,0,E214/C214)</f>
        <v>-1.2230797719396749E-2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638</v>
      </c>
      <c r="C215" s="361">
        <f>C189+C204</f>
        <v>5275337</v>
      </c>
      <c r="D215" s="361">
        <f>LN_IF2+LN_IF15</f>
        <v>5231470</v>
      </c>
      <c r="E215" s="361">
        <f>D215-C215</f>
        <v>-43867</v>
      </c>
      <c r="F215" s="362">
        <f>IF(C215=0,0,E215/C215)</f>
        <v>-8.3154877119698701E-3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639</v>
      </c>
      <c r="C216" s="361">
        <f>C214-C215</f>
        <v>14775849</v>
      </c>
      <c r="D216" s="361">
        <f>LN_IF23-LN_IF24</f>
        <v>14574474</v>
      </c>
      <c r="E216" s="361">
        <f>D216-C216</f>
        <v>-201375</v>
      </c>
      <c r="F216" s="362">
        <f>IF(C216=0,0,E216/C216)</f>
        <v>-1.3628658495359556E-2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378</v>
      </c>
      <c r="B218" s="356" t="s">
        <v>688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689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621</v>
      </c>
      <c r="C221" s="361">
        <v>105839</v>
      </c>
      <c r="D221" s="361">
        <v>27348</v>
      </c>
      <c r="E221" s="361">
        <f t="shared" ref="E221:E230" si="24">D221-C221</f>
        <v>-78491</v>
      </c>
      <c r="F221" s="362">
        <f t="shared" ref="F221:F230" si="25">IF(C221=0,0,E221/C221)</f>
        <v>-0.74160753597445173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622</v>
      </c>
      <c r="C222" s="361">
        <v>46183</v>
      </c>
      <c r="D222" s="361">
        <v>9678</v>
      </c>
      <c r="E222" s="361">
        <f t="shared" si="24"/>
        <v>-36505</v>
      </c>
      <c r="F222" s="362">
        <f t="shared" si="25"/>
        <v>-0.79044237056925704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623</v>
      </c>
      <c r="C223" s="366">
        <f>IF(C221=0,0,C222/C221)</f>
        <v>0.4363514394504861</v>
      </c>
      <c r="D223" s="366">
        <f>IF(LN_IG1=0,0,LN_IG2/LN_IG1)</f>
        <v>0.35388328214129006</v>
      </c>
      <c r="E223" s="367">
        <f t="shared" si="24"/>
        <v>-8.2468157309196044E-2</v>
      </c>
      <c r="F223" s="362">
        <f t="shared" si="25"/>
        <v>-0.18899480980984346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8</v>
      </c>
      <c r="D224" s="369">
        <v>3</v>
      </c>
      <c r="E224" s="369">
        <f t="shared" si="24"/>
        <v>-5</v>
      </c>
      <c r="F224" s="362">
        <f t="shared" si="25"/>
        <v>-0.625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624</v>
      </c>
      <c r="C225" s="372">
        <v>0.89710000000000001</v>
      </c>
      <c r="D225" s="372">
        <v>0.57979999999999998</v>
      </c>
      <c r="E225" s="373">
        <f t="shared" si="24"/>
        <v>-0.31730000000000003</v>
      </c>
      <c r="F225" s="362">
        <f t="shared" si="25"/>
        <v>-0.35369524021848181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625</v>
      </c>
      <c r="C226" s="376">
        <f>C224*C225</f>
        <v>7.1768000000000001</v>
      </c>
      <c r="D226" s="376">
        <f>LN_IG3*LN_IG4</f>
        <v>1.7393999999999998</v>
      </c>
      <c r="E226" s="376">
        <f t="shared" si="24"/>
        <v>-5.4374000000000002</v>
      </c>
      <c r="F226" s="362">
        <f t="shared" si="25"/>
        <v>-0.75763571508193073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626</v>
      </c>
      <c r="C227" s="378">
        <f>IF(C226=0,0,C222/C226)</f>
        <v>6435.0406866570056</v>
      </c>
      <c r="D227" s="378">
        <f>IF(LN_IG5=0,0,LN_IG2/LN_IG5)</f>
        <v>5563.9875819248018</v>
      </c>
      <c r="E227" s="378">
        <f t="shared" si="24"/>
        <v>-871.05310473220379</v>
      </c>
      <c r="F227" s="362">
        <f t="shared" si="25"/>
        <v>-0.13536093198887211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27</v>
      </c>
      <c r="D228" s="369">
        <v>9</v>
      </c>
      <c r="E228" s="369">
        <f t="shared" si="24"/>
        <v>-18</v>
      </c>
      <c r="F228" s="362">
        <f t="shared" si="25"/>
        <v>-0.66666666666666663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627</v>
      </c>
      <c r="C229" s="378">
        <f>IF(C228=0,0,C222/C228)</f>
        <v>1710.4814814814815</v>
      </c>
      <c r="D229" s="378">
        <f>IF(LN_IG6=0,0,LN_IG2/LN_IG6)</f>
        <v>1075.3333333333333</v>
      </c>
      <c r="E229" s="378">
        <f t="shared" si="24"/>
        <v>-635.14814814814827</v>
      </c>
      <c r="F229" s="362">
        <f t="shared" si="25"/>
        <v>-0.37132711170777133</v>
      </c>
      <c r="Q229" s="330"/>
      <c r="U229" s="375"/>
    </row>
    <row r="230" spans="1:21" ht="11.25" customHeight="1" x14ac:dyDescent="0.2">
      <c r="A230" s="364">
        <v>10</v>
      </c>
      <c r="B230" s="360" t="s">
        <v>628</v>
      </c>
      <c r="C230" s="379">
        <f>IF(C224=0,0,C228/C224)</f>
        <v>3.375</v>
      </c>
      <c r="D230" s="379">
        <f>IF(LN_IG3=0,0,LN_IG6/LN_IG3)</f>
        <v>3</v>
      </c>
      <c r="E230" s="379">
        <f t="shared" si="24"/>
        <v>-0.375</v>
      </c>
      <c r="F230" s="362">
        <f t="shared" si="25"/>
        <v>-0.1111111111111111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690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630</v>
      </c>
      <c r="C233" s="361">
        <v>218812</v>
      </c>
      <c r="D233" s="361">
        <v>193576</v>
      </c>
      <c r="E233" s="361">
        <f>D233-C233</f>
        <v>-25236</v>
      </c>
      <c r="F233" s="362">
        <f>IF(C233=0,0,E233/C233)</f>
        <v>-0.11533188307771054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631</v>
      </c>
      <c r="C234" s="361">
        <v>84314</v>
      </c>
      <c r="D234" s="361">
        <v>61535</v>
      </c>
      <c r="E234" s="361">
        <f>D234-C234</f>
        <v>-22779</v>
      </c>
      <c r="F234" s="362">
        <f>IF(C234=0,0,E234/C234)</f>
        <v>-0.27016865526484335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691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637</v>
      </c>
      <c r="C237" s="361">
        <f>C221+C233</f>
        <v>324651</v>
      </c>
      <c r="D237" s="361">
        <f>LN_IG1+LN_IG9</f>
        <v>220924</v>
      </c>
      <c r="E237" s="361">
        <f>D237-C237</f>
        <v>-103727</v>
      </c>
      <c r="F237" s="362">
        <f>IF(C237=0,0,E237/C237)</f>
        <v>-0.31950309717204012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638</v>
      </c>
      <c r="C238" s="361">
        <f>C222+C234</f>
        <v>130497</v>
      </c>
      <c r="D238" s="361">
        <f>LN_IG2+LN_IG10</f>
        <v>71213</v>
      </c>
      <c r="E238" s="361">
        <f>D238-C238</f>
        <v>-59284</v>
      </c>
      <c r="F238" s="362">
        <f>IF(C238=0,0,E238/C238)</f>
        <v>-0.454293968443719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639</v>
      </c>
      <c r="C239" s="361">
        <f>C237-C238</f>
        <v>194154</v>
      </c>
      <c r="D239" s="361">
        <f>LN_IG13-LN_IG14</f>
        <v>149711</v>
      </c>
      <c r="E239" s="361">
        <f>D239-C239</f>
        <v>-44443</v>
      </c>
      <c r="F239" s="362">
        <f>IF(C239=0,0,E239/C239)</f>
        <v>-0.22890592004285257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382</v>
      </c>
      <c r="B241" s="356" t="s">
        <v>692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693</v>
      </c>
      <c r="C243" s="361">
        <v>653094</v>
      </c>
      <c r="D243" s="361">
        <v>2505143</v>
      </c>
      <c r="E243" s="353">
        <f>D243-C243</f>
        <v>1852049</v>
      </c>
      <c r="F243" s="415">
        <f>IF(C243=0,0,E243/C243)</f>
        <v>2.8358077091505969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694</v>
      </c>
      <c r="C244" s="361">
        <v>85587522</v>
      </c>
      <c r="D244" s="361">
        <v>90685854</v>
      </c>
      <c r="E244" s="353">
        <f>D244-C244</f>
        <v>5098332</v>
      </c>
      <c r="F244" s="415">
        <f>IF(C244=0,0,E244/C244)</f>
        <v>5.9568636652431645E-2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695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696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697</v>
      </c>
      <c r="C248" s="353">
        <v>187766</v>
      </c>
      <c r="D248" s="353">
        <v>192533</v>
      </c>
      <c r="E248" s="353">
        <f>D248-C248</f>
        <v>4767</v>
      </c>
      <c r="F248" s="362">
        <f>IF(C248=0,0,E248/C248)</f>
        <v>2.5387982914904721E-2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698</v>
      </c>
      <c r="C249" s="353">
        <v>7611773</v>
      </c>
      <c r="D249" s="353">
        <v>7028914</v>
      </c>
      <c r="E249" s="353">
        <f>D249-C249</f>
        <v>-582859</v>
      </c>
      <c r="F249" s="362">
        <f>IF(C249=0,0,E249/C249)</f>
        <v>-7.6573355511258684E-2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699</v>
      </c>
      <c r="C250" s="353">
        <f>C248+C249</f>
        <v>7799539</v>
      </c>
      <c r="D250" s="353">
        <f>LN_IH4+LN_IH5</f>
        <v>7221447</v>
      </c>
      <c r="E250" s="353">
        <f>D250-C250</f>
        <v>-578092</v>
      </c>
      <c r="F250" s="362">
        <f>IF(C250=0,0,E250/C250)</f>
        <v>-7.411873958191631E-2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700</v>
      </c>
      <c r="C251" s="353">
        <f>C250*C313</f>
        <v>2970123.4896200956</v>
      </c>
      <c r="D251" s="353">
        <f>LN_IH6*LN_III10</f>
        <v>2696757.0413322644</v>
      </c>
      <c r="E251" s="353">
        <f>D251-C251</f>
        <v>-273366.44828783115</v>
      </c>
      <c r="F251" s="362">
        <f>IF(C251=0,0,E251/C251)</f>
        <v>-9.2038748302279205E-2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701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637</v>
      </c>
      <c r="C254" s="353">
        <f>C188+C203</f>
        <v>20051186</v>
      </c>
      <c r="D254" s="353">
        <f>LN_IF23</f>
        <v>19805944</v>
      </c>
      <c r="E254" s="353">
        <f>D254-C254</f>
        <v>-245242</v>
      </c>
      <c r="F254" s="362">
        <f>IF(C254=0,0,E254/C254)</f>
        <v>-1.2230797719396749E-2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638</v>
      </c>
      <c r="C255" s="353">
        <f>C189+C204</f>
        <v>5275337</v>
      </c>
      <c r="D255" s="353">
        <f>LN_IF24</f>
        <v>5231470</v>
      </c>
      <c r="E255" s="353">
        <f>D255-C255</f>
        <v>-43867</v>
      </c>
      <c r="F255" s="362">
        <f>IF(C255=0,0,E255/C255)</f>
        <v>-8.3154877119698701E-3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702</v>
      </c>
      <c r="C256" s="353">
        <f>C254*C313</f>
        <v>7635643.4057630338</v>
      </c>
      <c r="D256" s="353">
        <f>LN_IH8*LN_III10</f>
        <v>7396276.5277142543</v>
      </c>
      <c r="E256" s="353">
        <f>D256-C256</f>
        <v>-239366.87804877944</v>
      </c>
      <c r="F256" s="362">
        <f>IF(C256=0,0,E256/C256)</f>
        <v>-3.1348619275242254E-2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703</v>
      </c>
      <c r="C257" s="353">
        <f>C256-C255</f>
        <v>2360306.4057630338</v>
      </c>
      <c r="D257" s="353">
        <f>LN_IH10-LN_IH9</f>
        <v>2164806.5277142543</v>
      </c>
      <c r="E257" s="353">
        <f>D257-C257</f>
        <v>-195499.87804877944</v>
      </c>
      <c r="F257" s="362">
        <f>IF(C257=0,0,E257/C257)</f>
        <v>-8.2828177549930743E-2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704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705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706</v>
      </c>
      <c r="C261" s="361">
        <f>C15+C42+C188+C221</f>
        <v>95337039</v>
      </c>
      <c r="D261" s="361">
        <f>LN_IA1+LN_IB1+LN_IF1+LN_IG1</f>
        <v>96546778</v>
      </c>
      <c r="E261" s="361">
        <f t="shared" ref="E261:E274" si="26">D261-C261</f>
        <v>1209739</v>
      </c>
      <c r="F261" s="415">
        <f t="shared" ref="F261:F274" si="27">IF(C261=0,0,E261/C261)</f>
        <v>1.2689076697672559E-2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707</v>
      </c>
      <c r="C262" s="361">
        <f>C16+C43+C189+C222</f>
        <v>36540630</v>
      </c>
      <c r="D262" s="361">
        <f>+LN_IA2+LN_IB2+LN_IF2+LN_IG2</f>
        <v>35466887</v>
      </c>
      <c r="E262" s="361">
        <f t="shared" si="26"/>
        <v>-1073743</v>
      </c>
      <c r="F262" s="415">
        <f t="shared" si="27"/>
        <v>-2.9384906609437222E-2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708</v>
      </c>
      <c r="C263" s="366">
        <f>IF(C261=0,0,C262/C261)</f>
        <v>0.38327842340477974</v>
      </c>
      <c r="D263" s="366">
        <f>IF(LN_IIA1=0,0,LN_IIA2/LN_IIA1)</f>
        <v>0.36735443413761565</v>
      </c>
      <c r="E263" s="367">
        <f t="shared" si="26"/>
        <v>-1.5923989267164096E-2</v>
      </c>
      <c r="F263" s="371">
        <f t="shared" si="27"/>
        <v>-4.1546792865892156E-2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709</v>
      </c>
      <c r="C264" s="369">
        <f>C18+C45+C191+C224</f>
        <v>4374</v>
      </c>
      <c r="D264" s="369">
        <f>LN_IA4+LN_IB4+LN_IF4+LN_IG3</f>
        <v>3580</v>
      </c>
      <c r="E264" s="369">
        <f t="shared" si="26"/>
        <v>-794</v>
      </c>
      <c r="F264" s="415">
        <f t="shared" si="27"/>
        <v>-0.18152720621856425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710</v>
      </c>
      <c r="C265" s="439">
        <f>IF(C264=0,0,C266/C264)</f>
        <v>1.2994525880201189</v>
      </c>
      <c r="D265" s="439">
        <f>IF(LN_IIA4=0,0,LN_IIA6/LN_IIA4)</f>
        <v>1.3824720837988829</v>
      </c>
      <c r="E265" s="439">
        <f t="shared" si="26"/>
        <v>8.3019495778763996E-2</v>
      </c>
      <c r="F265" s="415">
        <f t="shared" si="27"/>
        <v>6.3888052972563433E-2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711</v>
      </c>
      <c r="C266" s="376">
        <f>C20+C47+C193+C226</f>
        <v>5683.8056200000001</v>
      </c>
      <c r="D266" s="376">
        <f>LN_IA6+LN_IB6+LN_IF6+LN_IG5</f>
        <v>4949.2500600000003</v>
      </c>
      <c r="E266" s="376">
        <f t="shared" si="26"/>
        <v>-734.55555999999979</v>
      </c>
      <c r="F266" s="415">
        <f t="shared" si="27"/>
        <v>-0.12923657301285399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712</v>
      </c>
      <c r="C267" s="361">
        <f>C27+C56+C203+C233</f>
        <v>88772941</v>
      </c>
      <c r="D267" s="361">
        <f>LN_IA11+LN_IB13+LN_IF14+LN_IG9</f>
        <v>92875386</v>
      </c>
      <c r="E267" s="361">
        <f t="shared" si="26"/>
        <v>4102445</v>
      </c>
      <c r="F267" s="415">
        <f t="shared" si="27"/>
        <v>4.62127868445859E-2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633</v>
      </c>
      <c r="C268" s="366">
        <f>IF(C261=0,0,C267/C261)</f>
        <v>0.93114850147590589</v>
      </c>
      <c r="D268" s="366">
        <f>IF(LN_IIA1=0,0,LN_IIA7/LN_IIA1)</f>
        <v>0.96197292052563366</v>
      </c>
      <c r="E268" s="367">
        <f t="shared" si="26"/>
        <v>3.0824419049727769E-2</v>
      </c>
      <c r="F268" s="371">
        <f t="shared" si="27"/>
        <v>3.3103655325514555E-2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713</v>
      </c>
      <c r="C269" s="361">
        <f>C28+C57+C204+C234</f>
        <v>32804598</v>
      </c>
      <c r="D269" s="361">
        <f>LN_IA12+LN_IB14+LN_IF15+LN_IG10</f>
        <v>34972347</v>
      </c>
      <c r="E269" s="361">
        <f t="shared" si="26"/>
        <v>2167749</v>
      </c>
      <c r="F269" s="415">
        <f t="shared" si="27"/>
        <v>6.6080645158340306E-2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632</v>
      </c>
      <c r="C270" s="366">
        <f>IF(C267=0,0,C269/C267)</f>
        <v>0.36953375240772973</v>
      </c>
      <c r="D270" s="366">
        <f>IF(LN_IIA7=0,0,LN_IIA9/LN_IIA7)</f>
        <v>0.3765512963789997</v>
      </c>
      <c r="E270" s="367">
        <f t="shared" si="26"/>
        <v>7.0175439712699683E-3</v>
      </c>
      <c r="F270" s="371">
        <f t="shared" si="27"/>
        <v>1.8990265234356922E-2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714</v>
      </c>
      <c r="C271" s="353">
        <f>C261+C267</f>
        <v>184109980</v>
      </c>
      <c r="D271" s="353">
        <f>LN_IIA1+LN_IIA7</f>
        <v>189422164</v>
      </c>
      <c r="E271" s="353">
        <f t="shared" si="26"/>
        <v>5312184</v>
      </c>
      <c r="F271" s="415">
        <f t="shared" si="27"/>
        <v>2.8853319086776283E-2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715</v>
      </c>
      <c r="C272" s="353">
        <f>C262+C269</f>
        <v>69345228</v>
      </c>
      <c r="D272" s="353">
        <f>LN_IIA2+LN_IIA9</f>
        <v>70439234</v>
      </c>
      <c r="E272" s="353">
        <f t="shared" si="26"/>
        <v>1094006</v>
      </c>
      <c r="F272" s="415">
        <f t="shared" si="27"/>
        <v>1.5776226159354468E-2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716</v>
      </c>
      <c r="C273" s="366">
        <f>IF(C271=0,0,C272/C271)</f>
        <v>0.37665110821260206</v>
      </c>
      <c r="D273" s="366">
        <f>IF(LN_IIA11=0,0,LN_IIA12/LN_IIA11)</f>
        <v>0.37186373818430246</v>
      </c>
      <c r="E273" s="367">
        <f t="shared" si="26"/>
        <v>-4.7873700282995979E-3</v>
      </c>
      <c r="F273" s="371">
        <f t="shared" si="27"/>
        <v>-1.271035694284311E-2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17312</v>
      </c>
      <c r="D274" s="421">
        <f>LN_IA8+LN_IB10+LN_IF11+LN_IG6</f>
        <v>14756</v>
      </c>
      <c r="E274" s="442">
        <f t="shared" si="26"/>
        <v>-2556</v>
      </c>
      <c r="F274" s="371">
        <f t="shared" si="27"/>
        <v>-0.14764325323475047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717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718</v>
      </c>
      <c r="C277" s="361">
        <f>C15+C188+C221</f>
        <v>64959716</v>
      </c>
      <c r="D277" s="361">
        <f>LN_IA1+LN_IF1+LN_IG1</f>
        <v>66535739</v>
      </c>
      <c r="E277" s="361">
        <f t="shared" ref="E277:E291" si="28">D277-C277</f>
        <v>1576023</v>
      </c>
      <c r="F277" s="415">
        <f t="shared" ref="F277:F291" si="29">IF(C277=0,0,E277/C277)</f>
        <v>2.4261543877439364E-2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719</v>
      </c>
      <c r="C278" s="361">
        <f>C16+C189+C222</f>
        <v>22951208</v>
      </c>
      <c r="D278" s="361">
        <f>LN_IA2+LN_IF2+LN_IG2</f>
        <v>22994969</v>
      </c>
      <c r="E278" s="361">
        <f t="shared" si="28"/>
        <v>43761</v>
      </c>
      <c r="F278" s="415">
        <f t="shared" si="29"/>
        <v>1.9066970244006329E-3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720</v>
      </c>
      <c r="C279" s="366">
        <f>IF(C277=0,0,C278/C277)</f>
        <v>0.35331447569752306</v>
      </c>
      <c r="D279" s="366">
        <f>IF(D277=0,0,LN_IIB2/D277)</f>
        <v>0.34560327044687966</v>
      </c>
      <c r="E279" s="367">
        <f t="shared" si="28"/>
        <v>-7.7112052506433937E-3</v>
      </c>
      <c r="F279" s="371">
        <f t="shared" si="29"/>
        <v>-2.1825330636169725E-2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721</v>
      </c>
      <c r="C280" s="369">
        <f>C18+C191+C224</f>
        <v>2577</v>
      </c>
      <c r="D280" s="369">
        <f>LN_IA4+LN_IF4+LN_IG3</f>
        <v>2340</v>
      </c>
      <c r="E280" s="369">
        <f t="shared" si="28"/>
        <v>-237</v>
      </c>
      <c r="F280" s="415">
        <f t="shared" si="29"/>
        <v>-9.1967403958090804E-2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722</v>
      </c>
      <c r="C281" s="439">
        <f>IF(C280=0,0,C282/C280)</f>
        <v>1.4025116802483506</v>
      </c>
      <c r="D281" s="439">
        <f>IF(LN_IIB4=0,0,LN_IIB6/LN_IIB4)</f>
        <v>1.4089000256410256</v>
      </c>
      <c r="E281" s="439">
        <f t="shared" si="28"/>
        <v>6.3883453926749656E-3</v>
      </c>
      <c r="F281" s="415">
        <f t="shared" si="29"/>
        <v>4.554932042736176E-3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723</v>
      </c>
      <c r="C282" s="376">
        <f>C20+C193+C226</f>
        <v>3614.2725999999998</v>
      </c>
      <c r="D282" s="376">
        <f>LN_IA6+LN_IF6+LN_IG5</f>
        <v>3296.8260599999999</v>
      </c>
      <c r="E282" s="376">
        <f t="shared" si="28"/>
        <v>-317.44653999999991</v>
      </c>
      <c r="F282" s="415">
        <f t="shared" si="29"/>
        <v>-8.7831377190530663E-2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724</v>
      </c>
      <c r="C283" s="361">
        <f>C27+C203+C233</f>
        <v>39981578</v>
      </c>
      <c r="D283" s="361">
        <f>LN_IA11+LN_IF14+LN_IG9</f>
        <v>43682783</v>
      </c>
      <c r="E283" s="361">
        <f t="shared" si="28"/>
        <v>3701205</v>
      </c>
      <c r="F283" s="415">
        <f t="shared" si="29"/>
        <v>9.2572759384334458E-2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725</v>
      </c>
      <c r="C284" s="366">
        <f>IF(C277=0,0,C283/C277)</f>
        <v>0.61548264773817674</v>
      </c>
      <c r="D284" s="366">
        <f>IF(D277=0,0,LN_IIB7/D277)</f>
        <v>0.65653111630728267</v>
      </c>
      <c r="E284" s="367">
        <f t="shared" si="28"/>
        <v>4.1048468569105934E-2</v>
      </c>
      <c r="F284" s="371">
        <f t="shared" si="29"/>
        <v>6.6693137036363287E-2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726</v>
      </c>
      <c r="C285" s="361">
        <f>C28+C204+C234</f>
        <v>11642899</v>
      </c>
      <c r="D285" s="361">
        <f>LN_IA12+LN_IF15+LN_IG10</f>
        <v>11940530</v>
      </c>
      <c r="E285" s="361">
        <f t="shared" si="28"/>
        <v>297631</v>
      </c>
      <c r="F285" s="415">
        <f t="shared" si="29"/>
        <v>2.5563306870565485E-2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727</v>
      </c>
      <c r="C286" s="366">
        <f>IF(C283=0,0,C285/C283)</f>
        <v>0.29120659019511436</v>
      </c>
      <c r="D286" s="366">
        <f>IF(LN_IIB7=0,0,LN_IIB9/LN_IIB7)</f>
        <v>0.27334636623312208</v>
      </c>
      <c r="E286" s="367">
        <f t="shared" si="28"/>
        <v>-1.7860223961992272E-2</v>
      </c>
      <c r="F286" s="371">
        <f t="shared" si="29"/>
        <v>-6.133179867263841E-2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728</v>
      </c>
      <c r="C287" s="353">
        <f>C277+C283</f>
        <v>104941294</v>
      </c>
      <c r="D287" s="353">
        <f>D277+LN_IIB7</f>
        <v>110218522</v>
      </c>
      <c r="E287" s="353">
        <f t="shared" si="28"/>
        <v>5277228</v>
      </c>
      <c r="F287" s="415">
        <f t="shared" si="29"/>
        <v>5.0287430227418391E-2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729</v>
      </c>
      <c r="C288" s="353">
        <f>C278+C285</f>
        <v>34594107</v>
      </c>
      <c r="D288" s="353">
        <f>LN_IIB2+LN_IIB9</f>
        <v>34935499</v>
      </c>
      <c r="E288" s="353">
        <f t="shared" si="28"/>
        <v>341392</v>
      </c>
      <c r="F288" s="415">
        <f t="shared" si="29"/>
        <v>9.8685015919040778E-3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730</v>
      </c>
      <c r="C289" s="366">
        <f>IF(C287=0,0,C288/C287)</f>
        <v>0.32965199571486131</v>
      </c>
      <c r="D289" s="366">
        <f>IF(LN_IIB11=0,0,LN_IIB12/LN_IIB11)</f>
        <v>0.316965772776376</v>
      </c>
      <c r="E289" s="367">
        <f t="shared" si="28"/>
        <v>-1.2686222938485314E-2</v>
      </c>
      <c r="F289" s="371">
        <f t="shared" si="29"/>
        <v>-3.848368310640686E-2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11374</v>
      </c>
      <c r="D290" s="421">
        <f>LN_IA8+LN_IF11+LN_IG6</f>
        <v>10459</v>
      </c>
      <c r="E290" s="442">
        <f t="shared" si="28"/>
        <v>-915</v>
      </c>
      <c r="F290" s="371">
        <f t="shared" si="29"/>
        <v>-8.0446632671004048E-2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731</v>
      </c>
      <c r="C291" s="361">
        <f>C287-C288</f>
        <v>70347187</v>
      </c>
      <c r="D291" s="429">
        <f>LN_IIB11-LN_IIB12</f>
        <v>75283023</v>
      </c>
      <c r="E291" s="353">
        <f t="shared" si="28"/>
        <v>4935836</v>
      </c>
      <c r="F291" s="415">
        <f t="shared" si="29"/>
        <v>7.0163942731640422E-2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628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619</v>
      </c>
      <c r="C294" s="379">
        <f>IF(C18=0,0,C22/C18)</f>
        <v>4.6717073170731709</v>
      </c>
      <c r="D294" s="379">
        <f>IF(LN_IA4=0,0,LN_IA8/LN_IA4)</f>
        <v>4.6314199395770395</v>
      </c>
      <c r="E294" s="379">
        <f t="shared" ref="E294:E300" si="30">D294-C294</f>
        <v>-4.0287377496131427E-2</v>
      </c>
      <c r="F294" s="415">
        <f t="shared" ref="F294:F300" si="31">IF(C294=0,0,E294/C294)</f>
        <v>-8.6236946713030612E-3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640</v>
      </c>
      <c r="C295" s="379">
        <f>IF(C45=0,0,C51/C45)</f>
        <v>3.3043962159154145</v>
      </c>
      <c r="D295" s="379">
        <f>IF(LN_IB4=0,0,(LN_IB10)/(LN_IB4))</f>
        <v>3.4653225806451613</v>
      </c>
      <c r="E295" s="379">
        <f t="shared" si="30"/>
        <v>0.16092636472974675</v>
      </c>
      <c r="F295" s="415">
        <f t="shared" si="31"/>
        <v>4.8700686665435318E-2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655</v>
      </c>
      <c r="C296" s="379">
        <f>IF(C86=0,0,C93/C86)</f>
        <v>3.9871794871794872</v>
      </c>
      <c r="D296" s="379">
        <f>IF(LN_IC4=0,0,LN_IC11/LN_IC4)</f>
        <v>4</v>
      </c>
      <c r="E296" s="379">
        <f t="shared" si="30"/>
        <v>1.2820512820512775E-2</v>
      </c>
      <c r="F296" s="415">
        <f t="shared" si="31"/>
        <v>3.2154340836012749E-3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3.4081237911025144</v>
      </c>
      <c r="D297" s="379">
        <f>IF(LN_ID4=0,0,LN_ID11/LN_ID4)</f>
        <v>3.5730659025787967</v>
      </c>
      <c r="E297" s="379">
        <f t="shared" si="30"/>
        <v>0.16494211147628235</v>
      </c>
      <c r="F297" s="415">
        <f t="shared" si="31"/>
        <v>4.8396748940543688E-2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732</v>
      </c>
      <c r="C298" s="379">
        <f>IF(C156=0,0,C163/C156)</f>
        <v>4</v>
      </c>
      <c r="D298" s="379">
        <f>IF(LN_IE4=0,0,LN_IE11/LN_IE4)</f>
        <v>2.5</v>
      </c>
      <c r="E298" s="379">
        <f t="shared" si="30"/>
        <v>-1.5</v>
      </c>
      <c r="F298" s="415">
        <f t="shared" si="31"/>
        <v>-0.375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430</v>
      </c>
      <c r="C299" s="379">
        <f>IF(C224=0,0,C228/C224)</f>
        <v>3.375</v>
      </c>
      <c r="D299" s="379">
        <f>IF(LN_IG3=0,0,LN_IG6/LN_IG3)</f>
        <v>3</v>
      </c>
      <c r="E299" s="379">
        <f t="shared" si="30"/>
        <v>-0.375</v>
      </c>
      <c r="F299" s="415">
        <f t="shared" si="31"/>
        <v>-0.1111111111111111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733</v>
      </c>
      <c r="C300" s="379">
        <f>IF(C264=0,0,C274/C264)</f>
        <v>3.9579332418838593</v>
      </c>
      <c r="D300" s="379">
        <f>IF(LN_IIA4=0,0,LN_IIA14/LN_IIA4)</f>
        <v>4.1217877094972071</v>
      </c>
      <c r="E300" s="379">
        <f t="shared" si="30"/>
        <v>0.16385446761334777</v>
      </c>
      <c r="F300" s="415">
        <f t="shared" si="31"/>
        <v>4.1398997304804938E-2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734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728</v>
      </c>
      <c r="C304" s="353">
        <f>C35+C66+C214+C221+C233</f>
        <v>184109980</v>
      </c>
      <c r="D304" s="353">
        <f>LN_IIA11</f>
        <v>189422164</v>
      </c>
      <c r="E304" s="353">
        <f t="shared" ref="E304:E316" si="32">D304-C304</f>
        <v>5312184</v>
      </c>
      <c r="F304" s="362">
        <f>IF(C304=0,0,E304/C304)</f>
        <v>2.8853319086776283E-2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731</v>
      </c>
      <c r="C305" s="353">
        <f>C291</f>
        <v>70347187</v>
      </c>
      <c r="D305" s="353">
        <f>LN_IIB14</f>
        <v>75283023</v>
      </c>
      <c r="E305" s="353">
        <f t="shared" si="32"/>
        <v>4935836</v>
      </c>
      <c r="F305" s="362">
        <f>IF(C305=0,0,E305/C305)</f>
        <v>7.0163942731640422E-2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735</v>
      </c>
      <c r="C306" s="353">
        <f>C250</f>
        <v>7799539</v>
      </c>
      <c r="D306" s="353">
        <f>LN_IH6</f>
        <v>7221447</v>
      </c>
      <c r="E306" s="353">
        <f t="shared" si="32"/>
        <v>-578092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736</v>
      </c>
      <c r="C307" s="353">
        <f>C73-C74</f>
        <v>34534290</v>
      </c>
      <c r="D307" s="353">
        <f>LN_IB32-LN_IB33</f>
        <v>34368322</v>
      </c>
      <c r="E307" s="353">
        <f t="shared" si="32"/>
        <v>-165968</v>
      </c>
      <c r="F307" s="362">
        <f t="shared" ref="F307:F316" si="33">IF(C307=0,0,E307/C307)</f>
        <v>-4.8058900298804464E-3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737</v>
      </c>
      <c r="C308" s="353">
        <v>1318490</v>
      </c>
      <c r="D308" s="353">
        <v>1812087</v>
      </c>
      <c r="E308" s="353">
        <f t="shared" si="32"/>
        <v>493597</v>
      </c>
      <c r="F308" s="362">
        <f t="shared" si="33"/>
        <v>0.37436537250946156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738</v>
      </c>
      <c r="C309" s="353">
        <f>C305+C307+C308+C306</f>
        <v>113999506</v>
      </c>
      <c r="D309" s="353">
        <f>LN_III2+LN_III3+LN_III4+LN_III5</f>
        <v>118684879</v>
      </c>
      <c r="E309" s="353">
        <f t="shared" si="32"/>
        <v>4685373</v>
      </c>
      <c r="F309" s="362">
        <f t="shared" si="33"/>
        <v>4.1099941257640188E-2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739</v>
      </c>
      <c r="C310" s="353">
        <f>C304-C309</f>
        <v>70110474</v>
      </c>
      <c r="D310" s="353">
        <f>LN_III1-LN_III6</f>
        <v>70737285</v>
      </c>
      <c r="E310" s="353">
        <f t="shared" si="32"/>
        <v>626811</v>
      </c>
      <c r="F310" s="362">
        <f t="shared" si="33"/>
        <v>8.9403332232499237E-3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740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741</v>
      </c>
      <c r="C312" s="353">
        <f>C310+C311</f>
        <v>70110474</v>
      </c>
      <c r="D312" s="353">
        <f>LN_III7+LN_III8</f>
        <v>70737285</v>
      </c>
      <c r="E312" s="353">
        <f t="shared" si="32"/>
        <v>626811</v>
      </c>
      <c r="F312" s="362">
        <f t="shared" si="33"/>
        <v>8.9403332232499237E-3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742</v>
      </c>
      <c r="C313" s="448">
        <f>IF(C304=0,0,C312/C304)</f>
        <v>0.3808075694755928</v>
      </c>
      <c r="D313" s="448">
        <f>IF(LN_III1=0,0,LN_III9/LN_III1)</f>
        <v>0.37343721297577404</v>
      </c>
      <c r="E313" s="448">
        <f t="shared" si="32"/>
        <v>-7.3703564998187643E-3</v>
      </c>
      <c r="F313" s="362">
        <f t="shared" si="33"/>
        <v>-1.935454305692617E-2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700</v>
      </c>
      <c r="C314" s="353">
        <f>C306*C313</f>
        <v>2970123.4896200956</v>
      </c>
      <c r="D314" s="353">
        <f>D313*LN_III5</f>
        <v>2696757.0413322644</v>
      </c>
      <c r="E314" s="353">
        <f t="shared" si="32"/>
        <v>-273366.44828783115</v>
      </c>
      <c r="F314" s="362">
        <f t="shared" si="33"/>
        <v>-9.2038748302279205E-2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703</v>
      </c>
      <c r="C315" s="353">
        <f>(C214*C313)-C215</f>
        <v>2360306.4057630338</v>
      </c>
      <c r="D315" s="353">
        <f>D313*LN_IH8-LN_IH9</f>
        <v>2164806.5277142543</v>
      </c>
      <c r="E315" s="353">
        <f t="shared" si="32"/>
        <v>-195499.87804877944</v>
      </c>
      <c r="F315" s="362">
        <f t="shared" si="33"/>
        <v>-8.2828177549930743E-2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743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744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745</v>
      </c>
      <c r="C318" s="353">
        <f>C314+C315+C316</f>
        <v>5330429.8953831289</v>
      </c>
      <c r="D318" s="353">
        <f>D314+D315+D316</f>
        <v>4861563.5690465188</v>
      </c>
      <c r="E318" s="353">
        <f>D318-C318</f>
        <v>-468866.32633661013</v>
      </c>
      <c r="F318" s="362">
        <f>IF(C318=0,0,E318/C318)</f>
        <v>-8.7960321313429443E-2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746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4192047.2537176842</v>
      </c>
      <c r="D322" s="353">
        <f>LN_ID22</f>
        <v>3523971.4573617643</v>
      </c>
      <c r="E322" s="353">
        <f>LN_IV2-C322</f>
        <v>-668075.79635591991</v>
      </c>
      <c r="F322" s="362">
        <f>IF(C322=0,0,E322/C322)</f>
        <v>-0.15936742978348875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732</v>
      </c>
      <c r="C323" s="353">
        <f>C162+C176</f>
        <v>-12170.633284471185</v>
      </c>
      <c r="D323" s="353">
        <f>LN_IE10+LN_IE22</f>
        <v>90199.492632385052</v>
      </c>
      <c r="E323" s="353">
        <f>LN_IV3-C323</f>
        <v>102370.12591685624</v>
      </c>
      <c r="F323" s="362">
        <f>IF(C323=0,0,E323/C323)</f>
        <v>-8.4112406909402857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747</v>
      </c>
      <c r="C324" s="353">
        <f>C92+C106</f>
        <v>1789846.448770937</v>
      </c>
      <c r="D324" s="353">
        <f>LN_IC10+LN_IC22</f>
        <v>1534003.2198382039</v>
      </c>
      <c r="E324" s="353">
        <f>LN_IV1-C324</f>
        <v>-255843.22893273318</v>
      </c>
      <c r="F324" s="362">
        <f>IF(C324=0,0,E324/C324)</f>
        <v>-0.14294144009304105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748</v>
      </c>
      <c r="C325" s="429">
        <f>C324+C322+C323</f>
        <v>5969723.0692041507</v>
      </c>
      <c r="D325" s="429">
        <f>LN_IV1+LN_IV2+LN_IV3</f>
        <v>5148174.1698323535</v>
      </c>
      <c r="E325" s="353">
        <f>LN_IV4-C325</f>
        <v>-821548.89937179722</v>
      </c>
      <c r="F325" s="362">
        <f>IF(C325=0,0,E325/C325)</f>
        <v>-0.13761926472098837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749</v>
      </c>
      <c r="B327" s="446" t="s">
        <v>750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751</v>
      </c>
      <c r="C329" s="431">
        <v>2287171</v>
      </c>
      <c r="D329" s="431">
        <v>3586807</v>
      </c>
      <c r="E329" s="431">
        <f t="shared" ref="E329:E335" si="34">D329-C329</f>
        <v>1299636</v>
      </c>
      <c r="F329" s="462">
        <f t="shared" ref="F329:F335" si="35">IF(C329=0,0,E329/C329)</f>
        <v>0.56822861080347731</v>
      </c>
    </row>
    <row r="330" spans="1:22" s="333" customFormat="1" ht="11.25" customHeight="1" x14ac:dyDescent="0.2">
      <c r="A330" s="364">
        <v>2</v>
      </c>
      <c r="B330" s="360" t="s">
        <v>752</v>
      </c>
      <c r="C330" s="429">
        <v>10515305</v>
      </c>
      <c r="D330" s="429">
        <v>14012479</v>
      </c>
      <c r="E330" s="431">
        <f t="shared" si="34"/>
        <v>3497174</v>
      </c>
      <c r="F330" s="463">
        <f t="shared" si="35"/>
        <v>0.33257941638402311</v>
      </c>
    </row>
    <row r="331" spans="1:22" s="333" customFormat="1" ht="11.25" customHeight="1" x14ac:dyDescent="0.2">
      <c r="A331" s="339">
        <v>3</v>
      </c>
      <c r="B331" s="360" t="s">
        <v>753</v>
      </c>
      <c r="C331" s="429">
        <v>79860535</v>
      </c>
      <c r="D331" s="429">
        <v>84451715</v>
      </c>
      <c r="E331" s="431">
        <f t="shared" si="34"/>
        <v>4591180</v>
      </c>
      <c r="F331" s="462">
        <f t="shared" si="35"/>
        <v>5.7489972988535573E-2</v>
      </c>
    </row>
    <row r="332" spans="1:22" s="333" customFormat="1" ht="11.25" customHeight="1" x14ac:dyDescent="0.2">
      <c r="A332" s="364">
        <v>4</v>
      </c>
      <c r="B332" s="360" t="s">
        <v>754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755</v>
      </c>
      <c r="C333" s="429">
        <v>184109979</v>
      </c>
      <c r="D333" s="429">
        <v>189422163</v>
      </c>
      <c r="E333" s="431">
        <f t="shared" si="34"/>
        <v>5312184</v>
      </c>
      <c r="F333" s="462">
        <f t="shared" si="35"/>
        <v>2.885331924349413E-2</v>
      </c>
    </row>
    <row r="334" spans="1:22" s="333" customFormat="1" ht="11.25" customHeight="1" x14ac:dyDescent="0.2">
      <c r="A334" s="339">
        <v>6</v>
      </c>
      <c r="B334" s="360" t="s">
        <v>756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757</v>
      </c>
      <c r="C335" s="429">
        <v>7799539</v>
      </c>
      <c r="D335" s="429">
        <v>7221447</v>
      </c>
      <c r="E335" s="429">
        <f t="shared" si="34"/>
        <v>-578092</v>
      </c>
      <c r="F335" s="462">
        <f t="shared" si="35"/>
        <v>-7.411873958191631E-2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FILING&amp;RMILFORD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610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758</v>
      </c>
      <c r="B5" s="710"/>
      <c r="C5" s="710"/>
      <c r="D5" s="710"/>
      <c r="E5" s="710"/>
    </row>
    <row r="6" spans="1:5" s="338" customFormat="1" ht="15.75" customHeight="1" x14ac:dyDescent="0.25">
      <c r="A6" s="710" t="s">
        <v>759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760</v>
      </c>
      <c r="D9" s="494" t="s">
        <v>761</v>
      </c>
      <c r="E9" s="495" t="s">
        <v>762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763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764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640</v>
      </c>
      <c r="C14" s="513">
        <v>30377323</v>
      </c>
      <c r="D14" s="513">
        <v>30011039</v>
      </c>
      <c r="E14" s="514">
        <f t="shared" ref="E14:E22" si="0">D14-C14</f>
        <v>-366284</v>
      </c>
    </row>
    <row r="15" spans="1:5" s="506" customFormat="1" x14ac:dyDescent="0.2">
      <c r="A15" s="512">
        <v>2</v>
      </c>
      <c r="B15" s="511" t="s">
        <v>619</v>
      </c>
      <c r="C15" s="513">
        <v>57173474</v>
      </c>
      <c r="D15" s="515">
        <v>61030757</v>
      </c>
      <c r="E15" s="514">
        <f t="shared" si="0"/>
        <v>3857283</v>
      </c>
    </row>
    <row r="16" spans="1:5" s="506" customFormat="1" x14ac:dyDescent="0.2">
      <c r="A16" s="512">
        <v>3</v>
      </c>
      <c r="B16" s="511" t="s">
        <v>765</v>
      </c>
      <c r="C16" s="513">
        <v>7680403</v>
      </c>
      <c r="D16" s="515">
        <v>5477634</v>
      </c>
      <c r="E16" s="514">
        <f t="shared" si="0"/>
        <v>-2202769</v>
      </c>
    </row>
    <row r="17" spans="1:5" s="506" customFormat="1" x14ac:dyDescent="0.2">
      <c r="A17" s="512">
        <v>4</v>
      </c>
      <c r="B17" s="511" t="s">
        <v>114</v>
      </c>
      <c r="C17" s="513">
        <v>7651286</v>
      </c>
      <c r="D17" s="515">
        <v>5450784</v>
      </c>
      <c r="E17" s="514">
        <f t="shared" si="0"/>
        <v>-2200502</v>
      </c>
    </row>
    <row r="18" spans="1:5" s="506" customFormat="1" x14ac:dyDescent="0.2">
      <c r="A18" s="512">
        <v>5</v>
      </c>
      <c r="B18" s="511" t="s">
        <v>732</v>
      </c>
      <c r="C18" s="513">
        <v>29117</v>
      </c>
      <c r="D18" s="515">
        <v>26850</v>
      </c>
      <c r="E18" s="514">
        <f t="shared" si="0"/>
        <v>-2267</v>
      </c>
    </row>
    <row r="19" spans="1:5" s="506" customFormat="1" x14ac:dyDescent="0.2">
      <c r="A19" s="512">
        <v>6</v>
      </c>
      <c r="B19" s="511" t="s">
        <v>430</v>
      </c>
      <c r="C19" s="513">
        <v>105839</v>
      </c>
      <c r="D19" s="515">
        <v>27348</v>
      </c>
      <c r="E19" s="514">
        <f t="shared" si="0"/>
        <v>-78491</v>
      </c>
    </row>
    <row r="20" spans="1:5" s="506" customFormat="1" x14ac:dyDescent="0.2">
      <c r="A20" s="512">
        <v>7</v>
      </c>
      <c r="B20" s="511" t="s">
        <v>747</v>
      </c>
      <c r="C20" s="513">
        <v>1800823</v>
      </c>
      <c r="D20" s="515">
        <v>1735686</v>
      </c>
      <c r="E20" s="514">
        <f t="shared" si="0"/>
        <v>-65137</v>
      </c>
    </row>
    <row r="21" spans="1:5" s="506" customFormat="1" x14ac:dyDescent="0.2">
      <c r="A21" s="512"/>
      <c r="B21" s="516" t="s">
        <v>766</v>
      </c>
      <c r="C21" s="517">
        <f>SUM(C15+C16+C19)</f>
        <v>64959716</v>
      </c>
      <c r="D21" s="517">
        <f>SUM(D15+D16+D19)</f>
        <v>66535739</v>
      </c>
      <c r="E21" s="517">
        <f t="shared" si="0"/>
        <v>1576023</v>
      </c>
    </row>
    <row r="22" spans="1:5" s="506" customFormat="1" x14ac:dyDescent="0.2">
      <c r="A22" s="512"/>
      <c r="B22" s="516" t="s">
        <v>706</v>
      </c>
      <c r="C22" s="517">
        <f>SUM(C14+C21)</f>
        <v>95337039</v>
      </c>
      <c r="D22" s="517">
        <f>SUM(D14+D21)</f>
        <v>96546778</v>
      </c>
      <c r="E22" s="517">
        <f t="shared" si="0"/>
        <v>1209739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767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640</v>
      </c>
      <c r="C25" s="513">
        <v>48791363</v>
      </c>
      <c r="D25" s="513">
        <v>49192603</v>
      </c>
      <c r="E25" s="514">
        <f t="shared" ref="E25:E33" si="1">D25-C25</f>
        <v>401240</v>
      </c>
    </row>
    <row r="26" spans="1:5" s="506" customFormat="1" x14ac:dyDescent="0.2">
      <c r="A26" s="512">
        <v>2</v>
      </c>
      <c r="B26" s="511" t="s">
        <v>619</v>
      </c>
      <c r="C26" s="513">
        <v>27391983</v>
      </c>
      <c r="D26" s="515">
        <v>29160897</v>
      </c>
      <c r="E26" s="514">
        <f t="shared" si="1"/>
        <v>1768914</v>
      </c>
    </row>
    <row r="27" spans="1:5" s="506" customFormat="1" x14ac:dyDescent="0.2">
      <c r="A27" s="512">
        <v>3</v>
      </c>
      <c r="B27" s="511" t="s">
        <v>765</v>
      </c>
      <c r="C27" s="513">
        <v>12370783</v>
      </c>
      <c r="D27" s="515">
        <v>14328310</v>
      </c>
      <c r="E27" s="514">
        <f t="shared" si="1"/>
        <v>1957527</v>
      </c>
    </row>
    <row r="28" spans="1:5" s="506" customFormat="1" x14ac:dyDescent="0.2">
      <c r="A28" s="512">
        <v>4</v>
      </c>
      <c r="B28" s="511" t="s">
        <v>114</v>
      </c>
      <c r="C28" s="513">
        <v>12261281</v>
      </c>
      <c r="D28" s="515">
        <v>14131391</v>
      </c>
      <c r="E28" s="514">
        <f t="shared" si="1"/>
        <v>1870110</v>
      </c>
    </row>
    <row r="29" spans="1:5" s="506" customFormat="1" x14ac:dyDescent="0.2">
      <c r="A29" s="512">
        <v>5</v>
      </c>
      <c r="B29" s="511" t="s">
        <v>732</v>
      </c>
      <c r="C29" s="513">
        <v>109502</v>
      </c>
      <c r="D29" s="515">
        <v>196919</v>
      </c>
      <c r="E29" s="514">
        <f t="shared" si="1"/>
        <v>87417</v>
      </c>
    </row>
    <row r="30" spans="1:5" s="506" customFormat="1" x14ac:dyDescent="0.2">
      <c r="A30" s="512">
        <v>6</v>
      </c>
      <c r="B30" s="511" t="s">
        <v>430</v>
      </c>
      <c r="C30" s="513">
        <v>218812</v>
      </c>
      <c r="D30" s="515">
        <v>193576</v>
      </c>
      <c r="E30" s="514">
        <f t="shared" si="1"/>
        <v>-25236</v>
      </c>
    </row>
    <row r="31" spans="1:5" s="506" customFormat="1" x14ac:dyDescent="0.2">
      <c r="A31" s="512">
        <v>7</v>
      </c>
      <c r="B31" s="511" t="s">
        <v>747</v>
      </c>
      <c r="C31" s="514">
        <v>3757990</v>
      </c>
      <c r="D31" s="518">
        <v>3892808</v>
      </c>
      <c r="E31" s="514">
        <f t="shared" si="1"/>
        <v>134818</v>
      </c>
    </row>
    <row r="32" spans="1:5" s="506" customFormat="1" x14ac:dyDescent="0.2">
      <c r="A32" s="512"/>
      <c r="B32" s="516" t="s">
        <v>768</v>
      </c>
      <c r="C32" s="517">
        <f>SUM(C26+C27+C30)</f>
        <v>39981578</v>
      </c>
      <c r="D32" s="517">
        <f>SUM(D26+D27+D30)</f>
        <v>43682783</v>
      </c>
      <c r="E32" s="517">
        <f t="shared" si="1"/>
        <v>3701205</v>
      </c>
    </row>
    <row r="33" spans="1:5" s="506" customFormat="1" x14ac:dyDescent="0.2">
      <c r="A33" s="512"/>
      <c r="B33" s="516" t="s">
        <v>712</v>
      </c>
      <c r="C33" s="517">
        <f>SUM(C25+C32)</f>
        <v>88772941</v>
      </c>
      <c r="D33" s="517">
        <f>SUM(D25+D32)</f>
        <v>92875386</v>
      </c>
      <c r="E33" s="517">
        <f t="shared" si="1"/>
        <v>4102445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637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769</v>
      </c>
      <c r="C36" s="514">
        <f t="shared" ref="C36:D42" si="2">C14+C25</f>
        <v>79168686</v>
      </c>
      <c r="D36" s="514">
        <f t="shared" si="2"/>
        <v>79203642</v>
      </c>
      <c r="E36" s="514">
        <f t="shared" ref="E36:E44" si="3">D36-C36</f>
        <v>34956</v>
      </c>
    </row>
    <row r="37" spans="1:5" s="506" customFormat="1" x14ac:dyDescent="0.2">
      <c r="A37" s="512">
        <v>2</v>
      </c>
      <c r="B37" s="511" t="s">
        <v>770</v>
      </c>
      <c r="C37" s="514">
        <f t="shared" si="2"/>
        <v>84565457</v>
      </c>
      <c r="D37" s="514">
        <f t="shared" si="2"/>
        <v>90191654</v>
      </c>
      <c r="E37" s="514">
        <f t="shared" si="3"/>
        <v>5626197</v>
      </c>
    </row>
    <row r="38" spans="1:5" s="506" customFormat="1" x14ac:dyDescent="0.2">
      <c r="A38" s="512">
        <v>3</v>
      </c>
      <c r="B38" s="511" t="s">
        <v>771</v>
      </c>
      <c r="C38" s="514">
        <f t="shared" si="2"/>
        <v>20051186</v>
      </c>
      <c r="D38" s="514">
        <f t="shared" si="2"/>
        <v>19805944</v>
      </c>
      <c r="E38" s="514">
        <f t="shared" si="3"/>
        <v>-245242</v>
      </c>
    </row>
    <row r="39" spans="1:5" s="506" customFormat="1" x14ac:dyDescent="0.2">
      <c r="A39" s="512">
        <v>4</v>
      </c>
      <c r="B39" s="511" t="s">
        <v>772</v>
      </c>
      <c r="C39" s="514">
        <f t="shared" si="2"/>
        <v>19912567</v>
      </c>
      <c r="D39" s="514">
        <f t="shared" si="2"/>
        <v>19582175</v>
      </c>
      <c r="E39" s="514">
        <f t="shared" si="3"/>
        <v>-330392</v>
      </c>
    </row>
    <row r="40" spans="1:5" s="506" customFormat="1" x14ac:dyDescent="0.2">
      <c r="A40" s="512">
        <v>5</v>
      </c>
      <c r="B40" s="511" t="s">
        <v>773</v>
      </c>
      <c r="C40" s="514">
        <f t="shared" si="2"/>
        <v>138619</v>
      </c>
      <c r="D40" s="514">
        <f t="shared" si="2"/>
        <v>223769</v>
      </c>
      <c r="E40" s="514">
        <f t="shared" si="3"/>
        <v>85150</v>
      </c>
    </row>
    <row r="41" spans="1:5" s="506" customFormat="1" x14ac:dyDescent="0.2">
      <c r="A41" s="512">
        <v>6</v>
      </c>
      <c r="B41" s="511" t="s">
        <v>774</v>
      </c>
      <c r="C41" s="514">
        <f t="shared" si="2"/>
        <v>324651</v>
      </c>
      <c r="D41" s="514">
        <f t="shared" si="2"/>
        <v>220924</v>
      </c>
      <c r="E41" s="514">
        <f t="shared" si="3"/>
        <v>-103727</v>
      </c>
    </row>
    <row r="42" spans="1:5" s="506" customFormat="1" x14ac:dyDescent="0.2">
      <c r="A42" s="512">
        <v>7</v>
      </c>
      <c r="B42" s="511" t="s">
        <v>775</v>
      </c>
      <c r="C42" s="514">
        <f t="shared" si="2"/>
        <v>5558813</v>
      </c>
      <c r="D42" s="514">
        <f t="shared" si="2"/>
        <v>5628494</v>
      </c>
      <c r="E42" s="514">
        <f t="shared" si="3"/>
        <v>69681</v>
      </c>
    </row>
    <row r="43" spans="1:5" s="506" customFormat="1" x14ac:dyDescent="0.2">
      <c r="A43" s="512"/>
      <c r="B43" s="516" t="s">
        <v>776</v>
      </c>
      <c r="C43" s="517">
        <f>SUM(C37+C38+C41)</f>
        <v>104941294</v>
      </c>
      <c r="D43" s="517">
        <f>SUM(D37+D38+D41)</f>
        <v>110218522</v>
      </c>
      <c r="E43" s="517">
        <f t="shared" si="3"/>
        <v>5277228</v>
      </c>
    </row>
    <row r="44" spans="1:5" s="506" customFormat="1" x14ac:dyDescent="0.2">
      <c r="A44" s="512"/>
      <c r="B44" s="516" t="s">
        <v>714</v>
      </c>
      <c r="C44" s="517">
        <f>SUM(C36+C43)</f>
        <v>184109980</v>
      </c>
      <c r="D44" s="517">
        <f>SUM(D36+D43)</f>
        <v>189422164</v>
      </c>
      <c r="E44" s="517">
        <f t="shared" si="3"/>
        <v>5312184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333</v>
      </c>
      <c r="B46" s="509" t="s">
        <v>777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640</v>
      </c>
      <c r="C47" s="513">
        <v>13589422</v>
      </c>
      <c r="D47" s="513">
        <v>12471918</v>
      </c>
      <c r="E47" s="514">
        <f t="shared" ref="E47:E55" si="4">D47-C47</f>
        <v>-1117504</v>
      </c>
    </row>
    <row r="48" spans="1:5" s="506" customFormat="1" x14ac:dyDescent="0.2">
      <c r="A48" s="512">
        <v>2</v>
      </c>
      <c r="B48" s="511" t="s">
        <v>619</v>
      </c>
      <c r="C48" s="513">
        <v>20681371</v>
      </c>
      <c r="D48" s="515">
        <v>21772310</v>
      </c>
      <c r="E48" s="514">
        <f t="shared" si="4"/>
        <v>1090939</v>
      </c>
    </row>
    <row r="49" spans="1:5" s="506" customFormat="1" x14ac:dyDescent="0.2">
      <c r="A49" s="512">
        <v>3</v>
      </c>
      <c r="B49" s="511" t="s">
        <v>765</v>
      </c>
      <c r="C49" s="513">
        <v>2223654</v>
      </c>
      <c r="D49" s="515">
        <v>1212981</v>
      </c>
      <c r="E49" s="514">
        <f t="shared" si="4"/>
        <v>-1010673</v>
      </c>
    </row>
    <row r="50" spans="1:5" s="506" customFormat="1" x14ac:dyDescent="0.2">
      <c r="A50" s="512">
        <v>4</v>
      </c>
      <c r="B50" s="511" t="s">
        <v>114</v>
      </c>
      <c r="C50" s="513">
        <v>2205637</v>
      </c>
      <c r="D50" s="515">
        <v>1206486</v>
      </c>
      <c r="E50" s="514">
        <f t="shared" si="4"/>
        <v>-999151</v>
      </c>
    </row>
    <row r="51" spans="1:5" s="506" customFormat="1" x14ac:dyDescent="0.2">
      <c r="A51" s="512">
        <v>5</v>
      </c>
      <c r="B51" s="511" t="s">
        <v>732</v>
      </c>
      <c r="C51" s="513">
        <v>18017</v>
      </c>
      <c r="D51" s="515">
        <v>6495</v>
      </c>
      <c r="E51" s="514">
        <f t="shared" si="4"/>
        <v>-11522</v>
      </c>
    </row>
    <row r="52" spans="1:5" s="506" customFormat="1" x14ac:dyDescent="0.2">
      <c r="A52" s="512">
        <v>6</v>
      </c>
      <c r="B52" s="511" t="s">
        <v>430</v>
      </c>
      <c r="C52" s="513">
        <v>46183</v>
      </c>
      <c r="D52" s="515">
        <v>9678</v>
      </c>
      <c r="E52" s="514">
        <f t="shared" si="4"/>
        <v>-36505</v>
      </c>
    </row>
    <row r="53" spans="1:5" s="506" customFormat="1" x14ac:dyDescent="0.2">
      <c r="A53" s="512">
        <v>7</v>
      </c>
      <c r="B53" s="511" t="s">
        <v>747</v>
      </c>
      <c r="C53" s="513">
        <v>34130</v>
      </c>
      <c r="D53" s="515">
        <v>77021</v>
      </c>
      <c r="E53" s="514">
        <f t="shared" si="4"/>
        <v>42891</v>
      </c>
    </row>
    <row r="54" spans="1:5" s="506" customFormat="1" x14ac:dyDescent="0.2">
      <c r="A54" s="512"/>
      <c r="B54" s="516" t="s">
        <v>778</v>
      </c>
      <c r="C54" s="517">
        <f>SUM(C48+C49+C52)</f>
        <v>22951208</v>
      </c>
      <c r="D54" s="517">
        <f>SUM(D48+D49+D52)</f>
        <v>22994969</v>
      </c>
      <c r="E54" s="517">
        <f t="shared" si="4"/>
        <v>43761</v>
      </c>
    </row>
    <row r="55" spans="1:5" s="506" customFormat="1" x14ac:dyDescent="0.2">
      <c r="A55" s="512"/>
      <c r="B55" s="516" t="s">
        <v>707</v>
      </c>
      <c r="C55" s="517">
        <f>SUM(C47+C54)</f>
        <v>36540630</v>
      </c>
      <c r="D55" s="517">
        <f>SUM(D47+D54)</f>
        <v>35466887</v>
      </c>
      <c r="E55" s="517">
        <f t="shared" si="4"/>
        <v>-1073743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354</v>
      </c>
      <c r="B57" s="509" t="s">
        <v>779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640</v>
      </c>
      <c r="C58" s="513">
        <v>21161699</v>
      </c>
      <c r="D58" s="513">
        <v>23031817</v>
      </c>
      <c r="E58" s="514">
        <f t="shared" ref="E58:E66" si="5">D58-C58</f>
        <v>1870118</v>
      </c>
    </row>
    <row r="59" spans="1:5" s="506" customFormat="1" x14ac:dyDescent="0.2">
      <c r="A59" s="512">
        <v>2</v>
      </c>
      <c r="B59" s="511" t="s">
        <v>619</v>
      </c>
      <c r="C59" s="513">
        <v>8506902</v>
      </c>
      <c r="D59" s="515">
        <v>7860506</v>
      </c>
      <c r="E59" s="514">
        <f t="shared" si="5"/>
        <v>-646396</v>
      </c>
    </row>
    <row r="60" spans="1:5" s="506" customFormat="1" x14ac:dyDescent="0.2">
      <c r="A60" s="512">
        <v>3</v>
      </c>
      <c r="B60" s="511" t="s">
        <v>765</v>
      </c>
      <c r="C60" s="513">
        <f>C61+C62</f>
        <v>3051683</v>
      </c>
      <c r="D60" s="515">
        <f>D61+D62</f>
        <v>4018489</v>
      </c>
      <c r="E60" s="514">
        <f t="shared" si="5"/>
        <v>966806</v>
      </c>
    </row>
    <row r="61" spans="1:5" s="506" customFormat="1" x14ac:dyDescent="0.2">
      <c r="A61" s="512">
        <v>4</v>
      </c>
      <c r="B61" s="511" t="s">
        <v>114</v>
      </c>
      <c r="C61" s="513">
        <v>2983923</v>
      </c>
      <c r="D61" s="515">
        <v>3971009</v>
      </c>
      <c r="E61" s="514">
        <f t="shared" si="5"/>
        <v>987086</v>
      </c>
    </row>
    <row r="62" spans="1:5" s="506" customFormat="1" x14ac:dyDescent="0.2">
      <c r="A62" s="512">
        <v>5</v>
      </c>
      <c r="B62" s="511" t="s">
        <v>732</v>
      </c>
      <c r="C62" s="513">
        <v>67760</v>
      </c>
      <c r="D62" s="515">
        <v>47480</v>
      </c>
      <c r="E62" s="514">
        <f t="shared" si="5"/>
        <v>-20280</v>
      </c>
    </row>
    <row r="63" spans="1:5" s="506" customFormat="1" x14ac:dyDescent="0.2">
      <c r="A63" s="512">
        <v>6</v>
      </c>
      <c r="B63" s="511" t="s">
        <v>430</v>
      </c>
      <c r="C63" s="513">
        <v>84314</v>
      </c>
      <c r="D63" s="515">
        <v>61535</v>
      </c>
      <c r="E63" s="514">
        <f t="shared" si="5"/>
        <v>-22779</v>
      </c>
    </row>
    <row r="64" spans="1:5" s="506" customFormat="1" x14ac:dyDescent="0.2">
      <c r="A64" s="512">
        <v>7</v>
      </c>
      <c r="B64" s="511" t="s">
        <v>747</v>
      </c>
      <c r="C64" s="513">
        <v>246883</v>
      </c>
      <c r="D64" s="515">
        <v>172743</v>
      </c>
      <c r="E64" s="514">
        <f t="shared" si="5"/>
        <v>-74140</v>
      </c>
    </row>
    <row r="65" spans="1:5" s="506" customFormat="1" x14ac:dyDescent="0.2">
      <c r="A65" s="512"/>
      <c r="B65" s="516" t="s">
        <v>780</v>
      </c>
      <c r="C65" s="517">
        <f>SUM(C59+C60+C63)</f>
        <v>11642899</v>
      </c>
      <c r="D65" s="517">
        <f>SUM(D59+D60+D63)</f>
        <v>11940530</v>
      </c>
      <c r="E65" s="517">
        <f t="shared" si="5"/>
        <v>297631</v>
      </c>
    </row>
    <row r="66" spans="1:5" s="506" customFormat="1" x14ac:dyDescent="0.2">
      <c r="A66" s="512"/>
      <c r="B66" s="516" t="s">
        <v>713</v>
      </c>
      <c r="C66" s="517">
        <f>SUM(C58+C65)</f>
        <v>32804598</v>
      </c>
      <c r="D66" s="517">
        <f>SUM(D58+D65)</f>
        <v>34972347</v>
      </c>
      <c r="E66" s="517">
        <f t="shared" si="5"/>
        <v>2167749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366</v>
      </c>
      <c r="B68" s="521" t="s">
        <v>638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769</v>
      </c>
      <c r="C69" s="514">
        <f t="shared" ref="C69:D75" si="6">C47+C58</f>
        <v>34751121</v>
      </c>
      <c r="D69" s="514">
        <f t="shared" si="6"/>
        <v>35503735</v>
      </c>
      <c r="E69" s="514">
        <f t="shared" ref="E69:E77" si="7">D69-C69</f>
        <v>752614</v>
      </c>
    </row>
    <row r="70" spans="1:5" s="506" customFormat="1" x14ac:dyDescent="0.2">
      <c r="A70" s="512">
        <v>2</v>
      </c>
      <c r="B70" s="511" t="s">
        <v>770</v>
      </c>
      <c r="C70" s="514">
        <f t="shared" si="6"/>
        <v>29188273</v>
      </c>
      <c r="D70" s="514">
        <f t="shared" si="6"/>
        <v>29632816</v>
      </c>
      <c r="E70" s="514">
        <f t="shared" si="7"/>
        <v>444543</v>
      </c>
    </row>
    <row r="71" spans="1:5" s="506" customFormat="1" x14ac:dyDescent="0.2">
      <c r="A71" s="512">
        <v>3</v>
      </c>
      <c r="B71" s="511" t="s">
        <v>771</v>
      </c>
      <c r="C71" s="514">
        <f t="shared" si="6"/>
        <v>5275337</v>
      </c>
      <c r="D71" s="514">
        <f t="shared" si="6"/>
        <v>5231470</v>
      </c>
      <c r="E71" s="514">
        <f t="shared" si="7"/>
        <v>-43867</v>
      </c>
    </row>
    <row r="72" spans="1:5" s="506" customFormat="1" x14ac:dyDescent="0.2">
      <c r="A72" s="512">
        <v>4</v>
      </c>
      <c r="B72" s="511" t="s">
        <v>772</v>
      </c>
      <c r="C72" s="514">
        <f t="shared" si="6"/>
        <v>5189560</v>
      </c>
      <c r="D72" s="514">
        <f t="shared" si="6"/>
        <v>5177495</v>
      </c>
      <c r="E72" s="514">
        <f t="shared" si="7"/>
        <v>-12065</v>
      </c>
    </row>
    <row r="73" spans="1:5" s="506" customFormat="1" x14ac:dyDescent="0.2">
      <c r="A73" s="512">
        <v>5</v>
      </c>
      <c r="B73" s="511" t="s">
        <v>773</v>
      </c>
      <c r="C73" s="514">
        <f t="shared" si="6"/>
        <v>85777</v>
      </c>
      <c r="D73" s="514">
        <f t="shared" si="6"/>
        <v>53975</v>
      </c>
      <c r="E73" s="514">
        <f t="shared" si="7"/>
        <v>-31802</v>
      </c>
    </row>
    <row r="74" spans="1:5" s="506" customFormat="1" x14ac:dyDescent="0.2">
      <c r="A74" s="512">
        <v>6</v>
      </c>
      <c r="B74" s="511" t="s">
        <v>774</v>
      </c>
      <c r="C74" s="514">
        <f t="shared" si="6"/>
        <v>130497</v>
      </c>
      <c r="D74" s="514">
        <f t="shared" si="6"/>
        <v>71213</v>
      </c>
      <c r="E74" s="514">
        <f t="shared" si="7"/>
        <v>-59284</v>
      </c>
    </row>
    <row r="75" spans="1:5" s="506" customFormat="1" x14ac:dyDescent="0.2">
      <c r="A75" s="512">
        <v>7</v>
      </c>
      <c r="B75" s="511" t="s">
        <v>775</v>
      </c>
      <c r="C75" s="514">
        <f t="shared" si="6"/>
        <v>281013</v>
      </c>
      <c r="D75" s="514">
        <f t="shared" si="6"/>
        <v>249764</v>
      </c>
      <c r="E75" s="514">
        <f t="shared" si="7"/>
        <v>-31249</v>
      </c>
    </row>
    <row r="76" spans="1:5" s="506" customFormat="1" x14ac:dyDescent="0.2">
      <c r="A76" s="512"/>
      <c r="B76" s="516" t="s">
        <v>781</v>
      </c>
      <c r="C76" s="517">
        <f>SUM(C70+C71+C74)</f>
        <v>34594107</v>
      </c>
      <c r="D76" s="517">
        <f>SUM(D70+D71+D74)</f>
        <v>34935499</v>
      </c>
      <c r="E76" s="517">
        <f t="shared" si="7"/>
        <v>341392</v>
      </c>
    </row>
    <row r="77" spans="1:5" s="506" customFormat="1" x14ac:dyDescent="0.2">
      <c r="A77" s="512"/>
      <c r="B77" s="516" t="s">
        <v>715</v>
      </c>
      <c r="C77" s="517">
        <f>SUM(C69+C76)</f>
        <v>69345228</v>
      </c>
      <c r="D77" s="517">
        <f>SUM(D69+D76)</f>
        <v>70439234</v>
      </c>
      <c r="E77" s="517">
        <f t="shared" si="7"/>
        <v>1094006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782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783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640</v>
      </c>
      <c r="C83" s="523">
        <f t="shared" ref="C83:D89" si="8">IF(C$44=0,0,C14/C$44)</f>
        <v>0.16499552604372669</v>
      </c>
      <c r="D83" s="523">
        <f t="shared" si="8"/>
        <v>0.15843467504679126</v>
      </c>
      <c r="E83" s="523">
        <f t="shared" ref="E83:E91" si="9">D83-C83</f>
        <v>-6.5608509969354301E-3</v>
      </c>
    </row>
    <row r="84" spans="1:5" s="506" customFormat="1" x14ac:dyDescent="0.2">
      <c r="A84" s="512">
        <v>2</v>
      </c>
      <c r="B84" s="511" t="s">
        <v>619</v>
      </c>
      <c r="C84" s="523">
        <f t="shared" si="8"/>
        <v>0.31053978714244607</v>
      </c>
      <c r="D84" s="523">
        <f t="shared" si="8"/>
        <v>0.3221943816458564</v>
      </c>
      <c r="E84" s="523">
        <f t="shared" si="9"/>
        <v>1.1654594503410332E-2</v>
      </c>
    </row>
    <row r="85" spans="1:5" s="506" customFormat="1" x14ac:dyDescent="0.2">
      <c r="A85" s="512">
        <v>3</v>
      </c>
      <c r="B85" s="511" t="s">
        <v>765</v>
      </c>
      <c r="C85" s="523">
        <f t="shared" si="8"/>
        <v>4.1716386042733804E-2</v>
      </c>
      <c r="D85" s="523">
        <f t="shared" si="8"/>
        <v>2.8917598048346656E-2</v>
      </c>
      <c r="E85" s="523">
        <f t="shared" si="9"/>
        <v>-1.2798787994387148E-2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4.1558236006543479E-2</v>
      </c>
      <c r="D86" s="523">
        <f t="shared" si="8"/>
        <v>2.8775851172305265E-2</v>
      </c>
      <c r="E86" s="523">
        <f t="shared" si="9"/>
        <v>-1.2782384834238214E-2</v>
      </c>
    </row>
    <row r="87" spans="1:5" s="506" customFormat="1" x14ac:dyDescent="0.2">
      <c r="A87" s="512">
        <v>5</v>
      </c>
      <c r="B87" s="511" t="s">
        <v>732</v>
      </c>
      <c r="C87" s="523">
        <f t="shared" si="8"/>
        <v>1.5815003619032493E-4</v>
      </c>
      <c r="D87" s="523">
        <f t="shared" si="8"/>
        <v>1.4174687604139082E-4</v>
      </c>
      <c r="E87" s="523">
        <f t="shared" si="9"/>
        <v>-1.6403160148934111E-5</v>
      </c>
    </row>
    <row r="88" spans="1:5" s="506" customFormat="1" x14ac:dyDescent="0.2">
      <c r="A88" s="512">
        <v>6</v>
      </c>
      <c r="B88" s="511" t="s">
        <v>430</v>
      </c>
      <c r="C88" s="523">
        <f t="shared" si="8"/>
        <v>5.7486834771260087E-4</v>
      </c>
      <c r="D88" s="523">
        <f t="shared" si="8"/>
        <v>1.4437592424506354E-4</v>
      </c>
      <c r="E88" s="523">
        <f t="shared" si="9"/>
        <v>-4.3049242346753733E-4</v>
      </c>
    </row>
    <row r="89" spans="1:5" s="506" customFormat="1" x14ac:dyDescent="0.2">
      <c r="A89" s="512">
        <v>7</v>
      </c>
      <c r="B89" s="511" t="s">
        <v>747</v>
      </c>
      <c r="C89" s="523">
        <f t="shared" si="8"/>
        <v>9.7812351074069975E-3</v>
      </c>
      <c r="D89" s="523">
        <f t="shared" si="8"/>
        <v>9.163056547068062E-3</v>
      </c>
      <c r="E89" s="523">
        <f t="shared" si="9"/>
        <v>-6.1817856033893545E-4</v>
      </c>
    </row>
    <row r="90" spans="1:5" s="506" customFormat="1" x14ac:dyDescent="0.2">
      <c r="A90" s="512"/>
      <c r="B90" s="516" t="s">
        <v>784</v>
      </c>
      <c r="C90" s="524">
        <f>SUM(C84+C85+C88)</f>
        <v>0.35283104153289246</v>
      </c>
      <c r="D90" s="524">
        <f>SUM(D84+D85+D88)</f>
        <v>0.35125635561844809</v>
      </c>
      <c r="E90" s="525">
        <f t="shared" si="9"/>
        <v>-1.5746859144443737E-3</v>
      </c>
    </row>
    <row r="91" spans="1:5" s="506" customFormat="1" x14ac:dyDescent="0.2">
      <c r="A91" s="512"/>
      <c r="B91" s="516" t="s">
        <v>785</v>
      </c>
      <c r="C91" s="524">
        <f>SUM(C83+C90)</f>
        <v>0.51782656757661916</v>
      </c>
      <c r="D91" s="524">
        <f>SUM(D83+D90)</f>
        <v>0.50969103066523935</v>
      </c>
      <c r="E91" s="525">
        <f t="shared" si="9"/>
        <v>-8.1355369113798037E-3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786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640</v>
      </c>
      <c r="C95" s="523">
        <f t="shared" ref="C95:D101" si="10">IF(C$44=0,0,C25/C$44)</f>
        <v>0.26501204877649759</v>
      </c>
      <c r="D95" s="523">
        <f t="shared" si="10"/>
        <v>0.25969824207055303</v>
      </c>
      <c r="E95" s="523">
        <f t="shared" ref="E95:E103" si="11">D95-C95</f>
        <v>-5.3138067059445571E-3</v>
      </c>
    </row>
    <row r="96" spans="1:5" s="506" customFormat="1" x14ac:dyDescent="0.2">
      <c r="A96" s="512">
        <v>2</v>
      </c>
      <c r="B96" s="511" t="s">
        <v>619</v>
      </c>
      <c r="C96" s="523">
        <f t="shared" si="10"/>
        <v>0.14878054410738625</v>
      </c>
      <c r="D96" s="523">
        <f t="shared" si="10"/>
        <v>0.15394659412717934</v>
      </c>
      <c r="E96" s="523">
        <f t="shared" si="11"/>
        <v>5.1660500197930892E-3</v>
      </c>
    </row>
    <row r="97" spans="1:5" s="506" customFormat="1" x14ac:dyDescent="0.2">
      <c r="A97" s="512">
        <v>3</v>
      </c>
      <c r="B97" s="511" t="s">
        <v>765</v>
      </c>
      <c r="C97" s="523">
        <f t="shared" si="10"/>
        <v>6.7192354265640575E-2</v>
      </c>
      <c r="D97" s="523">
        <f t="shared" si="10"/>
        <v>7.5642204150935574E-2</v>
      </c>
      <c r="E97" s="523">
        <f t="shared" si="11"/>
        <v>8.4498498852949994E-3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6.6597590201248183E-2</v>
      </c>
      <c r="D98" s="523">
        <f t="shared" si="10"/>
        <v>7.4602626754913429E-2</v>
      </c>
      <c r="E98" s="523">
        <f t="shared" si="11"/>
        <v>8.0050365536652457E-3</v>
      </c>
    </row>
    <row r="99" spans="1:5" s="506" customFormat="1" x14ac:dyDescent="0.2">
      <c r="A99" s="512">
        <v>5</v>
      </c>
      <c r="B99" s="511" t="s">
        <v>732</v>
      </c>
      <c r="C99" s="523">
        <f t="shared" si="10"/>
        <v>5.9476406439238109E-4</v>
      </c>
      <c r="D99" s="523">
        <f t="shared" si="10"/>
        <v>1.0395773960221466E-3</v>
      </c>
      <c r="E99" s="523">
        <f t="shared" si="11"/>
        <v>4.4481333162976549E-4</v>
      </c>
    </row>
    <row r="100" spans="1:5" s="506" customFormat="1" x14ac:dyDescent="0.2">
      <c r="A100" s="512">
        <v>6</v>
      </c>
      <c r="B100" s="511" t="s">
        <v>430</v>
      </c>
      <c r="C100" s="523">
        <f t="shared" si="10"/>
        <v>1.1884852738564199E-3</v>
      </c>
      <c r="D100" s="523">
        <f t="shared" si="10"/>
        <v>1.0219289860926729E-3</v>
      </c>
      <c r="E100" s="523">
        <f t="shared" si="11"/>
        <v>-1.6655628776374707E-4</v>
      </c>
    </row>
    <row r="101" spans="1:5" s="506" customFormat="1" x14ac:dyDescent="0.2">
      <c r="A101" s="512">
        <v>7</v>
      </c>
      <c r="B101" s="511" t="s">
        <v>747</v>
      </c>
      <c r="C101" s="523">
        <f t="shared" si="10"/>
        <v>2.041165829250538E-2</v>
      </c>
      <c r="D101" s="523">
        <f t="shared" si="10"/>
        <v>2.0550963613740574E-2</v>
      </c>
      <c r="E101" s="523">
        <f t="shared" si="11"/>
        <v>1.3930532123519399E-4</v>
      </c>
    </row>
    <row r="102" spans="1:5" s="506" customFormat="1" x14ac:dyDescent="0.2">
      <c r="A102" s="512"/>
      <c r="B102" s="516" t="s">
        <v>787</v>
      </c>
      <c r="C102" s="524">
        <f>SUM(C96+C97+C100)</f>
        <v>0.21716138364688325</v>
      </c>
      <c r="D102" s="524">
        <f>SUM(D96+D97+D100)</f>
        <v>0.23061072726420759</v>
      </c>
      <c r="E102" s="525">
        <f t="shared" si="11"/>
        <v>1.3449343617324333E-2</v>
      </c>
    </row>
    <row r="103" spans="1:5" s="506" customFormat="1" x14ac:dyDescent="0.2">
      <c r="A103" s="512"/>
      <c r="B103" s="516" t="s">
        <v>788</v>
      </c>
      <c r="C103" s="524">
        <f>SUM(C95+C102)</f>
        <v>0.48217343242338084</v>
      </c>
      <c r="D103" s="524">
        <f>SUM(D95+D102)</f>
        <v>0.49030896933476065</v>
      </c>
      <c r="E103" s="525">
        <f t="shared" si="11"/>
        <v>8.1355369113798037E-3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789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790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640</v>
      </c>
      <c r="C109" s="523">
        <f t="shared" ref="C109:D115" si="12">IF(C$77=0,0,C47/C$77)</f>
        <v>0.19596765908679398</v>
      </c>
      <c r="D109" s="523">
        <f t="shared" si="12"/>
        <v>0.17705925081468091</v>
      </c>
      <c r="E109" s="523">
        <f t="shared" ref="E109:E117" si="13">D109-C109</f>
        <v>-1.890840827211307E-2</v>
      </c>
    </row>
    <row r="110" spans="1:5" s="506" customFormat="1" x14ac:dyDescent="0.2">
      <c r="A110" s="512">
        <v>2</v>
      </c>
      <c r="B110" s="511" t="s">
        <v>619</v>
      </c>
      <c r="C110" s="523">
        <f t="shared" si="12"/>
        <v>0.29823783981213531</v>
      </c>
      <c r="D110" s="523">
        <f t="shared" si="12"/>
        <v>0.30909350888171216</v>
      </c>
      <c r="E110" s="523">
        <f t="shared" si="13"/>
        <v>1.0855669069576857E-2</v>
      </c>
    </row>
    <row r="111" spans="1:5" s="506" customFormat="1" x14ac:dyDescent="0.2">
      <c r="A111" s="512">
        <v>3</v>
      </c>
      <c r="B111" s="511" t="s">
        <v>765</v>
      </c>
      <c r="C111" s="523">
        <f t="shared" si="12"/>
        <v>3.2066431449327699E-2</v>
      </c>
      <c r="D111" s="523">
        <f t="shared" si="12"/>
        <v>1.7220246886841501E-2</v>
      </c>
      <c r="E111" s="523">
        <f t="shared" si="13"/>
        <v>-1.4846184562486198E-2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3.1806615445838612E-2</v>
      </c>
      <c r="D112" s="523">
        <f t="shared" si="12"/>
        <v>1.712803975125567E-2</v>
      </c>
      <c r="E112" s="523">
        <f t="shared" si="13"/>
        <v>-1.4678575694582943E-2</v>
      </c>
    </row>
    <row r="113" spans="1:5" s="506" customFormat="1" x14ac:dyDescent="0.2">
      <c r="A113" s="512">
        <v>5</v>
      </c>
      <c r="B113" s="511" t="s">
        <v>732</v>
      </c>
      <c r="C113" s="523">
        <f t="shared" si="12"/>
        <v>2.5981600348909373E-4</v>
      </c>
      <c r="D113" s="523">
        <f t="shared" si="12"/>
        <v>9.220713558582991E-5</v>
      </c>
      <c r="E113" s="523">
        <f t="shared" si="13"/>
        <v>-1.6760886790326382E-4</v>
      </c>
    </row>
    <row r="114" spans="1:5" s="506" customFormat="1" x14ac:dyDescent="0.2">
      <c r="A114" s="512">
        <v>6</v>
      </c>
      <c r="B114" s="511" t="s">
        <v>430</v>
      </c>
      <c r="C114" s="523">
        <f t="shared" si="12"/>
        <v>6.6598670639600465E-4</v>
      </c>
      <c r="D114" s="523">
        <f t="shared" si="12"/>
        <v>1.3739502050803107E-4</v>
      </c>
      <c r="E114" s="523">
        <f t="shared" si="13"/>
        <v>-5.2859168588797361E-4</v>
      </c>
    </row>
    <row r="115" spans="1:5" s="506" customFormat="1" x14ac:dyDescent="0.2">
      <c r="A115" s="512">
        <v>7</v>
      </c>
      <c r="B115" s="511" t="s">
        <v>747</v>
      </c>
      <c r="C115" s="523">
        <f t="shared" si="12"/>
        <v>4.9217517894670421E-4</v>
      </c>
      <c r="D115" s="523">
        <f t="shared" si="12"/>
        <v>1.0934389207014944E-3</v>
      </c>
      <c r="E115" s="523">
        <f t="shared" si="13"/>
        <v>6.0126374175479018E-4</v>
      </c>
    </row>
    <row r="116" spans="1:5" s="506" customFormat="1" x14ac:dyDescent="0.2">
      <c r="A116" s="512"/>
      <c r="B116" s="516" t="s">
        <v>784</v>
      </c>
      <c r="C116" s="524">
        <f>SUM(C110+C111+C114)</f>
        <v>0.33097025796785901</v>
      </c>
      <c r="D116" s="524">
        <f>SUM(D110+D111+D114)</f>
        <v>0.32645115078906167</v>
      </c>
      <c r="E116" s="525">
        <f t="shared" si="13"/>
        <v>-4.5191071787973325E-3</v>
      </c>
    </row>
    <row r="117" spans="1:5" s="506" customFormat="1" x14ac:dyDescent="0.2">
      <c r="A117" s="512"/>
      <c r="B117" s="516" t="s">
        <v>785</v>
      </c>
      <c r="C117" s="524">
        <f>SUM(C109+C116)</f>
        <v>0.52693791705465298</v>
      </c>
      <c r="D117" s="524">
        <f>SUM(D109+D116)</f>
        <v>0.50351040160374261</v>
      </c>
      <c r="E117" s="525">
        <f t="shared" si="13"/>
        <v>-2.3427515450910374E-2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333</v>
      </c>
      <c r="B119" s="522" t="s">
        <v>791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640</v>
      </c>
      <c r="C121" s="523">
        <f t="shared" ref="C121:D127" si="14">IF(C$77=0,0,C58/C$77)</f>
        <v>0.30516445918960711</v>
      </c>
      <c r="D121" s="523">
        <f t="shared" si="14"/>
        <v>0.32697426834596183</v>
      </c>
      <c r="E121" s="523">
        <f t="shared" ref="E121:E129" si="15">D121-C121</f>
        <v>2.180980915635472E-2</v>
      </c>
    </row>
    <row r="122" spans="1:5" s="506" customFormat="1" x14ac:dyDescent="0.2">
      <c r="A122" s="512">
        <v>2</v>
      </c>
      <c r="B122" s="511" t="s">
        <v>619</v>
      </c>
      <c r="C122" s="523">
        <f t="shared" si="14"/>
        <v>0.12267465614216454</v>
      </c>
      <c r="D122" s="523">
        <f t="shared" si="14"/>
        <v>0.11159272402082056</v>
      </c>
      <c r="E122" s="523">
        <f t="shared" si="15"/>
        <v>-1.1081932121343979E-2</v>
      </c>
    </row>
    <row r="123" spans="1:5" s="506" customFormat="1" x14ac:dyDescent="0.2">
      <c r="A123" s="512">
        <v>3</v>
      </c>
      <c r="B123" s="511" t="s">
        <v>765</v>
      </c>
      <c r="C123" s="523">
        <f t="shared" si="14"/>
        <v>4.4007108895798855E-2</v>
      </c>
      <c r="D123" s="523">
        <f t="shared" si="14"/>
        <v>5.7049016177546735E-2</v>
      </c>
      <c r="E123" s="523">
        <f t="shared" si="15"/>
        <v>1.304190728174788E-2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4.3029968839384307E-2</v>
      </c>
      <c r="D124" s="523">
        <f t="shared" si="14"/>
        <v>5.6374960011632155E-2</v>
      </c>
      <c r="E124" s="523">
        <f t="shared" si="15"/>
        <v>1.3344991172247848E-2</v>
      </c>
    </row>
    <row r="125" spans="1:5" s="506" customFormat="1" x14ac:dyDescent="0.2">
      <c r="A125" s="512">
        <v>5</v>
      </c>
      <c r="B125" s="511" t="s">
        <v>732</v>
      </c>
      <c r="C125" s="523">
        <f t="shared" si="14"/>
        <v>9.7714005641455232E-4</v>
      </c>
      <c r="D125" s="523">
        <f t="shared" si="14"/>
        <v>6.7405616591458104E-4</v>
      </c>
      <c r="E125" s="523">
        <f t="shared" si="15"/>
        <v>-3.0308389049997129E-4</v>
      </c>
    </row>
    <row r="126" spans="1:5" s="506" customFormat="1" x14ac:dyDescent="0.2">
      <c r="A126" s="512">
        <v>6</v>
      </c>
      <c r="B126" s="511" t="s">
        <v>430</v>
      </c>
      <c r="C126" s="523">
        <f t="shared" si="14"/>
        <v>1.2158587177765138E-3</v>
      </c>
      <c r="D126" s="523">
        <f t="shared" si="14"/>
        <v>8.7358985192825919E-4</v>
      </c>
      <c r="E126" s="523">
        <f t="shared" si="15"/>
        <v>-3.422688658482546E-4</v>
      </c>
    </row>
    <row r="127" spans="1:5" s="506" customFormat="1" x14ac:dyDescent="0.2">
      <c r="A127" s="512">
        <v>7</v>
      </c>
      <c r="B127" s="511" t="s">
        <v>747</v>
      </c>
      <c r="C127" s="523">
        <f t="shared" si="14"/>
        <v>3.5602017200087655E-3</v>
      </c>
      <c r="D127" s="523">
        <f t="shared" si="14"/>
        <v>2.452369087375368E-3</v>
      </c>
      <c r="E127" s="523">
        <f t="shared" si="15"/>
        <v>-1.1078326326333975E-3</v>
      </c>
    </row>
    <row r="128" spans="1:5" s="506" customFormat="1" x14ac:dyDescent="0.2">
      <c r="A128" s="512"/>
      <c r="B128" s="516" t="s">
        <v>787</v>
      </c>
      <c r="C128" s="524">
        <f>SUM(C122+C123+C126)</f>
        <v>0.16789762375573991</v>
      </c>
      <c r="D128" s="524">
        <f>SUM(D122+D123+D126)</f>
        <v>0.16951533005029557</v>
      </c>
      <c r="E128" s="525">
        <f t="shared" si="15"/>
        <v>1.6177062945556542E-3</v>
      </c>
    </row>
    <row r="129" spans="1:5" s="506" customFormat="1" x14ac:dyDescent="0.2">
      <c r="A129" s="512"/>
      <c r="B129" s="516" t="s">
        <v>788</v>
      </c>
      <c r="C129" s="524">
        <f>SUM(C121+C128)</f>
        <v>0.47306208294534702</v>
      </c>
      <c r="D129" s="524">
        <f>SUM(D121+D128)</f>
        <v>0.49648959839625739</v>
      </c>
      <c r="E129" s="525">
        <f t="shared" si="15"/>
        <v>2.3427515450910374E-2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792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793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794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640</v>
      </c>
      <c r="C137" s="530">
        <v>1797</v>
      </c>
      <c r="D137" s="530">
        <v>1240</v>
      </c>
      <c r="E137" s="531">
        <f t="shared" ref="E137:E145" si="16">D137-C137</f>
        <v>-557</v>
      </c>
    </row>
    <row r="138" spans="1:5" s="506" customFormat="1" x14ac:dyDescent="0.2">
      <c r="A138" s="512">
        <v>2</v>
      </c>
      <c r="B138" s="511" t="s">
        <v>619</v>
      </c>
      <c r="C138" s="530">
        <v>2050</v>
      </c>
      <c r="D138" s="530">
        <v>1986</v>
      </c>
      <c r="E138" s="531">
        <f t="shared" si="16"/>
        <v>-64</v>
      </c>
    </row>
    <row r="139" spans="1:5" s="506" customFormat="1" x14ac:dyDescent="0.2">
      <c r="A139" s="512">
        <v>3</v>
      </c>
      <c r="B139" s="511" t="s">
        <v>765</v>
      </c>
      <c r="C139" s="530">
        <f>C140+C141</f>
        <v>519</v>
      </c>
      <c r="D139" s="530">
        <f>D140+D141</f>
        <v>351</v>
      </c>
      <c r="E139" s="531">
        <f t="shared" si="16"/>
        <v>-168</v>
      </c>
    </row>
    <row r="140" spans="1:5" s="506" customFormat="1" x14ac:dyDescent="0.2">
      <c r="A140" s="512">
        <v>4</v>
      </c>
      <c r="B140" s="511" t="s">
        <v>114</v>
      </c>
      <c r="C140" s="530">
        <v>517</v>
      </c>
      <c r="D140" s="530">
        <v>349</v>
      </c>
      <c r="E140" s="531">
        <f t="shared" si="16"/>
        <v>-168</v>
      </c>
    </row>
    <row r="141" spans="1:5" s="506" customFormat="1" x14ac:dyDescent="0.2">
      <c r="A141" s="512">
        <v>5</v>
      </c>
      <c r="B141" s="511" t="s">
        <v>732</v>
      </c>
      <c r="C141" s="530">
        <v>2</v>
      </c>
      <c r="D141" s="530">
        <v>2</v>
      </c>
      <c r="E141" s="531">
        <f t="shared" si="16"/>
        <v>0</v>
      </c>
    </row>
    <row r="142" spans="1:5" s="506" customFormat="1" x14ac:dyDescent="0.2">
      <c r="A142" s="512">
        <v>6</v>
      </c>
      <c r="B142" s="511" t="s">
        <v>430</v>
      </c>
      <c r="C142" s="530">
        <v>8</v>
      </c>
      <c r="D142" s="530">
        <v>3</v>
      </c>
      <c r="E142" s="531">
        <f t="shared" si="16"/>
        <v>-5</v>
      </c>
    </row>
    <row r="143" spans="1:5" s="506" customFormat="1" x14ac:dyDescent="0.2">
      <c r="A143" s="512">
        <v>7</v>
      </c>
      <c r="B143" s="511" t="s">
        <v>747</v>
      </c>
      <c r="C143" s="530">
        <v>78</v>
      </c>
      <c r="D143" s="530">
        <v>63</v>
      </c>
      <c r="E143" s="531">
        <f t="shared" si="16"/>
        <v>-15</v>
      </c>
    </row>
    <row r="144" spans="1:5" s="506" customFormat="1" x14ac:dyDescent="0.2">
      <c r="A144" s="512"/>
      <c r="B144" s="516" t="s">
        <v>795</v>
      </c>
      <c r="C144" s="532">
        <f>SUM(C138+C139+C142)</f>
        <v>2577</v>
      </c>
      <c r="D144" s="532">
        <f>SUM(D138+D139+D142)</f>
        <v>2340</v>
      </c>
      <c r="E144" s="533">
        <f t="shared" si="16"/>
        <v>-237</v>
      </c>
    </row>
    <row r="145" spans="1:5" s="506" customFormat="1" x14ac:dyDescent="0.2">
      <c r="A145" s="512"/>
      <c r="B145" s="516" t="s">
        <v>709</v>
      </c>
      <c r="C145" s="532">
        <f>SUM(C137+C144)</f>
        <v>4374</v>
      </c>
      <c r="D145" s="532">
        <f>SUM(D137+D144)</f>
        <v>3580</v>
      </c>
      <c r="E145" s="533">
        <f t="shared" si="16"/>
        <v>-794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640</v>
      </c>
      <c r="C149" s="534">
        <v>5938</v>
      </c>
      <c r="D149" s="534">
        <v>4297</v>
      </c>
      <c r="E149" s="531">
        <f t="shared" ref="E149:E157" si="17">D149-C149</f>
        <v>-1641</v>
      </c>
    </row>
    <row r="150" spans="1:5" s="506" customFormat="1" x14ac:dyDescent="0.2">
      <c r="A150" s="512">
        <v>2</v>
      </c>
      <c r="B150" s="511" t="s">
        <v>619</v>
      </c>
      <c r="C150" s="534">
        <v>9577</v>
      </c>
      <c r="D150" s="534">
        <v>9198</v>
      </c>
      <c r="E150" s="531">
        <f t="shared" si="17"/>
        <v>-379</v>
      </c>
    </row>
    <row r="151" spans="1:5" s="506" customFormat="1" x14ac:dyDescent="0.2">
      <c r="A151" s="512">
        <v>3</v>
      </c>
      <c r="B151" s="511" t="s">
        <v>765</v>
      </c>
      <c r="C151" s="534">
        <f>C152+C153</f>
        <v>1770</v>
      </c>
      <c r="D151" s="534">
        <f>D152+D153</f>
        <v>1252</v>
      </c>
      <c r="E151" s="531">
        <f t="shared" si="17"/>
        <v>-518</v>
      </c>
    </row>
    <row r="152" spans="1:5" s="506" customFormat="1" x14ac:dyDescent="0.2">
      <c r="A152" s="512">
        <v>4</v>
      </c>
      <c r="B152" s="511" t="s">
        <v>114</v>
      </c>
      <c r="C152" s="534">
        <v>1762</v>
      </c>
      <c r="D152" s="534">
        <v>1247</v>
      </c>
      <c r="E152" s="531">
        <f t="shared" si="17"/>
        <v>-515</v>
      </c>
    </row>
    <row r="153" spans="1:5" s="506" customFormat="1" x14ac:dyDescent="0.2">
      <c r="A153" s="512">
        <v>5</v>
      </c>
      <c r="B153" s="511" t="s">
        <v>732</v>
      </c>
      <c r="C153" s="535">
        <v>8</v>
      </c>
      <c r="D153" s="534">
        <v>5</v>
      </c>
      <c r="E153" s="531">
        <f t="shared" si="17"/>
        <v>-3</v>
      </c>
    </row>
    <row r="154" spans="1:5" s="506" customFormat="1" x14ac:dyDescent="0.2">
      <c r="A154" s="512">
        <v>6</v>
      </c>
      <c r="B154" s="511" t="s">
        <v>430</v>
      </c>
      <c r="C154" s="534">
        <v>27</v>
      </c>
      <c r="D154" s="534">
        <v>9</v>
      </c>
      <c r="E154" s="531">
        <f t="shared" si="17"/>
        <v>-18</v>
      </c>
    </row>
    <row r="155" spans="1:5" s="506" customFormat="1" x14ac:dyDescent="0.2">
      <c r="A155" s="512">
        <v>7</v>
      </c>
      <c r="B155" s="511" t="s">
        <v>747</v>
      </c>
      <c r="C155" s="534">
        <v>311</v>
      </c>
      <c r="D155" s="534">
        <v>252</v>
      </c>
      <c r="E155" s="531">
        <f t="shared" si="17"/>
        <v>-59</v>
      </c>
    </row>
    <row r="156" spans="1:5" s="506" customFormat="1" x14ac:dyDescent="0.2">
      <c r="A156" s="512"/>
      <c r="B156" s="516" t="s">
        <v>796</v>
      </c>
      <c r="C156" s="532">
        <f>SUM(C150+C151+C154)</f>
        <v>11374</v>
      </c>
      <c r="D156" s="532">
        <f>SUM(D150+D151+D154)</f>
        <v>10459</v>
      </c>
      <c r="E156" s="533">
        <f t="shared" si="17"/>
        <v>-915</v>
      </c>
    </row>
    <row r="157" spans="1:5" s="506" customFormat="1" x14ac:dyDescent="0.2">
      <c r="A157" s="512"/>
      <c r="B157" s="516" t="s">
        <v>797</v>
      </c>
      <c r="C157" s="532">
        <f>SUM(C149+C156)</f>
        <v>17312</v>
      </c>
      <c r="D157" s="532">
        <f>SUM(D149+D156)</f>
        <v>14756</v>
      </c>
      <c r="E157" s="533">
        <f t="shared" si="17"/>
        <v>-2556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798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640</v>
      </c>
      <c r="C161" s="536">
        <f t="shared" ref="C161:D169" si="18">IF(C137=0,0,C149/C137)</f>
        <v>3.3043962159154145</v>
      </c>
      <c r="D161" s="536">
        <f t="shared" si="18"/>
        <v>3.4653225806451613</v>
      </c>
      <c r="E161" s="537">
        <f t="shared" ref="E161:E169" si="19">D161-C161</f>
        <v>0.16092636472974675</v>
      </c>
    </row>
    <row r="162" spans="1:5" s="506" customFormat="1" x14ac:dyDescent="0.2">
      <c r="A162" s="512">
        <v>2</v>
      </c>
      <c r="B162" s="511" t="s">
        <v>619</v>
      </c>
      <c r="C162" s="536">
        <f t="shared" si="18"/>
        <v>4.6717073170731709</v>
      </c>
      <c r="D162" s="536">
        <f t="shared" si="18"/>
        <v>4.6314199395770395</v>
      </c>
      <c r="E162" s="537">
        <f t="shared" si="19"/>
        <v>-4.0287377496131427E-2</v>
      </c>
    </row>
    <row r="163" spans="1:5" s="506" customFormat="1" x14ac:dyDescent="0.2">
      <c r="A163" s="512">
        <v>3</v>
      </c>
      <c r="B163" s="511" t="s">
        <v>765</v>
      </c>
      <c r="C163" s="536">
        <f t="shared" si="18"/>
        <v>3.4104046242774566</v>
      </c>
      <c r="D163" s="536">
        <f t="shared" si="18"/>
        <v>3.566951566951567</v>
      </c>
      <c r="E163" s="537">
        <f t="shared" si="19"/>
        <v>0.1565469426741104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3.4081237911025144</v>
      </c>
      <c r="D164" s="536">
        <f t="shared" si="18"/>
        <v>3.5730659025787967</v>
      </c>
      <c r="E164" s="537">
        <f t="shared" si="19"/>
        <v>0.16494211147628235</v>
      </c>
    </row>
    <row r="165" spans="1:5" s="506" customFormat="1" x14ac:dyDescent="0.2">
      <c r="A165" s="512">
        <v>5</v>
      </c>
      <c r="B165" s="511" t="s">
        <v>732</v>
      </c>
      <c r="C165" s="536">
        <f t="shared" si="18"/>
        <v>4</v>
      </c>
      <c r="D165" s="536">
        <f t="shared" si="18"/>
        <v>2.5</v>
      </c>
      <c r="E165" s="537">
        <f t="shared" si="19"/>
        <v>-1.5</v>
      </c>
    </row>
    <row r="166" spans="1:5" s="506" customFormat="1" x14ac:dyDescent="0.2">
      <c r="A166" s="512">
        <v>6</v>
      </c>
      <c r="B166" s="511" t="s">
        <v>430</v>
      </c>
      <c r="C166" s="536">
        <f t="shared" si="18"/>
        <v>3.375</v>
      </c>
      <c r="D166" s="536">
        <f t="shared" si="18"/>
        <v>3</v>
      </c>
      <c r="E166" s="537">
        <f t="shared" si="19"/>
        <v>-0.375</v>
      </c>
    </row>
    <row r="167" spans="1:5" s="506" customFormat="1" x14ac:dyDescent="0.2">
      <c r="A167" s="512">
        <v>7</v>
      </c>
      <c r="B167" s="511" t="s">
        <v>747</v>
      </c>
      <c r="C167" s="536">
        <f t="shared" si="18"/>
        <v>3.9871794871794872</v>
      </c>
      <c r="D167" s="536">
        <f t="shared" si="18"/>
        <v>4</v>
      </c>
      <c r="E167" s="537">
        <f t="shared" si="19"/>
        <v>1.2820512820512775E-2</v>
      </c>
    </row>
    <row r="168" spans="1:5" s="506" customFormat="1" x14ac:dyDescent="0.2">
      <c r="A168" s="512"/>
      <c r="B168" s="516" t="s">
        <v>799</v>
      </c>
      <c r="C168" s="538">
        <f t="shared" si="18"/>
        <v>4.4136592937524251</v>
      </c>
      <c r="D168" s="538">
        <f t="shared" si="18"/>
        <v>4.4696581196581198</v>
      </c>
      <c r="E168" s="539">
        <f t="shared" si="19"/>
        <v>5.5998825905694716E-2</v>
      </c>
    </row>
    <row r="169" spans="1:5" s="506" customFormat="1" x14ac:dyDescent="0.2">
      <c r="A169" s="512"/>
      <c r="B169" s="516" t="s">
        <v>733</v>
      </c>
      <c r="C169" s="538">
        <f t="shared" si="18"/>
        <v>3.9579332418838593</v>
      </c>
      <c r="D169" s="538">
        <f t="shared" si="18"/>
        <v>4.1217877094972071</v>
      </c>
      <c r="E169" s="539">
        <f t="shared" si="19"/>
        <v>0.16385446761334777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333</v>
      </c>
      <c r="B171" s="509" t="s">
        <v>800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640</v>
      </c>
      <c r="C173" s="541">
        <f t="shared" ref="C173:D181" si="20">IF(C137=0,0,C203/C137)</f>
        <v>1.1516599999999999</v>
      </c>
      <c r="D173" s="541">
        <f t="shared" si="20"/>
        <v>1.3326</v>
      </c>
      <c r="E173" s="542">
        <f t="shared" ref="E173:E181" si="21">D173-C173</f>
        <v>0.1809400000000001</v>
      </c>
    </row>
    <row r="174" spans="1:5" s="506" customFormat="1" x14ac:dyDescent="0.2">
      <c r="A174" s="512">
        <v>2</v>
      </c>
      <c r="B174" s="511" t="s">
        <v>619</v>
      </c>
      <c r="C174" s="541">
        <f t="shared" si="20"/>
        <v>1.5190999999999999</v>
      </c>
      <c r="D174" s="541">
        <f t="shared" si="20"/>
        <v>1.4881899999999999</v>
      </c>
      <c r="E174" s="542">
        <f t="shared" si="21"/>
        <v>-3.0909999999999993E-2</v>
      </c>
    </row>
    <row r="175" spans="1:5" s="506" customFormat="1" x14ac:dyDescent="0.2">
      <c r="A175" s="512">
        <v>0</v>
      </c>
      <c r="B175" s="511" t="s">
        <v>765</v>
      </c>
      <c r="C175" s="541">
        <f t="shared" si="20"/>
        <v>0.9497895953757225</v>
      </c>
      <c r="D175" s="541">
        <f t="shared" si="20"/>
        <v>0.96735418803418816</v>
      </c>
      <c r="E175" s="542">
        <f t="shared" si="21"/>
        <v>1.7564592658465661E-2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0.95099999999999996</v>
      </c>
      <c r="D176" s="541">
        <f t="shared" si="20"/>
        <v>0.96408000000000005</v>
      </c>
      <c r="E176" s="542">
        <f t="shared" si="21"/>
        <v>1.3080000000000092E-2</v>
      </c>
    </row>
    <row r="177" spans="1:5" s="506" customFormat="1" x14ac:dyDescent="0.2">
      <c r="A177" s="512">
        <v>5</v>
      </c>
      <c r="B177" s="511" t="s">
        <v>732</v>
      </c>
      <c r="C177" s="541">
        <f t="shared" si="20"/>
        <v>0.63690000000000002</v>
      </c>
      <c r="D177" s="541">
        <f t="shared" si="20"/>
        <v>1.5387</v>
      </c>
      <c r="E177" s="542">
        <f t="shared" si="21"/>
        <v>0.90179999999999993</v>
      </c>
    </row>
    <row r="178" spans="1:5" s="506" customFormat="1" x14ac:dyDescent="0.2">
      <c r="A178" s="512">
        <v>6</v>
      </c>
      <c r="B178" s="511" t="s">
        <v>430</v>
      </c>
      <c r="C178" s="541">
        <f t="shared" si="20"/>
        <v>0.89710000000000001</v>
      </c>
      <c r="D178" s="541">
        <f t="shared" si="20"/>
        <v>0.57979999999999998</v>
      </c>
      <c r="E178" s="542">
        <f t="shared" si="21"/>
        <v>-0.31730000000000003</v>
      </c>
    </row>
    <row r="179" spans="1:5" s="506" customFormat="1" x14ac:dyDescent="0.2">
      <c r="A179" s="512">
        <v>7</v>
      </c>
      <c r="B179" s="511" t="s">
        <v>747</v>
      </c>
      <c r="C179" s="541">
        <f t="shared" si="20"/>
        <v>1.2761</v>
      </c>
      <c r="D179" s="541">
        <f t="shared" si="20"/>
        <v>1.3215399999999999</v>
      </c>
      <c r="E179" s="542">
        <f t="shared" si="21"/>
        <v>4.5439999999999925E-2</v>
      </c>
    </row>
    <row r="180" spans="1:5" s="506" customFormat="1" x14ac:dyDescent="0.2">
      <c r="A180" s="512"/>
      <c r="B180" s="516" t="s">
        <v>801</v>
      </c>
      <c r="C180" s="543">
        <f t="shared" si="20"/>
        <v>1.4025116802483506</v>
      </c>
      <c r="D180" s="543">
        <f t="shared" si="20"/>
        <v>1.4089000256410256</v>
      </c>
      <c r="E180" s="544">
        <f t="shared" si="21"/>
        <v>6.3883453926749656E-3</v>
      </c>
    </row>
    <row r="181" spans="1:5" s="506" customFormat="1" x14ac:dyDescent="0.2">
      <c r="A181" s="512"/>
      <c r="B181" s="516" t="s">
        <v>710</v>
      </c>
      <c r="C181" s="543">
        <f t="shared" si="20"/>
        <v>1.2994525880201186</v>
      </c>
      <c r="D181" s="543">
        <f t="shared" si="20"/>
        <v>1.3824720837988829</v>
      </c>
      <c r="E181" s="544">
        <f t="shared" si="21"/>
        <v>8.3019495778764218E-2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354</v>
      </c>
      <c r="B183" s="509" t="s">
        <v>802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803</v>
      </c>
      <c r="C185" s="513">
        <v>71322702</v>
      </c>
      <c r="D185" s="513">
        <v>69988341</v>
      </c>
      <c r="E185" s="514">
        <f>D185-C185</f>
        <v>-1334361</v>
      </c>
    </row>
    <row r="186" spans="1:5" s="506" customFormat="1" ht="25.5" x14ac:dyDescent="0.2">
      <c r="A186" s="512">
        <v>2</v>
      </c>
      <c r="B186" s="511" t="s">
        <v>804</v>
      </c>
      <c r="C186" s="513">
        <v>36788412</v>
      </c>
      <c r="D186" s="513">
        <v>35620019</v>
      </c>
      <c r="E186" s="514">
        <f>D186-C186</f>
        <v>-1168393</v>
      </c>
    </row>
    <row r="187" spans="1:5" s="506" customFormat="1" x14ac:dyDescent="0.2">
      <c r="A187" s="512"/>
      <c r="B187" s="511" t="s">
        <v>652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736</v>
      </c>
      <c r="C188" s="546">
        <f>+C185-C186</f>
        <v>34534290</v>
      </c>
      <c r="D188" s="546">
        <f>+D185-D186</f>
        <v>34368322</v>
      </c>
      <c r="E188" s="514">
        <f t="shared" ref="E188:E197" si="22">D188-C188</f>
        <v>-165968</v>
      </c>
    </row>
    <row r="189" spans="1:5" s="506" customFormat="1" x14ac:dyDescent="0.2">
      <c r="A189" s="512">
        <v>4</v>
      </c>
      <c r="B189" s="511" t="s">
        <v>654</v>
      </c>
      <c r="C189" s="547">
        <f>IF(C185=0,0,+C188/C185)</f>
        <v>0.48419772430943514</v>
      </c>
      <c r="D189" s="547">
        <f>IF(D185=0,0,+D188/D185)</f>
        <v>0.49105781775853208</v>
      </c>
      <c r="E189" s="523">
        <f t="shared" si="22"/>
        <v>6.8600934490969379E-3</v>
      </c>
    </row>
    <row r="190" spans="1:5" s="506" customFormat="1" x14ac:dyDescent="0.2">
      <c r="A190" s="512">
        <v>5</v>
      </c>
      <c r="B190" s="511" t="s">
        <v>751</v>
      </c>
      <c r="C190" s="513">
        <v>2287171</v>
      </c>
      <c r="D190" s="513">
        <v>3586807</v>
      </c>
      <c r="E190" s="546">
        <f t="shared" si="22"/>
        <v>1299636</v>
      </c>
    </row>
    <row r="191" spans="1:5" s="506" customFormat="1" x14ac:dyDescent="0.2">
      <c r="A191" s="512">
        <v>6</v>
      </c>
      <c r="B191" s="511" t="s">
        <v>737</v>
      </c>
      <c r="C191" s="513">
        <v>1318490</v>
      </c>
      <c r="D191" s="513">
        <v>1812087</v>
      </c>
      <c r="E191" s="546">
        <f t="shared" si="22"/>
        <v>493597</v>
      </c>
    </row>
    <row r="192" spans="1:5" ht="29.25" x14ac:dyDescent="0.2">
      <c r="A192" s="512">
        <v>7</v>
      </c>
      <c r="B192" s="548" t="s">
        <v>805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806</v>
      </c>
      <c r="C193" s="513">
        <v>187766</v>
      </c>
      <c r="D193" s="513">
        <v>192533</v>
      </c>
      <c r="E193" s="546">
        <f t="shared" si="22"/>
        <v>4767</v>
      </c>
    </row>
    <row r="194" spans="1:5" s="506" customFormat="1" x14ac:dyDescent="0.2">
      <c r="A194" s="512">
        <v>9</v>
      </c>
      <c r="B194" s="511" t="s">
        <v>807</v>
      </c>
      <c r="C194" s="513">
        <v>7611773</v>
      </c>
      <c r="D194" s="513">
        <v>7028914</v>
      </c>
      <c r="E194" s="546">
        <f t="shared" si="22"/>
        <v>-582859</v>
      </c>
    </row>
    <row r="195" spans="1:5" s="506" customFormat="1" x14ac:dyDescent="0.2">
      <c r="A195" s="512">
        <v>10</v>
      </c>
      <c r="B195" s="511" t="s">
        <v>808</v>
      </c>
      <c r="C195" s="513">
        <f>+C193+C194</f>
        <v>7799539</v>
      </c>
      <c r="D195" s="513">
        <f>+D193+D194</f>
        <v>7221447</v>
      </c>
      <c r="E195" s="549">
        <f t="shared" si="22"/>
        <v>-578092</v>
      </c>
    </row>
    <row r="196" spans="1:5" s="506" customFormat="1" x14ac:dyDescent="0.2">
      <c r="A196" s="512">
        <v>11</v>
      </c>
      <c r="B196" s="511" t="s">
        <v>809</v>
      </c>
      <c r="C196" s="513">
        <v>71322702</v>
      </c>
      <c r="D196" s="513">
        <v>69988341</v>
      </c>
      <c r="E196" s="546">
        <f t="shared" si="22"/>
        <v>-1334361</v>
      </c>
    </row>
    <row r="197" spans="1:5" s="506" customFormat="1" x14ac:dyDescent="0.2">
      <c r="A197" s="512">
        <v>12</v>
      </c>
      <c r="B197" s="511" t="s">
        <v>694</v>
      </c>
      <c r="C197" s="513">
        <v>85587522</v>
      </c>
      <c r="D197" s="513">
        <v>90685854</v>
      </c>
      <c r="E197" s="546">
        <f t="shared" si="22"/>
        <v>5098332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810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811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640</v>
      </c>
      <c r="C203" s="553">
        <v>2069.5330199999999</v>
      </c>
      <c r="D203" s="553">
        <v>1652.424</v>
      </c>
      <c r="E203" s="554">
        <f t="shared" ref="E203:E211" si="23">D203-C203</f>
        <v>-417.10901999999987</v>
      </c>
    </row>
    <row r="204" spans="1:5" s="506" customFormat="1" x14ac:dyDescent="0.2">
      <c r="A204" s="512">
        <v>2</v>
      </c>
      <c r="B204" s="511" t="s">
        <v>619</v>
      </c>
      <c r="C204" s="553">
        <v>3114.1549999999997</v>
      </c>
      <c r="D204" s="553">
        <v>2955.5453399999997</v>
      </c>
      <c r="E204" s="554">
        <f t="shared" si="23"/>
        <v>-158.60966000000008</v>
      </c>
    </row>
    <row r="205" spans="1:5" s="506" customFormat="1" x14ac:dyDescent="0.2">
      <c r="A205" s="512">
        <v>3</v>
      </c>
      <c r="B205" s="511" t="s">
        <v>765</v>
      </c>
      <c r="C205" s="553">
        <f>C206+C207</f>
        <v>492.94079999999997</v>
      </c>
      <c r="D205" s="553">
        <f>D206+D207</f>
        <v>339.54132000000004</v>
      </c>
      <c r="E205" s="554">
        <f t="shared" si="23"/>
        <v>-153.39947999999993</v>
      </c>
    </row>
    <row r="206" spans="1:5" s="506" customFormat="1" x14ac:dyDescent="0.2">
      <c r="A206" s="512">
        <v>4</v>
      </c>
      <c r="B206" s="511" t="s">
        <v>114</v>
      </c>
      <c r="C206" s="553">
        <v>491.66699999999997</v>
      </c>
      <c r="D206" s="553">
        <v>336.46392000000003</v>
      </c>
      <c r="E206" s="554">
        <f t="shared" si="23"/>
        <v>-155.20307999999994</v>
      </c>
    </row>
    <row r="207" spans="1:5" s="506" customFormat="1" x14ac:dyDescent="0.2">
      <c r="A207" s="512">
        <v>5</v>
      </c>
      <c r="B207" s="511" t="s">
        <v>732</v>
      </c>
      <c r="C207" s="553">
        <v>1.2738</v>
      </c>
      <c r="D207" s="553">
        <v>3.0773999999999999</v>
      </c>
      <c r="E207" s="554">
        <f t="shared" si="23"/>
        <v>1.8035999999999999</v>
      </c>
    </row>
    <row r="208" spans="1:5" s="506" customFormat="1" x14ac:dyDescent="0.2">
      <c r="A208" s="512">
        <v>6</v>
      </c>
      <c r="B208" s="511" t="s">
        <v>430</v>
      </c>
      <c r="C208" s="553">
        <v>7.1768000000000001</v>
      </c>
      <c r="D208" s="553">
        <v>1.7393999999999998</v>
      </c>
      <c r="E208" s="554">
        <f t="shared" si="23"/>
        <v>-5.4374000000000002</v>
      </c>
    </row>
    <row r="209" spans="1:5" s="506" customFormat="1" x14ac:dyDescent="0.2">
      <c r="A209" s="512">
        <v>7</v>
      </c>
      <c r="B209" s="511" t="s">
        <v>747</v>
      </c>
      <c r="C209" s="553">
        <v>99.535799999999995</v>
      </c>
      <c r="D209" s="553">
        <v>83.257019999999997</v>
      </c>
      <c r="E209" s="554">
        <f t="shared" si="23"/>
        <v>-16.278779999999998</v>
      </c>
    </row>
    <row r="210" spans="1:5" s="506" customFormat="1" x14ac:dyDescent="0.2">
      <c r="A210" s="512"/>
      <c r="B210" s="516" t="s">
        <v>812</v>
      </c>
      <c r="C210" s="555">
        <f>C204+C205+C208</f>
        <v>3614.2725999999998</v>
      </c>
      <c r="D210" s="555">
        <f>D204+D205+D208</f>
        <v>3296.8260599999999</v>
      </c>
      <c r="E210" s="556">
        <f t="shared" si="23"/>
        <v>-317.44653999999991</v>
      </c>
    </row>
    <row r="211" spans="1:5" s="506" customFormat="1" x14ac:dyDescent="0.2">
      <c r="A211" s="512"/>
      <c r="B211" s="516" t="s">
        <v>711</v>
      </c>
      <c r="C211" s="555">
        <f>C210+C203</f>
        <v>5683.8056199999992</v>
      </c>
      <c r="D211" s="555">
        <f>D210+D203</f>
        <v>4949.2500600000003</v>
      </c>
      <c r="E211" s="556">
        <f t="shared" si="23"/>
        <v>-734.55555999999888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813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640</v>
      </c>
      <c r="C215" s="557">
        <f>IF(C14*C137=0,0,C25/C14*C137)</f>
        <v>2886.3003929279744</v>
      </c>
      <c r="D215" s="557">
        <f>IF(D14*D137=0,0,D25/D14*D137)</f>
        <v>2032.5463480288035</v>
      </c>
      <c r="E215" s="557">
        <f t="shared" ref="E215:E223" si="24">D215-C215</f>
        <v>-853.75404489917082</v>
      </c>
    </row>
    <row r="216" spans="1:5" s="506" customFormat="1" x14ac:dyDescent="0.2">
      <c r="A216" s="512">
        <v>2</v>
      </c>
      <c r="B216" s="511" t="s">
        <v>619</v>
      </c>
      <c r="C216" s="557">
        <f>IF(C15*C138=0,0,C26/C15*C138)</f>
        <v>982.16115308998019</v>
      </c>
      <c r="D216" s="557">
        <f>IF(D15*D138=0,0,D26/D15*D138)</f>
        <v>948.92385886676777</v>
      </c>
      <c r="E216" s="557">
        <f t="shared" si="24"/>
        <v>-33.237294223212416</v>
      </c>
    </row>
    <row r="217" spans="1:5" s="506" customFormat="1" x14ac:dyDescent="0.2">
      <c r="A217" s="512">
        <v>3</v>
      </c>
      <c r="B217" s="511" t="s">
        <v>765</v>
      </c>
      <c r="C217" s="557">
        <f>C218+C219</f>
        <v>836.02044832262061</v>
      </c>
      <c r="D217" s="557">
        <f>D218+D219</f>
        <v>919.46553107427735</v>
      </c>
      <c r="E217" s="557">
        <f t="shared" si="24"/>
        <v>83.445082751656741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828.49893168285689</v>
      </c>
      <c r="D218" s="557">
        <f t="shared" si="25"/>
        <v>904.79744913759203</v>
      </c>
      <c r="E218" s="557">
        <f t="shared" si="24"/>
        <v>76.298517454735133</v>
      </c>
    </row>
    <row r="219" spans="1:5" s="506" customFormat="1" x14ac:dyDescent="0.2">
      <c r="A219" s="512">
        <v>5</v>
      </c>
      <c r="B219" s="511" t="s">
        <v>732</v>
      </c>
      <c r="C219" s="557">
        <f t="shared" si="25"/>
        <v>7.5215166397637123</v>
      </c>
      <c r="D219" s="557">
        <f t="shared" si="25"/>
        <v>14.668081936685288</v>
      </c>
      <c r="E219" s="557">
        <f t="shared" si="24"/>
        <v>7.146565296921576</v>
      </c>
    </row>
    <row r="220" spans="1:5" s="506" customFormat="1" x14ac:dyDescent="0.2">
      <c r="A220" s="512">
        <v>6</v>
      </c>
      <c r="B220" s="511" t="s">
        <v>430</v>
      </c>
      <c r="C220" s="557">
        <f t="shared" si="25"/>
        <v>16.53923411974792</v>
      </c>
      <c r="D220" s="557">
        <f t="shared" si="25"/>
        <v>21.234752084247479</v>
      </c>
      <c r="E220" s="557">
        <f t="shared" si="24"/>
        <v>4.6955179644995582</v>
      </c>
    </row>
    <row r="221" spans="1:5" s="506" customFormat="1" x14ac:dyDescent="0.2">
      <c r="A221" s="512">
        <v>7</v>
      </c>
      <c r="B221" s="511" t="s">
        <v>747</v>
      </c>
      <c r="C221" s="557">
        <f t="shared" si="25"/>
        <v>162.7718104444468</v>
      </c>
      <c r="D221" s="557">
        <f t="shared" si="25"/>
        <v>141.29681520735892</v>
      </c>
      <c r="E221" s="557">
        <f t="shared" si="24"/>
        <v>-21.474995237087882</v>
      </c>
    </row>
    <row r="222" spans="1:5" s="506" customFormat="1" x14ac:dyDescent="0.2">
      <c r="A222" s="512"/>
      <c r="B222" s="516" t="s">
        <v>814</v>
      </c>
      <c r="C222" s="558">
        <f>C216+C218+C219+C220</f>
        <v>1834.7208355323487</v>
      </c>
      <c r="D222" s="558">
        <f>D216+D218+D219+D220</f>
        <v>1889.6241420252925</v>
      </c>
      <c r="E222" s="558">
        <f t="shared" si="24"/>
        <v>54.903306492943784</v>
      </c>
    </row>
    <row r="223" spans="1:5" s="506" customFormat="1" x14ac:dyDescent="0.2">
      <c r="A223" s="512"/>
      <c r="B223" s="516" t="s">
        <v>815</v>
      </c>
      <c r="C223" s="558">
        <f>C215+C222</f>
        <v>4721.0212284603231</v>
      </c>
      <c r="D223" s="558">
        <f>D215+D222</f>
        <v>3922.1704900540963</v>
      </c>
      <c r="E223" s="558">
        <f t="shared" si="24"/>
        <v>-798.85073840622681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816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640</v>
      </c>
      <c r="C227" s="560">
        <f t="shared" ref="C227:D235" si="26">IF(C203=0,0,C47/C203)</f>
        <v>6566.41951042656</v>
      </c>
      <c r="D227" s="560">
        <f t="shared" si="26"/>
        <v>7547.6499978213824</v>
      </c>
      <c r="E227" s="560">
        <f t="shared" ref="E227:E235" si="27">D227-C227</f>
        <v>981.23048739482238</v>
      </c>
    </row>
    <row r="228" spans="1:5" s="506" customFormat="1" x14ac:dyDescent="0.2">
      <c r="A228" s="512">
        <v>2</v>
      </c>
      <c r="B228" s="511" t="s">
        <v>619</v>
      </c>
      <c r="C228" s="560">
        <f t="shared" si="26"/>
        <v>6641.0859446623572</v>
      </c>
      <c r="D228" s="560">
        <f t="shared" si="26"/>
        <v>7366.5965144693073</v>
      </c>
      <c r="E228" s="560">
        <f t="shared" si="27"/>
        <v>725.51056980695012</v>
      </c>
    </row>
    <row r="229" spans="1:5" s="506" customFormat="1" x14ac:dyDescent="0.2">
      <c r="A229" s="512">
        <v>3</v>
      </c>
      <c r="B229" s="511" t="s">
        <v>765</v>
      </c>
      <c r="C229" s="560">
        <f t="shared" si="26"/>
        <v>4510.9960465840932</v>
      </c>
      <c r="D229" s="560">
        <f t="shared" si="26"/>
        <v>3572.4105684692508</v>
      </c>
      <c r="E229" s="560">
        <f t="shared" si="27"/>
        <v>-938.58547811484232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4486.0383145502956</v>
      </c>
      <c r="D230" s="560">
        <f t="shared" si="26"/>
        <v>3585.7812035239913</v>
      </c>
      <c r="E230" s="560">
        <f t="shared" si="27"/>
        <v>-900.2571110263043</v>
      </c>
    </row>
    <row r="231" spans="1:5" s="506" customFormat="1" x14ac:dyDescent="0.2">
      <c r="A231" s="512">
        <v>5</v>
      </c>
      <c r="B231" s="511" t="s">
        <v>732</v>
      </c>
      <c r="C231" s="560">
        <f t="shared" si="26"/>
        <v>14144.29266760873</v>
      </c>
      <c r="D231" s="560">
        <f t="shared" si="26"/>
        <v>2110.5478650809127</v>
      </c>
      <c r="E231" s="560">
        <f t="shared" si="27"/>
        <v>-12033.744802527817</v>
      </c>
    </row>
    <row r="232" spans="1:5" s="506" customFormat="1" x14ac:dyDescent="0.2">
      <c r="A232" s="512">
        <v>6</v>
      </c>
      <c r="B232" s="511" t="s">
        <v>430</v>
      </c>
      <c r="C232" s="560">
        <f t="shared" si="26"/>
        <v>6435.0406866570056</v>
      </c>
      <c r="D232" s="560">
        <f t="shared" si="26"/>
        <v>5563.9875819248018</v>
      </c>
      <c r="E232" s="560">
        <f t="shared" si="27"/>
        <v>-871.05310473220379</v>
      </c>
    </row>
    <row r="233" spans="1:5" s="506" customFormat="1" x14ac:dyDescent="0.2">
      <c r="A233" s="512">
        <v>7</v>
      </c>
      <c r="B233" s="511" t="s">
        <v>747</v>
      </c>
      <c r="C233" s="560">
        <f t="shared" si="26"/>
        <v>342.89170328665665</v>
      </c>
      <c r="D233" s="560">
        <f t="shared" si="26"/>
        <v>925.09916881483389</v>
      </c>
      <c r="E233" s="560">
        <f t="shared" si="27"/>
        <v>582.20746552817718</v>
      </c>
    </row>
    <row r="234" spans="1:5" x14ac:dyDescent="0.2">
      <c r="A234" s="512"/>
      <c r="B234" s="516" t="s">
        <v>817</v>
      </c>
      <c r="C234" s="561">
        <f t="shared" si="26"/>
        <v>6350.1596420812311</v>
      </c>
      <c r="D234" s="561">
        <f t="shared" si="26"/>
        <v>6974.8808646580528</v>
      </c>
      <c r="E234" s="561">
        <f t="shared" si="27"/>
        <v>624.72122257682167</v>
      </c>
    </row>
    <row r="235" spans="1:5" s="506" customFormat="1" x14ac:dyDescent="0.2">
      <c r="A235" s="512"/>
      <c r="B235" s="516" t="s">
        <v>818</v>
      </c>
      <c r="C235" s="561">
        <f t="shared" si="26"/>
        <v>6428.9021199848848</v>
      </c>
      <c r="D235" s="561">
        <f t="shared" si="26"/>
        <v>7166.1133646579174</v>
      </c>
      <c r="E235" s="561">
        <f t="shared" si="27"/>
        <v>737.21124467303252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333</v>
      </c>
      <c r="B237" s="509" t="s">
        <v>819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640</v>
      </c>
      <c r="C239" s="560">
        <f t="shared" ref="C239:D247" si="28">IF(C215=0,0,C58/C215)</f>
        <v>7331.7728992624907</v>
      </c>
      <c r="D239" s="560">
        <f t="shared" si="28"/>
        <v>11331.508884083569</v>
      </c>
      <c r="E239" s="562">
        <f t="shared" ref="E239:E247" si="29">D239-C239</f>
        <v>3999.7359848210781</v>
      </c>
    </row>
    <row r="240" spans="1:5" s="506" customFormat="1" x14ac:dyDescent="0.2">
      <c r="A240" s="512">
        <v>2</v>
      </c>
      <c r="B240" s="511" t="s">
        <v>619</v>
      </c>
      <c r="C240" s="560">
        <f t="shared" si="28"/>
        <v>8661.4115954763729</v>
      </c>
      <c r="D240" s="560">
        <f t="shared" si="28"/>
        <v>8283.6003400602058</v>
      </c>
      <c r="E240" s="562">
        <f t="shared" si="29"/>
        <v>-377.81125541616711</v>
      </c>
    </row>
    <row r="241" spans="1:5" x14ac:dyDescent="0.2">
      <c r="A241" s="512">
        <v>3</v>
      </c>
      <c r="B241" s="511" t="s">
        <v>765</v>
      </c>
      <c r="C241" s="560">
        <f t="shared" si="28"/>
        <v>3650.2492326866559</v>
      </c>
      <c r="D241" s="560">
        <f t="shared" si="28"/>
        <v>4370.461821776953</v>
      </c>
      <c r="E241" s="562">
        <f t="shared" si="29"/>
        <v>720.21258909029712</v>
      </c>
    </row>
    <row r="242" spans="1:5" x14ac:dyDescent="0.2">
      <c r="A242" s="512">
        <v>4</v>
      </c>
      <c r="B242" s="511" t="s">
        <v>114</v>
      </c>
      <c r="C242" s="560">
        <f t="shared" si="28"/>
        <v>3601.6015059174792</v>
      </c>
      <c r="D242" s="560">
        <f t="shared" si="28"/>
        <v>4388.8375279848196</v>
      </c>
      <c r="E242" s="562">
        <f t="shared" si="29"/>
        <v>787.2360220673404</v>
      </c>
    </row>
    <row r="243" spans="1:5" x14ac:dyDescent="0.2">
      <c r="A243" s="512">
        <v>5</v>
      </c>
      <c r="B243" s="511" t="s">
        <v>732</v>
      </c>
      <c r="C243" s="560">
        <f t="shared" si="28"/>
        <v>9008.8213913901109</v>
      </c>
      <c r="D243" s="560">
        <f t="shared" si="28"/>
        <v>3236.9603745702548</v>
      </c>
      <c r="E243" s="562">
        <f t="shared" si="29"/>
        <v>-5771.8610168198556</v>
      </c>
    </row>
    <row r="244" spans="1:5" x14ac:dyDescent="0.2">
      <c r="A244" s="512">
        <v>6</v>
      </c>
      <c r="B244" s="511" t="s">
        <v>430</v>
      </c>
      <c r="C244" s="560">
        <f t="shared" si="28"/>
        <v>5097.8176733908558</v>
      </c>
      <c r="D244" s="560">
        <f t="shared" si="28"/>
        <v>2897.8440509154025</v>
      </c>
      <c r="E244" s="562">
        <f t="shared" si="29"/>
        <v>-2199.9736224754533</v>
      </c>
    </row>
    <row r="245" spans="1:5" x14ac:dyDescent="0.2">
      <c r="A245" s="512">
        <v>7</v>
      </c>
      <c r="B245" s="511" t="s">
        <v>747</v>
      </c>
      <c r="C245" s="560">
        <f t="shared" si="28"/>
        <v>1516.7429748793015</v>
      </c>
      <c r="D245" s="560">
        <f t="shared" si="28"/>
        <v>1222.5540947012323</v>
      </c>
      <c r="E245" s="562">
        <f t="shared" si="29"/>
        <v>-294.18888017806921</v>
      </c>
    </row>
    <row r="246" spans="1:5" ht="25.5" x14ac:dyDescent="0.2">
      <c r="A246" s="512"/>
      <c r="B246" s="516" t="s">
        <v>820</v>
      </c>
      <c r="C246" s="561">
        <f t="shared" si="28"/>
        <v>6345.8695047858791</v>
      </c>
      <c r="D246" s="561">
        <f t="shared" si="28"/>
        <v>6318.9973786015362</v>
      </c>
      <c r="E246" s="563">
        <f t="shared" si="29"/>
        <v>-26.87212618434296</v>
      </c>
    </row>
    <row r="247" spans="1:5" x14ac:dyDescent="0.2">
      <c r="A247" s="512"/>
      <c r="B247" s="516" t="s">
        <v>821</v>
      </c>
      <c r="C247" s="561">
        <f t="shared" si="28"/>
        <v>6948.6232771502773</v>
      </c>
      <c r="D247" s="561">
        <f t="shared" si="28"/>
        <v>8916.5800132053027</v>
      </c>
      <c r="E247" s="563">
        <f t="shared" si="29"/>
        <v>1967.9567360550254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749</v>
      </c>
      <c r="B249" s="550" t="s">
        <v>746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4192047.2537176842</v>
      </c>
      <c r="D251" s="546">
        <f>((IF((IF(D15=0,0,D26/D15)*D138)=0,0,D59/(IF(D15=0,0,D26/D15)*D138)))-(IF((IF(D17=0,0,D28/D17)*D140)=0,0,D61/(IF(D17=0,0,D28/D17)*D140))))*(IF(D17=0,0,D28/D17)*D140)</f>
        <v>3523971.4573617643</v>
      </c>
      <c r="E251" s="546">
        <f>D251-C251</f>
        <v>-668075.79635591991</v>
      </c>
    </row>
    <row r="252" spans="1:5" x14ac:dyDescent="0.2">
      <c r="A252" s="512">
        <v>2</v>
      </c>
      <c r="B252" s="511" t="s">
        <v>732</v>
      </c>
      <c r="C252" s="546">
        <f>IF(C231=0,0,(C228-C231)*C207)+IF(C243=0,0,(C240-C243)*C219)</f>
        <v>-12170.633284471185</v>
      </c>
      <c r="D252" s="546">
        <f>IF(D231=0,0,(D228-D231)*D207)+IF(D243=0,0,(D240-D243)*D219)</f>
        <v>90199.492632385052</v>
      </c>
      <c r="E252" s="546">
        <f>D252-C252</f>
        <v>102370.12591685624</v>
      </c>
    </row>
    <row r="253" spans="1:5" x14ac:dyDescent="0.2">
      <c r="A253" s="512">
        <v>3</v>
      </c>
      <c r="B253" s="511" t="s">
        <v>747</v>
      </c>
      <c r="C253" s="546">
        <f>IF(C233=0,0,(C228-C233)*C209+IF(C221=0,0,(C240-C245)*C221))</f>
        <v>1789846.448770937</v>
      </c>
      <c r="D253" s="546">
        <f>IF(D233=0,0,(D228-D233)*D209+IF(D221=0,0,(D240-D245)*D221))</f>
        <v>1534003.2198382039</v>
      </c>
      <c r="E253" s="546">
        <f>D253-C253</f>
        <v>-255843.22893273318</v>
      </c>
    </row>
    <row r="254" spans="1:5" ht="15" customHeight="1" x14ac:dyDescent="0.2">
      <c r="A254" s="512"/>
      <c r="B254" s="516" t="s">
        <v>748</v>
      </c>
      <c r="C254" s="564">
        <f>+C251+C252+C253</f>
        <v>5969723.0692041498</v>
      </c>
      <c r="D254" s="564">
        <f>+D251+D252+D253</f>
        <v>5148174.1698323525</v>
      </c>
      <c r="E254" s="564">
        <f>D254-C254</f>
        <v>-821548.89937179722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822</v>
      </c>
      <c r="B256" s="550" t="s">
        <v>823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714</v>
      </c>
      <c r="C258" s="546">
        <f>+C44</f>
        <v>184109980</v>
      </c>
      <c r="D258" s="549">
        <f>+D44</f>
        <v>189422164</v>
      </c>
      <c r="E258" s="546">
        <f t="shared" ref="E258:E271" si="30">D258-C258</f>
        <v>5312184</v>
      </c>
    </row>
    <row r="259" spans="1:5" x14ac:dyDescent="0.2">
      <c r="A259" s="512">
        <v>2</v>
      </c>
      <c r="B259" s="511" t="s">
        <v>731</v>
      </c>
      <c r="C259" s="546">
        <f>+(C43-C76)</f>
        <v>70347187</v>
      </c>
      <c r="D259" s="549">
        <f>+(D43-D76)</f>
        <v>75283023</v>
      </c>
      <c r="E259" s="546">
        <f t="shared" si="30"/>
        <v>4935836</v>
      </c>
    </row>
    <row r="260" spans="1:5" x14ac:dyDescent="0.2">
      <c r="A260" s="512">
        <v>3</v>
      </c>
      <c r="B260" s="511" t="s">
        <v>735</v>
      </c>
      <c r="C260" s="546">
        <f>C195</f>
        <v>7799539</v>
      </c>
      <c r="D260" s="546">
        <f>D195</f>
        <v>7221447</v>
      </c>
      <c r="E260" s="546">
        <f t="shared" si="30"/>
        <v>-578092</v>
      </c>
    </row>
    <row r="261" spans="1:5" x14ac:dyDescent="0.2">
      <c r="A261" s="512">
        <v>4</v>
      </c>
      <c r="B261" s="511" t="s">
        <v>736</v>
      </c>
      <c r="C261" s="546">
        <f>C188</f>
        <v>34534290</v>
      </c>
      <c r="D261" s="546">
        <f>D188</f>
        <v>34368322</v>
      </c>
      <c r="E261" s="546">
        <f t="shared" si="30"/>
        <v>-165968</v>
      </c>
    </row>
    <row r="262" spans="1:5" x14ac:dyDescent="0.2">
      <c r="A262" s="512">
        <v>5</v>
      </c>
      <c r="B262" s="511" t="s">
        <v>737</v>
      </c>
      <c r="C262" s="546">
        <f>C191</f>
        <v>1318490</v>
      </c>
      <c r="D262" s="546">
        <f>D191</f>
        <v>1812087</v>
      </c>
      <c r="E262" s="546">
        <f t="shared" si="30"/>
        <v>493597</v>
      </c>
    </row>
    <row r="263" spans="1:5" x14ac:dyDescent="0.2">
      <c r="A263" s="512">
        <v>6</v>
      </c>
      <c r="B263" s="511" t="s">
        <v>738</v>
      </c>
      <c r="C263" s="546">
        <f>+C259+C260+C261+C262</f>
        <v>113999506</v>
      </c>
      <c r="D263" s="546">
        <f>+D259+D260+D261+D262</f>
        <v>118684879</v>
      </c>
      <c r="E263" s="546">
        <f t="shared" si="30"/>
        <v>4685373</v>
      </c>
    </row>
    <row r="264" spans="1:5" x14ac:dyDescent="0.2">
      <c r="A264" s="512">
        <v>7</v>
      </c>
      <c r="B264" s="511" t="s">
        <v>638</v>
      </c>
      <c r="C264" s="546">
        <f>+C258-C263</f>
        <v>70110474</v>
      </c>
      <c r="D264" s="546">
        <f>+D258-D263</f>
        <v>70737285</v>
      </c>
      <c r="E264" s="546">
        <f t="shared" si="30"/>
        <v>626811</v>
      </c>
    </row>
    <row r="265" spans="1:5" x14ac:dyDescent="0.2">
      <c r="A265" s="512">
        <v>8</v>
      </c>
      <c r="B265" s="511" t="s">
        <v>824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825</v>
      </c>
      <c r="C266" s="546">
        <f>+C264+C265</f>
        <v>70110474</v>
      </c>
      <c r="D266" s="546">
        <f>+D264+D265</f>
        <v>70737285</v>
      </c>
      <c r="E266" s="565">
        <f t="shared" si="30"/>
        <v>626811</v>
      </c>
    </row>
    <row r="267" spans="1:5" x14ac:dyDescent="0.2">
      <c r="A267" s="512">
        <v>10</v>
      </c>
      <c r="B267" s="511" t="s">
        <v>826</v>
      </c>
      <c r="C267" s="566">
        <f>IF(C258=0,0,C266/C258)</f>
        <v>0.3808075694755928</v>
      </c>
      <c r="D267" s="566">
        <f>IF(D258=0,0,D266/D258)</f>
        <v>0.37343721297577404</v>
      </c>
      <c r="E267" s="567">
        <f t="shared" si="30"/>
        <v>-7.3703564998187643E-3</v>
      </c>
    </row>
    <row r="268" spans="1:5" x14ac:dyDescent="0.2">
      <c r="A268" s="512">
        <v>11</v>
      </c>
      <c r="B268" s="511" t="s">
        <v>700</v>
      </c>
      <c r="C268" s="546">
        <f>+C260*C267</f>
        <v>2970123.4896200956</v>
      </c>
      <c r="D268" s="568">
        <f>+D260*D267</f>
        <v>2696757.0413322644</v>
      </c>
      <c r="E268" s="546">
        <f t="shared" si="30"/>
        <v>-273366.44828783115</v>
      </c>
    </row>
    <row r="269" spans="1:5" x14ac:dyDescent="0.2">
      <c r="A269" s="512">
        <v>12</v>
      </c>
      <c r="B269" s="511" t="s">
        <v>827</v>
      </c>
      <c r="C269" s="546">
        <f>((C17+C18+C28+C29)*C267)-(C50+C51+C61+C62)</f>
        <v>2360306.4057630338</v>
      </c>
      <c r="D269" s="568">
        <f>((D17+D18+D28+D29)*D267)-(D50+D51+D61+D62)</f>
        <v>2164806.5277142543</v>
      </c>
      <c r="E269" s="546">
        <f t="shared" si="30"/>
        <v>-195499.87804877944</v>
      </c>
    </row>
    <row r="270" spans="1:5" s="569" customFormat="1" x14ac:dyDescent="0.2">
      <c r="A270" s="570">
        <v>13</v>
      </c>
      <c r="B270" s="571" t="s">
        <v>828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829</v>
      </c>
      <c r="C271" s="546">
        <f>+C268+C269+C270</f>
        <v>5330429.8953831289</v>
      </c>
      <c r="D271" s="546">
        <f>+D268+D269+D270</f>
        <v>4861563.5690465188</v>
      </c>
      <c r="E271" s="549">
        <f t="shared" si="30"/>
        <v>-468866.32633661013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830</v>
      </c>
      <c r="B273" s="550" t="s">
        <v>831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832</v>
      </c>
      <c r="C275" s="340"/>
      <c r="D275" s="340"/>
      <c r="E275" s="520"/>
    </row>
    <row r="276" spans="1:5" x14ac:dyDescent="0.2">
      <c r="A276" s="512">
        <v>1</v>
      </c>
      <c r="B276" s="511" t="s">
        <v>640</v>
      </c>
      <c r="C276" s="547">
        <f t="shared" ref="C276:D284" si="31">IF(C14=0,0,+C47/C14)</f>
        <v>0.44735416613241397</v>
      </c>
      <c r="D276" s="547">
        <f t="shared" si="31"/>
        <v>0.41557768126588351</v>
      </c>
      <c r="E276" s="574">
        <f t="shared" ref="E276:E284" si="32">D276-C276</f>
        <v>-3.1776484866530452E-2</v>
      </c>
    </row>
    <row r="277" spans="1:5" x14ac:dyDescent="0.2">
      <c r="A277" s="512">
        <v>2</v>
      </c>
      <c r="B277" s="511" t="s">
        <v>619</v>
      </c>
      <c r="C277" s="547">
        <f t="shared" si="31"/>
        <v>0.36173017927859341</v>
      </c>
      <c r="D277" s="547">
        <f t="shared" si="31"/>
        <v>0.35674324013382303</v>
      </c>
      <c r="E277" s="574">
        <f t="shared" si="32"/>
        <v>-4.9869391447703859E-3</v>
      </c>
    </row>
    <row r="278" spans="1:5" x14ac:dyDescent="0.2">
      <c r="A278" s="512">
        <v>3</v>
      </c>
      <c r="B278" s="511" t="s">
        <v>765</v>
      </c>
      <c r="C278" s="547">
        <f t="shared" si="31"/>
        <v>0.28952308882750033</v>
      </c>
      <c r="D278" s="547">
        <f t="shared" si="31"/>
        <v>0.22144250601628368</v>
      </c>
      <c r="E278" s="574">
        <f t="shared" si="32"/>
        <v>-6.808058281121665E-2</v>
      </c>
    </row>
    <row r="279" spans="1:5" x14ac:dyDescent="0.2">
      <c r="A279" s="512">
        <v>4</v>
      </c>
      <c r="B279" s="511" t="s">
        <v>114</v>
      </c>
      <c r="C279" s="547">
        <f t="shared" si="31"/>
        <v>0.28827010256837871</v>
      </c>
      <c r="D279" s="547">
        <f t="shared" si="31"/>
        <v>0.22134173726201589</v>
      </c>
      <c r="E279" s="574">
        <f t="shared" si="32"/>
        <v>-6.6928365306362814E-2</v>
      </c>
    </row>
    <row r="280" spans="1:5" x14ac:dyDescent="0.2">
      <c r="A280" s="512">
        <v>5</v>
      </c>
      <c r="B280" s="511" t="s">
        <v>732</v>
      </c>
      <c r="C280" s="547">
        <f t="shared" si="31"/>
        <v>0.61877940721915037</v>
      </c>
      <c r="D280" s="547">
        <f t="shared" si="31"/>
        <v>0.24189944134078212</v>
      </c>
      <c r="E280" s="574">
        <f t="shared" si="32"/>
        <v>-0.37687996587836825</v>
      </c>
    </row>
    <row r="281" spans="1:5" x14ac:dyDescent="0.2">
      <c r="A281" s="512">
        <v>6</v>
      </c>
      <c r="B281" s="511" t="s">
        <v>430</v>
      </c>
      <c r="C281" s="547">
        <f t="shared" si="31"/>
        <v>0.4363514394504861</v>
      </c>
      <c r="D281" s="547">
        <f t="shared" si="31"/>
        <v>0.35388328214129006</v>
      </c>
      <c r="E281" s="574">
        <f t="shared" si="32"/>
        <v>-8.2468157309196044E-2</v>
      </c>
    </row>
    <row r="282" spans="1:5" x14ac:dyDescent="0.2">
      <c r="A282" s="512">
        <v>7</v>
      </c>
      <c r="B282" s="511" t="s">
        <v>747</v>
      </c>
      <c r="C282" s="547">
        <f t="shared" si="31"/>
        <v>1.8952445631802792E-2</v>
      </c>
      <c r="D282" s="547">
        <f t="shared" si="31"/>
        <v>4.4374961830653703E-2</v>
      </c>
      <c r="E282" s="574">
        <f t="shared" si="32"/>
        <v>2.5422516198850911E-2</v>
      </c>
    </row>
    <row r="283" spans="1:5" ht="29.25" customHeight="1" x14ac:dyDescent="0.2">
      <c r="A283" s="512"/>
      <c r="B283" s="516" t="s">
        <v>833</v>
      </c>
      <c r="C283" s="575">
        <f t="shared" si="31"/>
        <v>0.35331447569752306</v>
      </c>
      <c r="D283" s="575">
        <f t="shared" si="31"/>
        <v>0.34560327044687966</v>
      </c>
      <c r="E283" s="576">
        <f t="shared" si="32"/>
        <v>-7.7112052506433937E-3</v>
      </c>
    </row>
    <row r="284" spans="1:5" x14ac:dyDescent="0.2">
      <c r="A284" s="512"/>
      <c r="B284" s="516" t="s">
        <v>834</v>
      </c>
      <c r="C284" s="575">
        <f t="shared" si="31"/>
        <v>0.38327842340477974</v>
      </c>
      <c r="D284" s="575">
        <f t="shared" si="31"/>
        <v>0.36735443413761565</v>
      </c>
      <c r="E284" s="576">
        <f t="shared" si="32"/>
        <v>-1.5923989267164096E-2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835</v>
      </c>
      <c r="C286" s="520"/>
      <c r="D286" s="520"/>
      <c r="E286" s="520"/>
    </row>
    <row r="287" spans="1:5" x14ac:dyDescent="0.2">
      <c r="A287" s="512">
        <v>1</v>
      </c>
      <c r="B287" s="511" t="s">
        <v>640</v>
      </c>
      <c r="C287" s="547">
        <f t="shared" ref="C287:D295" si="33">IF(C25=0,0,+C58/C25)</f>
        <v>0.43371813572824353</v>
      </c>
      <c r="D287" s="547">
        <f t="shared" si="33"/>
        <v>0.4681967530768803</v>
      </c>
      <c r="E287" s="574">
        <f t="shared" ref="E287:E295" si="34">D287-C287</f>
        <v>3.4478617348636775E-2</v>
      </c>
    </row>
    <row r="288" spans="1:5" x14ac:dyDescent="0.2">
      <c r="A288" s="512">
        <v>2</v>
      </c>
      <c r="B288" s="511" t="s">
        <v>619</v>
      </c>
      <c r="C288" s="547">
        <f t="shared" si="33"/>
        <v>0.31056174355832505</v>
      </c>
      <c r="D288" s="547">
        <f t="shared" si="33"/>
        <v>0.2695563857312071</v>
      </c>
      <c r="E288" s="574">
        <f t="shared" si="34"/>
        <v>-4.100535782711795E-2</v>
      </c>
    </row>
    <row r="289" spans="1:5" x14ac:dyDescent="0.2">
      <c r="A289" s="512">
        <v>3</v>
      </c>
      <c r="B289" s="511" t="s">
        <v>765</v>
      </c>
      <c r="C289" s="547">
        <f t="shared" si="33"/>
        <v>0.24668470863970374</v>
      </c>
      <c r="D289" s="547">
        <f t="shared" si="33"/>
        <v>0.28045798841594022</v>
      </c>
      <c r="E289" s="574">
        <f t="shared" si="34"/>
        <v>3.3773279776236481E-2</v>
      </c>
    </row>
    <row r="290" spans="1:5" x14ac:dyDescent="0.2">
      <c r="A290" s="512">
        <v>4</v>
      </c>
      <c r="B290" s="511" t="s">
        <v>114</v>
      </c>
      <c r="C290" s="547">
        <f t="shared" si="33"/>
        <v>0.24336143996699855</v>
      </c>
      <c r="D290" s="547">
        <f t="shared" si="33"/>
        <v>0.2810062363995165</v>
      </c>
      <c r="E290" s="574">
        <f t="shared" si="34"/>
        <v>3.7644796432517946E-2</v>
      </c>
    </row>
    <row r="291" spans="1:5" x14ac:dyDescent="0.2">
      <c r="A291" s="512">
        <v>5</v>
      </c>
      <c r="B291" s="511" t="s">
        <v>732</v>
      </c>
      <c r="C291" s="547">
        <f t="shared" si="33"/>
        <v>0.6188014830779347</v>
      </c>
      <c r="D291" s="547">
        <f t="shared" si="33"/>
        <v>0.24111436682087559</v>
      </c>
      <c r="E291" s="574">
        <f t="shared" si="34"/>
        <v>-0.37768711625705909</v>
      </c>
    </row>
    <row r="292" spans="1:5" x14ac:dyDescent="0.2">
      <c r="A292" s="512">
        <v>6</v>
      </c>
      <c r="B292" s="511" t="s">
        <v>430</v>
      </c>
      <c r="C292" s="547">
        <f t="shared" si="33"/>
        <v>0.38532621611246182</v>
      </c>
      <c r="D292" s="547">
        <f t="shared" si="33"/>
        <v>0.31788548167128156</v>
      </c>
      <c r="E292" s="574">
        <f t="shared" si="34"/>
        <v>-6.7440734441180261E-2</v>
      </c>
    </row>
    <row r="293" spans="1:5" x14ac:dyDescent="0.2">
      <c r="A293" s="512">
        <v>7</v>
      </c>
      <c r="B293" s="511" t="s">
        <v>747</v>
      </c>
      <c r="C293" s="547">
        <f t="shared" si="33"/>
        <v>6.569549147283521E-2</v>
      </c>
      <c r="D293" s="547">
        <f t="shared" si="33"/>
        <v>4.4374908806188232E-2</v>
      </c>
      <c r="E293" s="574">
        <f t="shared" si="34"/>
        <v>-2.1320582666646978E-2</v>
      </c>
    </row>
    <row r="294" spans="1:5" ht="29.25" customHeight="1" x14ac:dyDescent="0.2">
      <c r="A294" s="512"/>
      <c r="B294" s="516" t="s">
        <v>836</v>
      </c>
      <c r="C294" s="575">
        <f t="shared" si="33"/>
        <v>0.29120659019511436</v>
      </c>
      <c r="D294" s="575">
        <f t="shared" si="33"/>
        <v>0.27334636623312208</v>
      </c>
      <c r="E294" s="576">
        <f t="shared" si="34"/>
        <v>-1.7860223961992272E-2</v>
      </c>
    </row>
    <row r="295" spans="1:5" x14ac:dyDescent="0.2">
      <c r="A295" s="512"/>
      <c r="B295" s="516" t="s">
        <v>837</v>
      </c>
      <c r="C295" s="575">
        <f t="shared" si="33"/>
        <v>0.36953375240772973</v>
      </c>
      <c r="D295" s="575">
        <f t="shared" si="33"/>
        <v>0.3765512963789997</v>
      </c>
      <c r="E295" s="576">
        <f t="shared" si="34"/>
        <v>7.0175439712699683E-3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838</v>
      </c>
      <c r="B297" s="501" t="s">
        <v>839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840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638</v>
      </c>
      <c r="C301" s="514">
        <f>+C48+C47+C50+C51+C52+C59+C58+C61+C62+C63</f>
        <v>69345228</v>
      </c>
      <c r="D301" s="514">
        <f>+D48+D47+D50+D51+D52+D59+D58+D61+D62+D63</f>
        <v>70439234</v>
      </c>
      <c r="E301" s="514">
        <f>D301-C301</f>
        <v>1094006</v>
      </c>
    </row>
    <row r="302" spans="1:5" ht="25.5" x14ac:dyDescent="0.2">
      <c r="A302" s="512">
        <v>2</v>
      </c>
      <c r="B302" s="511" t="s">
        <v>841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842</v>
      </c>
      <c r="C303" s="517">
        <f>+C301+C302</f>
        <v>69345228</v>
      </c>
      <c r="D303" s="517">
        <f>+D301+D302</f>
        <v>70439234</v>
      </c>
      <c r="E303" s="517">
        <f>D303-C303</f>
        <v>1094006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843</v>
      </c>
      <c r="C305" s="513">
        <v>10515305</v>
      </c>
      <c r="D305" s="578">
        <v>14012479</v>
      </c>
      <c r="E305" s="579">
        <f>D305-C305</f>
        <v>3497174</v>
      </c>
    </row>
    <row r="306" spans="1:5" x14ac:dyDescent="0.2">
      <c r="A306" s="512">
        <v>4</v>
      </c>
      <c r="B306" s="516" t="s">
        <v>844</v>
      </c>
      <c r="C306" s="580">
        <f>+C303+C305</f>
        <v>79860533</v>
      </c>
      <c r="D306" s="580">
        <f>+D303+D305</f>
        <v>84451713</v>
      </c>
      <c r="E306" s="580">
        <f>D306-C306</f>
        <v>4591180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845</v>
      </c>
      <c r="C308" s="513">
        <v>79860535</v>
      </c>
      <c r="D308" s="513">
        <v>84451715</v>
      </c>
      <c r="E308" s="514">
        <f>D308-C308</f>
        <v>4591180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846</v>
      </c>
      <c r="C310" s="581">
        <f>C306-C308</f>
        <v>-2</v>
      </c>
      <c r="D310" s="582">
        <f>D306-D308</f>
        <v>-2</v>
      </c>
      <c r="E310" s="580">
        <f>D310-C310</f>
        <v>0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847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848</v>
      </c>
      <c r="C314" s="514">
        <f>+C14+C15+C16+C19+C25+C26+C27+C30</f>
        <v>184109980</v>
      </c>
      <c r="D314" s="514">
        <f>+D14+D15+D16+D19+D25+D26+D27+D30</f>
        <v>189422164</v>
      </c>
      <c r="E314" s="514">
        <f>D314-C314</f>
        <v>5312184</v>
      </c>
    </row>
    <row r="315" spans="1:5" x14ac:dyDescent="0.2">
      <c r="A315" s="512">
        <v>2</v>
      </c>
      <c r="B315" s="583" t="s">
        <v>849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850</v>
      </c>
      <c r="C316" s="581">
        <f>C314+C315</f>
        <v>184109980</v>
      </c>
      <c r="D316" s="581">
        <f>D314+D315</f>
        <v>189422164</v>
      </c>
      <c r="E316" s="517">
        <f>D316-C316</f>
        <v>5312184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851</v>
      </c>
      <c r="C318" s="513">
        <v>184109979</v>
      </c>
      <c r="D318" s="513">
        <v>189422163</v>
      </c>
      <c r="E318" s="514">
        <f>D318-C318</f>
        <v>5312184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846</v>
      </c>
      <c r="C320" s="581">
        <f>C316-C318</f>
        <v>1</v>
      </c>
      <c r="D320" s="581">
        <f>D316-D318</f>
        <v>1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852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853</v>
      </c>
      <c r="C324" s="513">
        <f>+C193+C194</f>
        <v>7799539</v>
      </c>
      <c r="D324" s="513">
        <f>+D193+D194</f>
        <v>7221447</v>
      </c>
      <c r="E324" s="514">
        <f>D324-C324</f>
        <v>-578092</v>
      </c>
    </row>
    <row r="325" spans="1:5" x14ac:dyDescent="0.2">
      <c r="A325" s="512">
        <v>2</v>
      </c>
      <c r="B325" s="511" t="s">
        <v>854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855</v>
      </c>
      <c r="C326" s="581">
        <f>C324+C325</f>
        <v>7799539</v>
      </c>
      <c r="D326" s="581">
        <f>D324+D325</f>
        <v>7221447</v>
      </c>
      <c r="E326" s="517">
        <f>D326-C326</f>
        <v>-578092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856</v>
      </c>
      <c r="C328" s="513">
        <v>7799539</v>
      </c>
      <c r="D328" s="513">
        <v>7221447</v>
      </c>
      <c r="E328" s="514">
        <f>D328-C328</f>
        <v>-578092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857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r:id="rId1"/>
  <headerFooter>
    <oddHeader>&amp;LOFFICE OF HEALTH CARE ACCESS&amp;CTWELVE MONTHS ACTUAL FILING&amp;RMILFORD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610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858</v>
      </c>
      <c r="B5" s="696"/>
      <c r="C5" s="697"/>
      <c r="D5" s="585"/>
    </row>
    <row r="6" spans="1:58" s="338" customFormat="1" ht="15.75" customHeight="1" x14ac:dyDescent="0.25">
      <c r="A6" s="695" t="s">
        <v>859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860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861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764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640</v>
      </c>
      <c r="C14" s="513">
        <v>30011039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619</v>
      </c>
      <c r="C15" s="515">
        <v>61030757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765</v>
      </c>
      <c r="C16" s="515">
        <v>5477634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5450784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732</v>
      </c>
      <c r="C18" s="515">
        <v>26850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430</v>
      </c>
      <c r="C19" s="515">
        <v>27348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747</v>
      </c>
      <c r="C20" s="515">
        <v>1735686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766</v>
      </c>
      <c r="C21" s="517">
        <f>SUM(C15+C16+C19)</f>
        <v>66535739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706</v>
      </c>
      <c r="C22" s="517">
        <f>SUM(C14+C21)</f>
        <v>96546778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767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640</v>
      </c>
      <c r="C25" s="513">
        <v>49192603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619</v>
      </c>
      <c r="C26" s="515">
        <v>29160897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765</v>
      </c>
      <c r="C27" s="515">
        <v>14328310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14131391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732</v>
      </c>
      <c r="C29" s="515">
        <v>196919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430</v>
      </c>
      <c r="C30" s="515">
        <v>193576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747</v>
      </c>
      <c r="C31" s="518">
        <v>3892808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768</v>
      </c>
      <c r="C32" s="517">
        <f>SUM(C26+C27+C30)</f>
        <v>43682783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712</v>
      </c>
      <c r="C33" s="517">
        <f>SUM(C25+C32)</f>
        <v>92875386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637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862</v>
      </c>
      <c r="C36" s="514">
        <f>SUM(C14+C25)</f>
        <v>79203642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863</v>
      </c>
      <c r="C37" s="518">
        <f>SUM(C21+C32)</f>
        <v>110218522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637</v>
      </c>
      <c r="C38" s="517">
        <f>SUM(+C36+C37)</f>
        <v>189422164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333</v>
      </c>
      <c r="B40" s="509" t="s">
        <v>777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640</v>
      </c>
      <c r="C41" s="513">
        <v>12471918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619</v>
      </c>
      <c r="C42" s="515">
        <v>21772310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765</v>
      </c>
      <c r="C43" s="515">
        <v>1212981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1206486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732</v>
      </c>
      <c r="C45" s="515">
        <v>6495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430</v>
      </c>
      <c r="C46" s="515">
        <v>9678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747</v>
      </c>
      <c r="C47" s="515">
        <v>77021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778</v>
      </c>
      <c r="C48" s="517">
        <f>SUM(C42+C43+C46)</f>
        <v>22994969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707</v>
      </c>
      <c r="C49" s="517">
        <f>SUM(C41+C48)</f>
        <v>35466887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354</v>
      </c>
      <c r="B51" s="509" t="s">
        <v>779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640</v>
      </c>
      <c r="C52" s="513">
        <v>23031817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619</v>
      </c>
      <c r="C53" s="515">
        <v>7860506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765</v>
      </c>
      <c r="C54" s="515">
        <v>4018489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3971009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732</v>
      </c>
      <c r="C56" s="515">
        <v>47480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430</v>
      </c>
      <c r="C57" s="515">
        <v>61535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747</v>
      </c>
      <c r="C58" s="515">
        <v>172743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780</v>
      </c>
      <c r="C59" s="517">
        <f>SUM(C53+C54+C57)</f>
        <v>11940530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713</v>
      </c>
      <c r="C60" s="517">
        <f>SUM(C52+C59)</f>
        <v>34972347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366</v>
      </c>
      <c r="B62" s="521" t="s">
        <v>638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864</v>
      </c>
      <c r="C63" s="514">
        <f>SUM(C41+C52)</f>
        <v>35503735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865</v>
      </c>
      <c r="C64" s="518">
        <f>SUM(C48+C59)</f>
        <v>34935499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638</v>
      </c>
      <c r="C65" s="517">
        <f>SUM(+C63+C64)</f>
        <v>70439234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866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867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640</v>
      </c>
      <c r="C70" s="530">
        <v>1240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619</v>
      </c>
      <c r="C71" s="530">
        <v>1986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765</v>
      </c>
      <c r="C72" s="530">
        <v>351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349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732</v>
      </c>
      <c r="C74" s="530">
        <v>2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430</v>
      </c>
      <c r="C75" s="545">
        <v>3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747</v>
      </c>
      <c r="C76" s="545">
        <v>63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795</v>
      </c>
      <c r="C77" s="532">
        <f>SUM(C71+C72+C75)</f>
        <v>2340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709</v>
      </c>
      <c r="C78" s="596">
        <f>SUM(C70+C77)</f>
        <v>3580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800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640</v>
      </c>
      <c r="C81" s="541">
        <v>1.3326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619</v>
      </c>
      <c r="C82" s="541">
        <v>1.4881899999999999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765</v>
      </c>
      <c r="C83" s="541">
        <f>((C73*C84)+(C74*C85))/(C73+C74)</f>
        <v>0.96735418803418816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0.96408000000000005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732</v>
      </c>
      <c r="C85" s="541">
        <v>1.5387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430</v>
      </c>
      <c r="C86" s="541">
        <v>0.57979999999999998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747</v>
      </c>
      <c r="C87" s="541">
        <v>1.3215399999999999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801</v>
      </c>
      <c r="C88" s="543">
        <f>((C71*C82)+(C73*C84)+(C74*C85)+(C75*C86))/(C71+C73+C74+C75)</f>
        <v>1.4089000256410256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710</v>
      </c>
      <c r="C89" s="543">
        <f>((C70*C81)+(C71*C82)+(C73*C84)+(C74*C85)+(C75*C86))/(C70+C71+C73+C74+C75)</f>
        <v>1.3824720837988829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802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803</v>
      </c>
      <c r="C92" s="513">
        <v>69988341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804</v>
      </c>
      <c r="C93" s="546">
        <v>35620019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652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736</v>
      </c>
      <c r="C95" s="513">
        <f>+C92-C93</f>
        <v>34368322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654</v>
      </c>
      <c r="C96" s="597">
        <f>(+C92-C93)/C92</f>
        <v>0.49105781775853208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751</v>
      </c>
      <c r="C98" s="513">
        <v>3586807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737</v>
      </c>
      <c r="C99" s="513">
        <v>1812087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868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806</v>
      </c>
      <c r="C103" s="513">
        <v>192533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807</v>
      </c>
      <c r="C104" s="513">
        <v>7028914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808</v>
      </c>
      <c r="C105" s="578">
        <f>+C103+C104</f>
        <v>7221447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809</v>
      </c>
      <c r="C107" s="513">
        <v>2505143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694</v>
      </c>
      <c r="C108" s="513">
        <v>90685854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839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840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638</v>
      </c>
      <c r="C114" s="514">
        <f>+C65</f>
        <v>70439234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841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842</v>
      </c>
      <c r="C116" s="517">
        <f>+C114+C115</f>
        <v>70439234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843</v>
      </c>
      <c r="C118" s="578">
        <v>14012479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844</v>
      </c>
      <c r="C119" s="580">
        <f>+C116+C118</f>
        <v>84451713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845</v>
      </c>
      <c r="C121" s="513">
        <v>84451715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846</v>
      </c>
      <c r="C123" s="582">
        <f>C119-C121</f>
        <v>-2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847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848</v>
      </c>
      <c r="C127" s="514">
        <f>+C38</f>
        <v>189422164</v>
      </c>
      <c r="D127" s="588"/>
      <c r="AR127" s="507"/>
    </row>
    <row r="128" spans="1:58" s="506" customFormat="1" x14ac:dyDescent="0.2">
      <c r="A128" s="512">
        <v>2</v>
      </c>
      <c r="B128" s="583" t="s">
        <v>849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850</v>
      </c>
      <c r="C129" s="581">
        <f>C127+C128</f>
        <v>189422164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851</v>
      </c>
      <c r="C131" s="513">
        <v>189422163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846</v>
      </c>
      <c r="C133" s="581">
        <f>C129-C131</f>
        <v>1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852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853</v>
      </c>
      <c r="C137" s="513">
        <f>C105</f>
        <v>7221447</v>
      </c>
      <c r="D137" s="588"/>
      <c r="AR137" s="507"/>
    </row>
    <row r="138" spans="1:44" s="506" customFormat="1" x14ac:dyDescent="0.2">
      <c r="A138" s="512">
        <v>2</v>
      </c>
      <c r="B138" s="511" t="s">
        <v>869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855</v>
      </c>
      <c r="C139" s="581">
        <f>C137+C138</f>
        <v>7221447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870</v>
      </c>
      <c r="C141" s="513">
        <v>7221447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857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r:id="rId1"/>
  <headerFooter>
    <oddHeader>&amp;LOFFICE OF HEALTH CARE ACCESS&amp;CTWELVE MONTHS ACTUAL FILING&amp;RMILFORD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610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611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871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614</v>
      </c>
      <c r="D8" s="35" t="s">
        <v>614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616</v>
      </c>
      <c r="D9" s="607" t="s">
        <v>617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872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873</v>
      </c>
      <c r="C12" s="49">
        <v>42</v>
      </c>
      <c r="D12" s="49">
        <v>72</v>
      </c>
      <c r="E12" s="49">
        <f>+D12-C12</f>
        <v>30</v>
      </c>
      <c r="F12" s="70">
        <f>IF(C12=0,0,+E12/C12)</f>
        <v>0.7142857142857143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874</v>
      </c>
      <c r="C13" s="49">
        <v>22</v>
      </c>
      <c r="D13" s="49">
        <v>32</v>
      </c>
      <c r="E13" s="49">
        <f>+D13-C13</f>
        <v>10</v>
      </c>
      <c r="F13" s="70">
        <f>IF(C13=0,0,+E13/C13)</f>
        <v>0.45454545454545453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875</v>
      </c>
      <c r="C15" s="51">
        <v>187766</v>
      </c>
      <c r="D15" s="51">
        <v>192533</v>
      </c>
      <c r="E15" s="51">
        <f>+D15-C15</f>
        <v>4767</v>
      </c>
      <c r="F15" s="70">
        <f>IF(C15=0,0,+E15/C15)</f>
        <v>2.5387982914904721E-2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876</v>
      </c>
      <c r="C16" s="27">
        <f>IF(C13=0,0,+C15/+C13)</f>
        <v>8534.818181818182</v>
      </c>
      <c r="D16" s="27">
        <f>IF(D13=0,0,+D15/+D13)</f>
        <v>6016.65625</v>
      </c>
      <c r="E16" s="27">
        <f>+D16-C16</f>
        <v>-2518.161931818182</v>
      </c>
      <c r="F16" s="28">
        <f>IF(C16=0,0,+E16/C16)</f>
        <v>-0.295045761746003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877</v>
      </c>
      <c r="C18" s="210">
        <v>0.41985899999999998</v>
      </c>
      <c r="D18" s="210">
        <v>0.463229</v>
      </c>
      <c r="E18" s="210">
        <f>+D18-C18</f>
        <v>4.337000000000002E-2</v>
      </c>
      <c r="F18" s="70">
        <f>IF(C18=0,0,+E18/C18)</f>
        <v>0.10329658290044996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878</v>
      </c>
      <c r="C19" s="27">
        <f>+C15*C18</f>
        <v>78835.244993999993</v>
      </c>
      <c r="D19" s="27">
        <f>+D15*D18</f>
        <v>89186.869057000004</v>
      </c>
      <c r="E19" s="27">
        <f>+D19-C19</f>
        <v>10351.62406300001</v>
      </c>
      <c r="F19" s="28">
        <f>IF(C19=0,0,+E19/C19)</f>
        <v>0.13130705769719944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879</v>
      </c>
      <c r="C20" s="27">
        <f>IF(C13=0,0,+C19/C13)</f>
        <v>3583.4202269999996</v>
      </c>
      <c r="D20" s="27">
        <f>IF(D13=0,0,+D19/D13)</f>
        <v>2787.0896580312501</v>
      </c>
      <c r="E20" s="27">
        <f>+D20-C20</f>
        <v>-796.3305689687495</v>
      </c>
      <c r="F20" s="28">
        <f>IF(C20=0,0,+E20/C20)</f>
        <v>-0.22222639783317538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880</v>
      </c>
      <c r="C22" s="51">
        <v>110349</v>
      </c>
      <c r="D22" s="51">
        <v>99912</v>
      </c>
      <c r="E22" s="51">
        <f>+D22-C22</f>
        <v>-10437</v>
      </c>
      <c r="F22" s="70">
        <f>IF(C22=0,0,+E22/C22)</f>
        <v>-9.4581736128102653E-2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881</v>
      </c>
      <c r="C23" s="49">
        <v>18605</v>
      </c>
      <c r="D23" s="49">
        <v>16752</v>
      </c>
      <c r="E23" s="49">
        <f>+D23-C23</f>
        <v>-1853</v>
      </c>
      <c r="F23" s="70">
        <f>IF(C23=0,0,+E23/C23)</f>
        <v>-9.9596882558452032E-2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882</v>
      </c>
      <c r="C24" s="49">
        <v>58812</v>
      </c>
      <c r="D24" s="49">
        <v>75869</v>
      </c>
      <c r="E24" s="49">
        <f>+D24-C24</f>
        <v>17057</v>
      </c>
      <c r="F24" s="70">
        <f>IF(C24=0,0,+E24/C24)</f>
        <v>0.29002584506563284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875</v>
      </c>
      <c r="C25" s="27">
        <f>+C22+C23+C24</f>
        <v>187766</v>
      </c>
      <c r="D25" s="27">
        <f>+D22+D23+D24</f>
        <v>192533</v>
      </c>
      <c r="E25" s="27">
        <f>+E22+E23+E24</f>
        <v>4767</v>
      </c>
      <c r="F25" s="28">
        <f>IF(C25=0,0,+E25/C25)</f>
        <v>2.5387982914904721E-2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883</v>
      </c>
      <c r="C27" s="49">
        <v>25</v>
      </c>
      <c r="D27" s="49">
        <v>22</v>
      </c>
      <c r="E27" s="49">
        <f>+D27-C27</f>
        <v>-3</v>
      </c>
      <c r="F27" s="70">
        <f>IF(C27=0,0,+E27/C27)</f>
        <v>-0.12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884</v>
      </c>
      <c r="C28" s="49">
        <v>6</v>
      </c>
      <c r="D28" s="49">
        <v>8</v>
      </c>
      <c r="E28" s="49">
        <f>+D28-C28</f>
        <v>2</v>
      </c>
      <c r="F28" s="70">
        <f>IF(C28=0,0,+E28/C28)</f>
        <v>0.33333333333333331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885</v>
      </c>
      <c r="C29" s="49">
        <v>29</v>
      </c>
      <c r="D29" s="49">
        <v>62</v>
      </c>
      <c r="E29" s="49">
        <f>+D29-C29</f>
        <v>33</v>
      </c>
      <c r="F29" s="70">
        <f>IF(C29=0,0,+E29/C29)</f>
        <v>1.1379310344827587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886</v>
      </c>
      <c r="C30" s="49">
        <v>3</v>
      </c>
      <c r="D30" s="49">
        <v>5</v>
      </c>
      <c r="E30" s="49">
        <f>+D30-C30</f>
        <v>2</v>
      </c>
      <c r="F30" s="70">
        <f>IF(C30=0,0,+E30/C30)</f>
        <v>0.66666666666666663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887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888</v>
      </c>
      <c r="C33" s="51">
        <v>2445282</v>
      </c>
      <c r="D33" s="51">
        <v>2512309</v>
      </c>
      <c r="E33" s="51">
        <f>+D33-C33</f>
        <v>67027</v>
      </c>
      <c r="F33" s="70">
        <f>IF(C33=0,0,+E33/C33)</f>
        <v>2.7410744445834877E-2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889</v>
      </c>
      <c r="C34" s="49">
        <v>5166491</v>
      </c>
      <c r="D34" s="49">
        <v>4516605</v>
      </c>
      <c r="E34" s="49">
        <f>+D34-C34</f>
        <v>-649886</v>
      </c>
      <c r="F34" s="70">
        <f>IF(C34=0,0,+E34/C34)</f>
        <v>-0.12578866391134719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890</v>
      </c>
      <c r="C35" s="49">
        <v>0</v>
      </c>
      <c r="D35" s="49">
        <v>0</v>
      </c>
      <c r="E35" s="49">
        <f>+D35-C35</f>
        <v>0</v>
      </c>
      <c r="F35" s="70">
        <f>IF(C35=0,0,+E35/C35)</f>
        <v>0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891</v>
      </c>
      <c r="C36" s="27">
        <f>+C33+C34+C35</f>
        <v>7611773</v>
      </c>
      <c r="D36" s="27">
        <f>+D33+D34+D35</f>
        <v>7028914</v>
      </c>
      <c r="E36" s="27">
        <f>+E33+E34+E35</f>
        <v>-582859</v>
      </c>
      <c r="F36" s="28">
        <f>IF(C36=0,0,+E36/C36)</f>
        <v>-7.6573355511258684E-2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892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893</v>
      </c>
      <c r="C39" s="51">
        <f>+C25</f>
        <v>187766</v>
      </c>
      <c r="D39" s="51">
        <f>+D25</f>
        <v>192533</v>
      </c>
      <c r="E39" s="51">
        <f>+D39-C39</f>
        <v>4767</v>
      </c>
      <c r="F39" s="70">
        <f>IF(C39=0,0,+E39/C39)</f>
        <v>2.5387982914904721E-2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894</v>
      </c>
      <c r="C40" s="49">
        <f>+C36</f>
        <v>7611773</v>
      </c>
      <c r="D40" s="49">
        <f>+D36</f>
        <v>7028914</v>
      </c>
      <c r="E40" s="49">
        <f>+D40-C40</f>
        <v>-582859</v>
      </c>
      <c r="F40" s="70">
        <f>IF(C40=0,0,+E40/C40)</f>
        <v>-7.6573355511258684E-2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895</v>
      </c>
      <c r="C41" s="27">
        <f>+C39+C40</f>
        <v>7799539</v>
      </c>
      <c r="D41" s="27">
        <f>+D39+D40</f>
        <v>7221447</v>
      </c>
      <c r="E41" s="27">
        <f>+E39+E40</f>
        <v>-578092</v>
      </c>
      <c r="F41" s="28">
        <f>IF(C41=0,0,+E41/C41)</f>
        <v>-7.411873958191631E-2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896</v>
      </c>
      <c r="C43" s="51">
        <f t="shared" ref="C43:D45" si="0">+C22+C33</f>
        <v>2555631</v>
      </c>
      <c r="D43" s="51">
        <f t="shared" si="0"/>
        <v>2612221</v>
      </c>
      <c r="E43" s="51">
        <f>+D43-C43</f>
        <v>56590</v>
      </c>
      <c r="F43" s="70">
        <f>IF(C43=0,0,+E43/C43)</f>
        <v>2.2143259335952646E-2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897</v>
      </c>
      <c r="C44" s="49">
        <f t="shared" si="0"/>
        <v>5185096</v>
      </c>
      <c r="D44" s="49">
        <f t="shared" si="0"/>
        <v>4533357</v>
      </c>
      <c r="E44" s="49">
        <f>+D44-C44</f>
        <v>-651739</v>
      </c>
      <c r="F44" s="70">
        <f>IF(C44=0,0,+E44/C44)</f>
        <v>-0.12569468337712553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898</v>
      </c>
      <c r="C45" s="49">
        <f t="shared" si="0"/>
        <v>58812</v>
      </c>
      <c r="D45" s="49">
        <f t="shared" si="0"/>
        <v>75869</v>
      </c>
      <c r="E45" s="49">
        <f>+D45-C45</f>
        <v>17057</v>
      </c>
      <c r="F45" s="70">
        <f>IF(C45=0,0,+E45/C45)</f>
        <v>0.29002584506563284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895</v>
      </c>
      <c r="C46" s="27">
        <f>+C43+C44+C45</f>
        <v>7799539</v>
      </c>
      <c r="D46" s="27">
        <f>+D43+D44+D45</f>
        <v>7221447</v>
      </c>
      <c r="E46" s="27">
        <f>+E43+E44+E45</f>
        <v>-578092</v>
      </c>
      <c r="F46" s="28">
        <f>IF(C46=0,0,+E46/C46)</f>
        <v>-7.411873958191631E-2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899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r:id="rId1"/>
  <headerFooter>
    <oddHeader>&amp;LOFFICE OF HEALTH CARE ACCESS&amp;CTWELVE MONTHS ACTUAL FILING&amp;RMILFORD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610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611</v>
      </c>
      <c r="B4" s="712"/>
      <c r="C4" s="712"/>
      <c r="D4" s="712"/>
      <c r="E4" s="712"/>
      <c r="F4" s="713"/>
    </row>
    <row r="5" spans="1:14" ht="15.75" customHeight="1" x14ac:dyDescent="0.25">
      <c r="A5" s="711" t="s">
        <v>900</v>
      </c>
      <c r="B5" s="712"/>
      <c r="C5" s="712"/>
      <c r="D5" s="712"/>
      <c r="E5" s="712"/>
      <c r="F5" s="713"/>
    </row>
    <row r="6" spans="1:14" ht="15.75" customHeight="1" x14ac:dyDescent="0.25">
      <c r="A6" s="711" t="s">
        <v>901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616</v>
      </c>
      <c r="D9" s="35" t="s">
        <v>617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902</v>
      </c>
      <c r="D10" s="35" t="s">
        <v>902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903</v>
      </c>
      <c r="D11" s="605" t="s">
        <v>903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904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337</v>
      </c>
      <c r="C15" s="51">
        <v>71322702</v>
      </c>
      <c r="D15" s="51">
        <v>69988341</v>
      </c>
      <c r="E15" s="51">
        <f>+D15-C15</f>
        <v>-1334361</v>
      </c>
      <c r="F15" s="70">
        <f>+E15/C15</f>
        <v>-1.8708783635258238E-2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519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905</v>
      </c>
      <c r="C17" s="51">
        <v>34534290</v>
      </c>
      <c r="D17" s="51">
        <v>34368322</v>
      </c>
      <c r="E17" s="51">
        <f>+D17-C17</f>
        <v>-165968</v>
      </c>
      <c r="F17" s="70">
        <f>+E17/C17</f>
        <v>-4.8058900298804464E-3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906</v>
      </c>
      <c r="C19" s="27">
        <f>+C15-C17</f>
        <v>36788412</v>
      </c>
      <c r="D19" s="27">
        <f>+D15-D17</f>
        <v>35620019</v>
      </c>
      <c r="E19" s="27">
        <f>+D19-C19</f>
        <v>-1168393</v>
      </c>
      <c r="F19" s="28">
        <f>+E19/C19</f>
        <v>-3.1759810670816672E-2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907</v>
      </c>
      <c r="C21" s="628">
        <f>+C17/C15</f>
        <v>0.48419772430943514</v>
      </c>
      <c r="D21" s="628">
        <f>+D17/D15</f>
        <v>0.49105781775853208</v>
      </c>
      <c r="E21" s="628">
        <f>+D21-C21</f>
        <v>6.8600934490969379E-3</v>
      </c>
      <c r="F21" s="28">
        <f>+E21/C21</f>
        <v>1.4167958882666854E-2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519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519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519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519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908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r:id="rId1"/>
  <headerFooter>
    <oddHeader>&amp;L&amp;12OFFICE OF HEALTH CARE ACCESS&amp;C&amp;12TWELVE MONTHS ACTUAL FILING&amp;R&amp;12MILFORD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/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909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910</v>
      </c>
      <c r="B6" s="632" t="s">
        <v>911</v>
      </c>
      <c r="C6" s="632" t="s">
        <v>912</v>
      </c>
      <c r="D6" s="632" t="s">
        <v>913</v>
      </c>
      <c r="E6" s="632" t="s">
        <v>914</v>
      </c>
    </row>
    <row r="7" spans="1:6" ht="37.5" customHeight="1" x14ac:dyDescent="0.25">
      <c r="A7" s="633" t="s">
        <v>8</v>
      </c>
      <c r="B7" s="634" t="s">
        <v>915</v>
      </c>
      <c r="C7" s="631" t="s">
        <v>916</v>
      </c>
      <c r="D7" s="631" t="s">
        <v>917</v>
      </c>
      <c r="E7" s="631" t="s">
        <v>918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919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920</v>
      </c>
      <c r="C10" s="641">
        <v>115664811</v>
      </c>
      <c r="D10" s="641">
        <v>95337039</v>
      </c>
      <c r="E10" s="641">
        <v>96546778</v>
      </c>
    </row>
    <row r="11" spans="1:6" ht="26.1" customHeight="1" x14ac:dyDescent="0.25">
      <c r="A11" s="639">
        <v>2</v>
      </c>
      <c r="B11" s="640" t="s">
        <v>921</v>
      </c>
      <c r="C11" s="641">
        <v>88631335</v>
      </c>
      <c r="D11" s="641">
        <v>88772941</v>
      </c>
      <c r="E11" s="641">
        <v>92875386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204296146</v>
      </c>
      <c r="D12" s="641">
        <f>+D11+D10</f>
        <v>184109980</v>
      </c>
      <c r="E12" s="641">
        <f>+E11+E10</f>
        <v>189422164</v>
      </c>
    </row>
    <row r="13" spans="1:6" ht="26.1" customHeight="1" x14ac:dyDescent="0.25">
      <c r="A13" s="639">
        <v>4</v>
      </c>
      <c r="B13" s="640" t="s">
        <v>496</v>
      </c>
      <c r="C13" s="641">
        <v>78229898</v>
      </c>
      <c r="D13" s="641">
        <v>79860535</v>
      </c>
      <c r="E13" s="641">
        <v>84451715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336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922</v>
      </c>
      <c r="C16" s="641">
        <v>86047738</v>
      </c>
      <c r="D16" s="641">
        <v>85587522</v>
      </c>
      <c r="E16" s="641">
        <v>90685854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923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384</v>
      </c>
      <c r="C19" s="644">
        <v>17708</v>
      </c>
      <c r="D19" s="644">
        <v>17312</v>
      </c>
      <c r="E19" s="644">
        <v>14756</v>
      </c>
    </row>
    <row r="20" spans="1:5" ht="26.1" customHeight="1" x14ac:dyDescent="0.25">
      <c r="A20" s="639">
        <v>2</v>
      </c>
      <c r="B20" s="640" t="s">
        <v>385</v>
      </c>
      <c r="C20" s="645">
        <v>4540</v>
      </c>
      <c r="D20" s="645">
        <v>4374</v>
      </c>
      <c r="E20" s="645">
        <v>3580</v>
      </c>
    </row>
    <row r="21" spans="1:5" ht="26.1" customHeight="1" x14ac:dyDescent="0.25">
      <c r="A21" s="639">
        <v>3</v>
      </c>
      <c r="B21" s="640" t="s">
        <v>924</v>
      </c>
      <c r="C21" s="646">
        <f>IF(C20=0,0,+C19/C20)</f>
        <v>3.9004405286343613</v>
      </c>
      <c r="D21" s="646">
        <f>IF(D20=0,0,+D19/D20)</f>
        <v>3.9579332418838593</v>
      </c>
      <c r="E21" s="646">
        <f>IF(E20=0,0,+E19/E20)</f>
        <v>4.1217877094972071</v>
      </c>
    </row>
    <row r="22" spans="1:5" ht="26.1" customHeight="1" x14ac:dyDescent="0.25">
      <c r="A22" s="639">
        <v>4</v>
      </c>
      <c r="B22" s="640" t="s">
        <v>925</v>
      </c>
      <c r="C22" s="645">
        <f>IF(C10=0,0,C19*(C12/C10))</f>
        <v>31277.240866005479</v>
      </c>
      <c r="D22" s="645">
        <f>IF(D10=0,0,D19*(D12/D10))</f>
        <v>33432.042857550885</v>
      </c>
      <c r="E22" s="645">
        <f>IF(E10=0,0,E19*(E12/E10))</f>
        <v>28950.872415276252</v>
      </c>
    </row>
    <row r="23" spans="1:5" ht="26.1" customHeight="1" x14ac:dyDescent="0.25">
      <c r="A23" s="639">
        <v>0</v>
      </c>
      <c r="B23" s="640" t="s">
        <v>926</v>
      </c>
      <c r="C23" s="645">
        <f>IF(C10=0,0,C20*(C12/C10))</f>
        <v>8018.8995669564538</v>
      </c>
      <c r="D23" s="645">
        <f>IF(D10=0,0,D20*(D12/D10))</f>
        <v>8446.8435454556129</v>
      </c>
      <c r="E23" s="645">
        <f>IF(E10=0,0,E20*(E12/E10))</f>
        <v>7023.8630554817692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333</v>
      </c>
      <c r="B25" s="642" t="s">
        <v>927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434</v>
      </c>
      <c r="C26" s="647">
        <v>1.3080150132158592</v>
      </c>
      <c r="D26" s="647">
        <v>1.2994525880201189</v>
      </c>
      <c r="E26" s="647">
        <v>1.3824720837988829</v>
      </c>
    </row>
    <row r="27" spans="1:5" ht="26.1" customHeight="1" x14ac:dyDescent="0.25">
      <c r="A27" s="639">
        <v>2</v>
      </c>
      <c r="B27" s="640" t="s">
        <v>928</v>
      </c>
      <c r="C27" s="645">
        <f>C19*C26</f>
        <v>23162.329854026437</v>
      </c>
      <c r="D27" s="645">
        <f>D19*D26</f>
        <v>22496.123203804298</v>
      </c>
      <c r="E27" s="645">
        <f>E19*E26</f>
        <v>20399.758068536317</v>
      </c>
    </row>
    <row r="28" spans="1:5" ht="26.1" customHeight="1" x14ac:dyDescent="0.25">
      <c r="A28" s="639">
        <v>3</v>
      </c>
      <c r="B28" s="640" t="s">
        <v>929</v>
      </c>
      <c r="C28" s="645">
        <f>C20*C26</f>
        <v>5938.3881600000004</v>
      </c>
      <c r="D28" s="645">
        <f>D20*D26</f>
        <v>5683.8056200000001</v>
      </c>
      <c r="E28" s="645">
        <f>E20*E26</f>
        <v>4949.2500600000003</v>
      </c>
    </row>
    <row r="29" spans="1:5" ht="26.1" customHeight="1" x14ac:dyDescent="0.25">
      <c r="A29" s="639">
        <v>4</v>
      </c>
      <c r="B29" s="640" t="s">
        <v>930</v>
      </c>
      <c r="C29" s="645">
        <f>C22*C26</f>
        <v>40911.100624703766</v>
      </c>
      <c r="D29" s="645">
        <f>D22*D26</f>
        <v>43443.35461404403</v>
      </c>
      <c r="E29" s="645">
        <f>E22*E26</f>
        <v>40023.772915742557</v>
      </c>
    </row>
    <row r="30" spans="1:5" ht="26.1" customHeight="1" x14ac:dyDescent="0.25">
      <c r="A30" s="639">
        <v>5</v>
      </c>
      <c r="B30" s="640" t="s">
        <v>931</v>
      </c>
      <c r="C30" s="645">
        <f>C23*C26</f>
        <v>10488.841023049194</v>
      </c>
      <c r="D30" s="645">
        <f>D23*D26</f>
        <v>10976.272705743333</v>
      </c>
      <c r="E30" s="645">
        <f>E23*E26</f>
        <v>9710.2945946298696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354</v>
      </c>
      <c r="B32" s="634" t="s">
        <v>932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933</v>
      </c>
      <c r="C33" s="641">
        <f>IF(C19=0,0,C12/C19)</f>
        <v>11536.940704766208</v>
      </c>
      <c r="D33" s="641">
        <f>IF(D19=0,0,D12/D19)</f>
        <v>10634.818622920518</v>
      </c>
      <c r="E33" s="641">
        <f>IF(E19=0,0,E12/E19)</f>
        <v>12836.958796421795</v>
      </c>
    </row>
    <row r="34" spans="1:5" ht="26.1" customHeight="1" x14ac:dyDescent="0.25">
      <c r="A34" s="639">
        <v>2</v>
      </c>
      <c r="B34" s="640" t="s">
        <v>934</v>
      </c>
      <c r="C34" s="641">
        <f>IF(C20=0,0,C12/C20)</f>
        <v>44999.151101321586</v>
      </c>
      <c r="D34" s="641">
        <f>IF(D20=0,0,D12/D20)</f>
        <v>42091.90214906264</v>
      </c>
      <c r="E34" s="641">
        <f>IF(E20=0,0,E12/E20)</f>
        <v>52911.218994413408</v>
      </c>
    </row>
    <row r="35" spans="1:5" ht="26.1" customHeight="1" x14ac:dyDescent="0.25">
      <c r="A35" s="639">
        <v>3</v>
      </c>
      <c r="B35" s="640" t="s">
        <v>935</v>
      </c>
      <c r="C35" s="641">
        <f>IF(C22=0,0,C12/C22)</f>
        <v>6531.7828665010165</v>
      </c>
      <c r="D35" s="641">
        <f>IF(D22=0,0,D12/D22)</f>
        <v>5506.9916243068392</v>
      </c>
      <c r="E35" s="641">
        <f>IF(E22=0,0,E12/E22)</f>
        <v>6542.8827595554349</v>
      </c>
    </row>
    <row r="36" spans="1:5" ht="26.1" customHeight="1" x14ac:dyDescent="0.25">
      <c r="A36" s="639">
        <v>4</v>
      </c>
      <c r="B36" s="640" t="s">
        <v>936</v>
      </c>
      <c r="C36" s="641">
        <f>IF(C23=0,0,C12/C23)</f>
        <v>25476.830616740088</v>
      </c>
      <c r="D36" s="641">
        <f>IF(D23=0,0,D12/D23)</f>
        <v>21796.305212620027</v>
      </c>
      <c r="E36" s="641">
        <f>IF(E23=0,0,E12/E23)</f>
        <v>26968.373743016757</v>
      </c>
    </row>
    <row r="37" spans="1:5" ht="26.1" customHeight="1" x14ac:dyDescent="0.25">
      <c r="A37" s="639">
        <v>5</v>
      </c>
      <c r="B37" s="640" t="s">
        <v>937</v>
      </c>
      <c r="C37" s="641">
        <f>IF(C29=0,0,C12/C29)</f>
        <v>4993.6604706410117</v>
      </c>
      <c r="D37" s="641">
        <f>IF(D29=0,0,D12/D29)</f>
        <v>4237.931937707277</v>
      </c>
      <c r="E37" s="641">
        <f>IF(E29=0,0,E12/E29)</f>
        <v>4732.7413234821388</v>
      </c>
    </row>
    <row r="38" spans="1:5" ht="26.1" customHeight="1" x14ac:dyDescent="0.25">
      <c r="A38" s="639">
        <v>6</v>
      </c>
      <c r="B38" s="640" t="s">
        <v>938</v>
      </c>
      <c r="C38" s="641">
        <f>IF(C30=0,0,C12/C30)</f>
        <v>19477.47568592754</v>
      </c>
      <c r="D38" s="641">
        <f>IF(D30=0,0,D12/D30)</f>
        <v>16773.451693092909</v>
      </c>
      <c r="E38" s="641">
        <f>IF(E30=0,0,E12/E30)</f>
        <v>19507.355019358223</v>
      </c>
    </row>
    <row r="39" spans="1:5" ht="26.1" customHeight="1" x14ac:dyDescent="0.25">
      <c r="A39" s="639">
        <v>7</v>
      </c>
      <c r="B39" s="640" t="s">
        <v>939</v>
      </c>
      <c r="C39" s="641">
        <f>IF(C22=0,0,C10/C22)</f>
        <v>3698.0503330047072</v>
      </c>
      <c r="D39" s="641">
        <f>IF(D22=0,0,D10/D22)</f>
        <v>2851.6665704880011</v>
      </c>
      <c r="E39" s="641">
        <f>IF(E22=0,0,E10/E22)</f>
        <v>3334.848657239635</v>
      </c>
    </row>
    <row r="40" spans="1:5" ht="26.1" customHeight="1" x14ac:dyDescent="0.25">
      <c r="A40" s="639">
        <v>8</v>
      </c>
      <c r="B40" s="640" t="s">
        <v>940</v>
      </c>
      <c r="C40" s="641">
        <f>IF(C23=0,0,C10/C23)</f>
        <v>14424.025395781355</v>
      </c>
      <c r="D40" s="641">
        <f>IF(D23=0,0,D10/D23)</f>
        <v>11286.705914103401</v>
      </c>
      <c r="E40" s="641">
        <f>IF(E23=0,0,E10/E23)</f>
        <v>13745.53820844359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366</v>
      </c>
      <c r="B42" s="634" t="s">
        <v>941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942</v>
      </c>
      <c r="C43" s="641">
        <f>IF(C19=0,0,C13/C19)</f>
        <v>4417.7715156991189</v>
      </c>
      <c r="D43" s="641">
        <f>IF(D19=0,0,D13/D19)</f>
        <v>4613.0161159889094</v>
      </c>
      <c r="E43" s="641">
        <f>IF(E19=0,0,E13/E19)</f>
        <v>5723.211913797777</v>
      </c>
    </row>
    <row r="44" spans="1:5" ht="26.1" customHeight="1" x14ac:dyDescent="0.25">
      <c r="A44" s="639">
        <v>2</v>
      </c>
      <c r="B44" s="640" t="s">
        <v>943</v>
      </c>
      <c r="C44" s="641">
        <f>IF(C20=0,0,C13/C20)</f>
        <v>17231.255066079295</v>
      </c>
      <c r="D44" s="641">
        <f>IF(D20=0,0,D13/D20)</f>
        <v>18258.009830818472</v>
      </c>
      <c r="E44" s="641">
        <f>IF(E20=0,0,E13/E20)</f>
        <v>23589.864525139667</v>
      </c>
    </row>
    <row r="45" spans="1:5" ht="26.1" customHeight="1" x14ac:dyDescent="0.25">
      <c r="A45" s="639">
        <v>3</v>
      </c>
      <c r="B45" s="640" t="s">
        <v>944</v>
      </c>
      <c r="C45" s="641">
        <f>IF(C22=0,0,C13/C22)</f>
        <v>2501.1764412066891</v>
      </c>
      <c r="D45" s="641">
        <f>IF(D22=0,0,D13/D22)</f>
        <v>2388.7423015181639</v>
      </c>
      <c r="E45" s="641">
        <f>IF(E22=0,0,E13/E22)</f>
        <v>2917.0697790591662</v>
      </c>
    </row>
    <row r="46" spans="1:5" ht="26.1" customHeight="1" x14ac:dyDescent="0.25">
      <c r="A46" s="639">
        <v>4</v>
      </c>
      <c r="B46" s="640" t="s">
        <v>945</v>
      </c>
      <c r="C46" s="641">
        <f>IF(C23=0,0,C13/C23)</f>
        <v>9755.6899605480266</v>
      </c>
      <c r="D46" s="641">
        <f>IF(D23=0,0,D13/D23)</f>
        <v>9454.4825614728979</v>
      </c>
      <c r="E46" s="641">
        <f>IF(E23=0,0,E13/E23)</f>
        <v>12023.542363071801</v>
      </c>
    </row>
    <row r="47" spans="1:5" ht="26.1" customHeight="1" x14ac:dyDescent="0.25">
      <c r="A47" s="639">
        <v>5</v>
      </c>
      <c r="B47" s="640" t="s">
        <v>946</v>
      </c>
      <c r="C47" s="641">
        <f>IF(C29=0,0,C13/C29)</f>
        <v>1912.1924564591559</v>
      </c>
      <c r="D47" s="641">
        <f>IF(D29=0,0,D13/D29)</f>
        <v>1838.2681473263417</v>
      </c>
      <c r="E47" s="641">
        <f>IF(E29=0,0,E13/E29)</f>
        <v>2110.0388306166556</v>
      </c>
    </row>
    <row r="48" spans="1:5" ht="26.1" customHeight="1" x14ac:dyDescent="0.25">
      <c r="A48" s="639">
        <v>6</v>
      </c>
      <c r="B48" s="640" t="s">
        <v>947</v>
      </c>
      <c r="C48" s="641">
        <f>IF(C30=0,0,C13/C30)</f>
        <v>7458.3929557221863</v>
      </c>
      <c r="D48" s="641">
        <f>IF(D30=0,0,D13/D30)</f>
        <v>7275.742607799184</v>
      </c>
      <c r="E48" s="641">
        <f>IF(E30=0,0,E13/E30)</f>
        <v>8697.1321185975903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378</v>
      </c>
      <c r="B50" s="634" t="s">
        <v>948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949</v>
      </c>
      <c r="C51" s="641">
        <f>IF(C19=0,0,C16/C19)</f>
        <v>4859.2578495595208</v>
      </c>
      <c r="D51" s="641">
        <f>IF(D19=0,0,D16/D19)</f>
        <v>4943.8263632162661</v>
      </c>
      <c r="E51" s="641">
        <f>IF(E19=0,0,E16/E19)</f>
        <v>6145.6935483870966</v>
      </c>
    </row>
    <row r="52" spans="1:6" ht="26.1" customHeight="1" x14ac:dyDescent="0.25">
      <c r="A52" s="639">
        <v>2</v>
      </c>
      <c r="B52" s="640" t="s">
        <v>950</v>
      </c>
      <c r="C52" s="641">
        <f>IF(C20=0,0,C16/C20)</f>
        <v>18953.246255506609</v>
      </c>
      <c r="D52" s="641">
        <f>IF(D20=0,0,D16/D20)</f>
        <v>19567.334705075446</v>
      </c>
      <c r="E52" s="641">
        <f>IF(E20=0,0,E16/E20)</f>
        <v>25331.244134078213</v>
      </c>
    </row>
    <row r="53" spans="1:6" ht="26.1" customHeight="1" x14ac:dyDescent="0.25">
      <c r="A53" s="639">
        <v>3</v>
      </c>
      <c r="B53" s="640" t="s">
        <v>951</v>
      </c>
      <c r="C53" s="641">
        <f>IF(C22=0,0,C16/C22)</f>
        <v>2751.1294352540963</v>
      </c>
      <c r="D53" s="641">
        <f>IF(D22=0,0,D16/D22)</f>
        <v>2560.044636359079</v>
      </c>
      <c r="E53" s="641">
        <f>IF(E22=0,0,E16/E22)</f>
        <v>3132.4048788301316</v>
      </c>
    </row>
    <row r="54" spans="1:6" ht="26.1" customHeight="1" x14ac:dyDescent="0.25">
      <c r="A54" s="639">
        <v>4</v>
      </c>
      <c r="B54" s="640" t="s">
        <v>952</v>
      </c>
      <c r="C54" s="641">
        <f>IF(C23=0,0,C16/C23)</f>
        <v>10730.616748784039</v>
      </c>
      <c r="D54" s="641">
        <f>IF(D23=0,0,D16/D23)</f>
        <v>10132.485766952075</v>
      </c>
      <c r="E54" s="641">
        <f>IF(E23=0,0,E16/E23)</f>
        <v>12911.107930731121</v>
      </c>
    </row>
    <row r="55" spans="1:6" ht="26.1" customHeight="1" x14ac:dyDescent="0.25">
      <c r="A55" s="639">
        <v>5</v>
      </c>
      <c r="B55" s="640" t="s">
        <v>953</v>
      </c>
      <c r="C55" s="641">
        <f>IF(C29=0,0,C16/C29)</f>
        <v>2103.2858242889929</v>
      </c>
      <c r="D55" s="641">
        <f>IF(D29=0,0,D16/D29)</f>
        <v>1970.0946844544994</v>
      </c>
      <c r="E55" s="641">
        <f>IF(E29=0,0,E16/E29)</f>
        <v>2265.7997333462413</v>
      </c>
    </row>
    <row r="56" spans="1:6" ht="26.1" customHeight="1" x14ac:dyDescent="0.25">
      <c r="A56" s="639">
        <v>6</v>
      </c>
      <c r="B56" s="640" t="s">
        <v>954</v>
      </c>
      <c r="C56" s="641">
        <f>IF(C30=0,0,C16/C30)</f>
        <v>8203.7412723589168</v>
      </c>
      <c r="D56" s="641">
        <f>IF(D30=0,0,D16/D30)</f>
        <v>7797.5032412611563</v>
      </c>
      <c r="E56" s="641">
        <f>IF(E30=0,0,E16/E30)</f>
        <v>9339.1454930885848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382</v>
      </c>
      <c r="B58" s="642" t="s">
        <v>955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956</v>
      </c>
      <c r="C59" s="649">
        <v>17871610</v>
      </c>
      <c r="D59" s="649">
        <v>16272813</v>
      </c>
      <c r="E59" s="649">
        <v>16612248</v>
      </c>
    </row>
    <row r="60" spans="1:6" ht="26.1" customHeight="1" x14ac:dyDescent="0.25">
      <c r="A60" s="639">
        <v>2</v>
      </c>
      <c r="B60" s="640" t="s">
        <v>957</v>
      </c>
      <c r="C60" s="649">
        <v>7469549</v>
      </c>
      <c r="D60" s="649">
        <v>6268543</v>
      </c>
      <c r="E60" s="649">
        <v>6871624</v>
      </c>
    </row>
    <row r="61" spans="1:6" ht="26.1" customHeight="1" x14ac:dyDescent="0.25">
      <c r="A61" s="650">
        <v>3</v>
      </c>
      <c r="B61" s="651" t="s">
        <v>958</v>
      </c>
      <c r="C61" s="652">
        <f>C59+C60</f>
        <v>25341159</v>
      </c>
      <c r="D61" s="652">
        <f>D59+D60</f>
        <v>22541356</v>
      </c>
      <c r="E61" s="652">
        <f>E59+E60</f>
        <v>23483872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959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960</v>
      </c>
      <c r="C64" s="641">
        <v>5249817</v>
      </c>
      <c r="D64" s="641">
        <v>5349273</v>
      </c>
      <c r="E64" s="649">
        <v>5506935</v>
      </c>
      <c r="F64" s="653"/>
    </row>
    <row r="65" spans="1:6" ht="26.1" customHeight="1" x14ac:dyDescent="0.25">
      <c r="A65" s="639">
        <v>2</v>
      </c>
      <c r="B65" s="640" t="s">
        <v>961</v>
      </c>
      <c r="C65" s="649">
        <v>1170003</v>
      </c>
      <c r="D65" s="649">
        <v>867350</v>
      </c>
      <c r="E65" s="649">
        <v>771654</v>
      </c>
      <c r="F65" s="653"/>
    </row>
    <row r="66" spans="1:6" ht="26.1" customHeight="1" x14ac:dyDescent="0.25">
      <c r="A66" s="650">
        <v>3</v>
      </c>
      <c r="B66" s="651" t="s">
        <v>962</v>
      </c>
      <c r="C66" s="654">
        <f>C64+C65</f>
        <v>6419820</v>
      </c>
      <c r="D66" s="654">
        <f>D64+D65</f>
        <v>6216623</v>
      </c>
      <c r="E66" s="654">
        <f>E64+E65</f>
        <v>6278589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408</v>
      </c>
      <c r="B68" s="642" t="s">
        <v>963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964</v>
      </c>
      <c r="C69" s="649">
        <v>14239774</v>
      </c>
      <c r="D69" s="649">
        <v>16329168</v>
      </c>
      <c r="E69" s="649">
        <v>15846036</v>
      </c>
    </row>
    <row r="70" spans="1:6" ht="26.1" customHeight="1" x14ac:dyDescent="0.25">
      <c r="A70" s="639">
        <v>2</v>
      </c>
      <c r="B70" s="640" t="s">
        <v>965</v>
      </c>
      <c r="C70" s="649">
        <v>5868930</v>
      </c>
      <c r="D70" s="649">
        <v>6291068</v>
      </c>
      <c r="E70" s="649">
        <v>6895421</v>
      </c>
    </row>
    <row r="71" spans="1:6" ht="26.1" customHeight="1" x14ac:dyDescent="0.25">
      <c r="A71" s="650">
        <v>3</v>
      </c>
      <c r="B71" s="651" t="s">
        <v>966</v>
      </c>
      <c r="C71" s="652">
        <f>C69+C70</f>
        <v>20108704</v>
      </c>
      <c r="D71" s="652">
        <f>D69+D70</f>
        <v>22620236</v>
      </c>
      <c r="E71" s="652">
        <f>E69+E70</f>
        <v>22741457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424</v>
      </c>
      <c r="B74" s="642" t="s">
        <v>967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968</v>
      </c>
      <c r="C75" s="641">
        <f t="shared" ref="C75:E76" si="0">+C59+C64+C69</f>
        <v>37361201</v>
      </c>
      <c r="D75" s="641">
        <f t="shared" si="0"/>
        <v>37951254</v>
      </c>
      <c r="E75" s="641">
        <f t="shared" si="0"/>
        <v>37965219</v>
      </c>
    </row>
    <row r="76" spans="1:6" ht="26.1" customHeight="1" x14ac:dyDescent="0.25">
      <c r="A76" s="639">
        <v>2</v>
      </c>
      <c r="B76" s="640" t="s">
        <v>969</v>
      </c>
      <c r="C76" s="641">
        <f t="shared" si="0"/>
        <v>14508482</v>
      </c>
      <c r="D76" s="641">
        <f t="shared" si="0"/>
        <v>13426961</v>
      </c>
      <c r="E76" s="641">
        <f t="shared" si="0"/>
        <v>14538699</v>
      </c>
    </row>
    <row r="77" spans="1:6" ht="26.1" customHeight="1" x14ac:dyDescent="0.25">
      <c r="A77" s="650">
        <v>3</v>
      </c>
      <c r="B77" s="651" t="s">
        <v>967</v>
      </c>
      <c r="C77" s="654">
        <f>C75+C76</f>
        <v>51869683</v>
      </c>
      <c r="D77" s="654">
        <f>D75+D76</f>
        <v>51378215</v>
      </c>
      <c r="E77" s="654">
        <f>E75+E76</f>
        <v>52503918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433</v>
      </c>
      <c r="B79" s="642" t="s">
        <v>970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596</v>
      </c>
      <c r="C80" s="646">
        <v>217.4</v>
      </c>
      <c r="D80" s="646">
        <v>196</v>
      </c>
      <c r="E80" s="646">
        <v>195</v>
      </c>
    </row>
    <row r="81" spans="1:5" ht="26.1" customHeight="1" x14ac:dyDescent="0.25">
      <c r="A81" s="639">
        <v>2</v>
      </c>
      <c r="B81" s="640" t="s">
        <v>597</v>
      </c>
      <c r="C81" s="646">
        <v>21.2</v>
      </c>
      <c r="D81" s="646">
        <v>21.5</v>
      </c>
      <c r="E81" s="646">
        <v>18</v>
      </c>
    </row>
    <row r="82" spans="1:5" ht="26.1" customHeight="1" x14ac:dyDescent="0.25">
      <c r="A82" s="639">
        <v>3</v>
      </c>
      <c r="B82" s="640" t="s">
        <v>971</v>
      </c>
      <c r="C82" s="646">
        <v>285.39999999999998</v>
      </c>
      <c r="D82" s="646">
        <v>287.5</v>
      </c>
      <c r="E82" s="646">
        <v>294</v>
      </c>
    </row>
    <row r="83" spans="1:5" ht="26.1" customHeight="1" x14ac:dyDescent="0.25">
      <c r="A83" s="650">
        <v>4</v>
      </c>
      <c r="B83" s="651" t="s">
        <v>970</v>
      </c>
      <c r="C83" s="656">
        <f>C80+C81+C82</f>
        <v>524</v>
      </c>
      <c r="D83" s="656">
        <f>D80+D81+D82</f>
        <v>505</v>
      </c>
      <c r="E83" s="656">
        <f>E80+E81+E82</f>
        <v>507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436</v>
      </c>
      <c r="B85" s="642" t="s">
        <v>972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973</v>
      </c>
      <c r="C86" s="649">
        <f>IF(C80=0,0,C59/C80)</f>
        <v>82206.117755289786</v>
      </c>
      <c r="D86" s="649">
        <f>IF(D80=0,0,D59/D80)</f>
        <v>83024.556122448979</v>
      </c>
      <c r="E86" s="649">
        <f>IF(E80=0,0,E59/E80)</f>
        <v>85191.015384615384</v>
      </c>
    </row>
    <row r="87" spans="1:5" ht="26.1" customHeight="1" x14ac:dyDescent="0.25">
      <c r="A87" s="639">
        <v>2</v>
      </c>
      <c r="B87" s="640" t="s">
        <v>974</v>
      </c>
      <c r="C87" s="649">
        <f>IF(C80=0,0,C60/C80)</f>
        <v>34358.55105795768</v>
      </c>
      <c r="D87" s="649">
        <f>IF(D80=0,0,D60/D80)</f>
        <v>31982.362244897959</v>
      </c>
      <c r="E87" s="649">
        <f>IF(E80=0,0,E60/E80)</f>
        <v>35239.097435897434</v>
      </c>
    </row>
    <row r="88" spans="1:5" ht="26.1" customHeight="1" x14ac:dyDescent="0.25">
      <c r="A88" s="650">
        <v>3</v>
      </c>
      <c r="B88" s="651" t="s">
        <v>975</v>
      </c>
      <c r="C88" s="652">
        <f>+C86+C87</f>
        <v>116564.66881324747</v>
      </c>
      <c r="D88" s="652">
        <f>+D86+D87</f>
        <v>115006.91836734694</v>
      </c>
      <c r="E88" s="652">
        <f>+E86+E87</f>
        <v>120430.11282051282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594</v>
      </c>
      <c r="B90" s="642" t="s">
        <v>976</v>
      </c>
    </row>
    <row r="91" spans="1:5" ht="26.1" customHeight="1" x14ac:dyDescent="0.25">
      <c r="A91" s="639">
        <v>1</v>
      </c>
      <c r="B91" s="640" t="s">
        <v>977</v>
      </c>
      <c r="C91" s="641">
        <f>IF(C81=0,0,C64/C81)</f>
        <v>247632.87735849057</v>
      </c>
      <c r="D91" s="641">
        <f>IF(D81=0,0,D64/D81)</f>
        <v>248803.39534883722</v>
      </c>
      <c r="E91" s="641">
        <f>IF(E81=0,0,E64/E81)</f>
        <v>305940.83333333331</v>
      </c>
    </row>
    <row r="92" spans="1:5" ht="26.1" customHeight="1" x14ac:dyDescent="0.25">
      <c r="A92" s="639">
        <v>2</v>
      </c>
      <c r="B92" s="640" t="s">
        <v>978</v>
      </c>
      <c r="C92" s="641">
        <f>IF(C81=0,0,C65/C81)</f>
        <v>55188.82075471698</v>
      </c>
      <c r="D92" s="641">
        <f>IF(D81=0,0,D65/D81)</f>
        <v>40341.860465116282</v>
      </c>
      <c r="E92" s="641">
        <f>IF(E81=0,0,E65/E81)</f>
        <v>42869.666666666664</v>
      </c>
    </row>
    <row r="93" spans="1:5" ht="26.1" customHeight="1" x14ac:dyDescent="0.25">
      <c r="A93" s="650">
        <v>3</v>
      </c>
      <c r="B93" s="651" t="s">
        <v>979</v>
      </c>
      <c r="C93" s="654">
        <f>+C91+C92</f>
        <v>302821.69811320753</v>
      </c>
      <c r="D93" s="654">
        <f>+D91+D92</f>
        <v>289145.25581395352</v>
      </c>
      <c r="E93" s="654">
        <f>+E91+E92</f>
        <v>348810.5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980</v>
      </c>
      <c r="B95" s="642" t="s">
        <v>981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982</v>
      </c>
      <c r="C96" s="649">
        <f>IF(C82=0,0,C69/C82)</f>
        <v>49894.092501751933</v>
      </c>
      <c r="D96" s="649">
        <f>IF(D82=0,0,D69/D82)</f>
        <v>56797.106086956519</v>
      </c>
      <c r="E96" s="649">
        <f>IF(E82=0,0,E69/E82)</f>
        <v>53898.081632653062</v>
      </c>
    </row>
    <row r="97" spans="1:5" ht="26.1" customHeight="1" x14ac:dyDescent="0.25">
      <c r="A97" s="639">
        <v>2</v>
      </c>
      <c r="B97" s="640" t="s">
        <v>983</v>
      </c>
      <c r="C97" s="649">
        <f>IF(C82=0,0,C70/C82)</f>
        <v>20563.875262789068</v>
      </c>
      <c r="D97" s="649">
        <f>IF(D82=0,0,D70/D82)</f>
        <v>21881.975652173915</v>
      </c>
      <c r="E97" s="649">
        <f>IF(E82=0,0,E70/E82)</f>
        <v>23453.812925170067</v>
      </c>
    </row>
    <row r="98" spans="1:5" ht="26.1" customHeight="1" x14ac:dyDescent="0.25">
      <c r="A98" s="650">
        <v>3</v>
      </c>
      <c r="B98" s="651" t="s">
        <v>984</v>
      </c>
      <c r="C98" s="654">
        <f>+C96+C97</f>
        <v>70457.967764540997</v>
      </c>
      <c r="D98" s="654">
        <f>+D96+D97</f>
        <v>78679.08173913043</v>
      </c>
      <c r="E98" s="654">
        <f>+E96+E97</f>
        <v>77351.894557823136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985</v>
      </c>
      <c r="B100" s="642" t="s">
        <v>986</v>
      </c>
    </row>
    <row r="101" spans="1:5" ht="26.1" customHeight="1" x14ac:dyDescent="0.25">
      <c r="A101" s="639">
        <v>1</v>
      </c>
      <c r="B101" s="640" t="s">
        <v>987</v>
      </c>
      <c r="C101" s="641">
        <f>IF(C83=0,0,C75/C83)</f>
        <v>71300.001908396953</v>
      </c>
      <c r="D101" s="641">
        <f>IF(D83=0,0,D75/D83)</f>
        <v>75150.998019801977</v>
      </c>
      <c r="E101" s="641">
        <f>IF(E83=0,0,E75/E83)</f>
        <v>74882.088757396443</v>
      </c>
    </row>
    <row r="102" spans="1:5" ht="26.1" customHeight="1" x14ac:dyDescent="0.25">
      <c r="A102" s="639">
        <v>2</v>
      </c>
      <c r="B102" s="640" t="s">
        <v>988</v>
      </c>
      <c r="C102" s="658">
        <f>IF(C83=0,0,C76/C83)</f>
        <v>27687.942748091602</v>
      </c>
      <c r="D102" s="658">
        <f>IF(D83=0,0,D76/D83)</f>
        <v>26588.041584158414</v>
      </c>
      <c r="E102" s="658">
        <f>IF(E83=0,0,E76/E83)</f>
        <v>28675.934911242603</v>
      </c>
    </row>
    <row r="103" spans="1:5" ht="26.1" customHeight="1" x14ac:dyDescent="0.25">
      <c r="A103" s="650">
        <v>3</v>
      </c>
      <c r="B103" s="651" t="s">
        <v>986</v>
      </c>
      <c r="C103" s="654">
        <f>+C101+C102</f>
        <v>98987.944656488558</v>
      </c>
      <c r="D103" s="654">
        <f>+D101+D102</f>
        <v>101739.03960396039</v>
      </c>
      <c r="E103" s="654">
        <f>+E101+E102</f>
        <v>103558.02366863904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989</v>
      </c>
      <c r="B107" s="634" t="s">
        <v>990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991</v>
      </c>
      <c r="C108" s="641">
        <f>IF(C19=0,0,C77/C19)</f>
        <v>2929.1666478427828</v>
      </c>
      <c r="D108" s="641">
        <f>IF(D19=0,0,D77/D19)</f>
        <v>2967.7804413123845</v>
      </c>
      <c r="E108" s="641">
        <f>IF(E19=0,0,E77/E19)</f>
        <v>3558.1402819192194</v>
      </c>
    </row>
    <row r="109" spans="1:5" ht="26.1" customHeight="1" x14ac:dyDescent="0.25">
      <c r="A109" s="639">
        <v>2</v>
      </c>
      <c r="B109" s="640" t="s">
        <v>992</v>
      </c>
      <c r="C109" s="641">
        <f>IF(C20=0,0,C77/C20)</f>
        <v>11425.040308370044</v>
      </c>
      <c r="D109" s="641">
        <f>IF(D20=0,0,D77/D20)</f>
        <v>11746.276863283036</v>
      </c>
      <c r="E109" s="641">
        <f>IF(E20=0,0,E77/E20)</f>
        <v>14665.898882681564</v>
      </c>
    </row>
    <row r="110" spans="1:5" ht="26.1" customHeight="1" x14ac:dyDescent="0.25">
      <c r="A110" s="639">
        <v>3</v>
      </c>
      <c r="B110" s="640" t="s">
        <v>993</v>
      </c>
      <c r="C110" s="641">
        <f>IF(C22=0,0,C77/C22)</f>
        <v>1658.3842296772405</v>
      </c>
      <c r="D110" s="641">
        <f>IF(D22=0,0,D77/D22)</f>
        <v>1536.7955592458161</v>
      </c>
      <c r="E110" s="641">
        <f>IF(E22=0,0,E77/E22)</f>
        <v>1813.5521875429122</v>
      </c>
    </row>
    <row r="111" spans="1:5" ht="26.1" customHeight="1" x14ac:dyDescent="0.25">
      <c r="A111" s="639">
        <v>4</v>
      </c>
      <c r="B111" s="640" t="s">
        <v>994</v>
      </c>
      <c r="C111" s="641">
        <f>IF(C23=0,0,C77/C23)</f>
        <v>6468.4290614811835</v>
      </c>
      <c r="D111" s="641">
        <f>IF(D23=0,0,D77/D23)</f>
        <v>6082.5342299185104</v>
      </c>
      <c r="E111" s="641">
        <f>IF(E23=0,0,E77/E23)</f>
        <v>7475.0771171461483</v>
      </c>
    </row>
    <row r="112" spans="1:5" ht="26.1" customHeight="1" x14ac:dyDescent="0.25">
      <c r="A112" s="639">
        <v>5</v>
      </c>
      <c r="B112" s="640" t="s">
        <v>995</v>
      </c>
      <c r="C112" s="641">
        <f>IF(C29=0,0,C77/C29)</f>
        <v>1267.8632989081452</v>
      </c>
      <c r="D112" s="641">
        <f>IF(D29=0,0,D77/D29)</f>
        <v>1182.6484270482845</v>
      </c>
      <c r="E112" s="641">
        <f>IF(E29=0,0,E77/E29)</f>
        <v>1311.8183063483409</v>
      </c>
    </row>
    <row r="113" spans="1:7" ht="25.5" customHeight="1" x14ac:dyDescent="0.25">
      <c r="A113" s="639">
        <v>6</v>
      </c>
      <c r="B113" s="640" t="s">
        <v>996</v>
      </c>
      <c r="C113" s="641">
        <f>IF(C30=0,0,C77/C30)</f>
        <v>4945.2253958293904</v>
      </c>
      <c r="D113" s="641">
        <f>IF(D30=0,0,D77/D30)</f>
        <v>4680.8435228760627</v>
      </c>
      <c r="E113" s="641">
        <f>IF(E30=0,0,E77/E30)</f>
        <v>5407.0365722000333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r:id="rId1"/>
  <headerFooter>
    <oddHeader>&amp;L&amp;12OFFICE OF HEALTH CARE ACCESS&amp;C&amp;12TWELVE MONTHS ACTUAL FILING&amp;R&amp;12MILFORD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184109979</v>
      </c>
      <c r="D12" s="51">
        <v>189422163</v>
      </c>
      <c r="E12" s="51">
        <f t="shared" ref="E12:E19" si="0">D12-C12</f>
        <v>5312184</v>
      </c>
      <c r="F12" s="70">
        <f t="shared" ref="F12:F19" si="1">IF(C12=0,0,E12/C12)</f>
        <v>2.885331924349413E-2</v>
      </c>
    </row>
    <row r="13" spans="1:8" ht="23.1" customHeight="1" x14ac:dyDescent="0.2">
      <c r="A13" s="25">
        <v>2</v>
      </c>
      <c r="B13" s="48" t="s">
        <v>72</v>
      </c>
      <c r="C13" s="51">
        <v>104061678</v>
      </c>
      <c r="D13" s="51">
        <v>104777915</v>
      </c>
      <c r="E13" s="51">
        <f t="shared" si="0"/>
        <v>716237</v>
      </c>
      <c r="F13" s="70">
        <f t="shared" si="1"/>
        <v>6.8828123259746009E-3</v>
      </c>
    </row>
    <row r="14" spans="1:8" ht="23.1" customHeight="1" x14ac:dyDescent="0.2">
      <c r="A14" s="25">
        <v>3</v>
      </c>
      <c r="B14" s="48" t="s">
        <v>73</v>
      </c>
      <c r="C14" s="51">
        <v>187766</v>
      </c>
      <c r="D14" s="51">
        <v>192533</v>
      </c>
      <c r="E14" s="51">
        <f t="shared" si="0"/>
        <v>4767</v>
      </c>
      <c r="F14" s="70">
        <f t="shared" si="1"/>
        <v>2.5387982914904721E-2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79860535</v>
      </c>
      <c r="D16" s="27">
        <f>D12-D13-D14-D15</f>
        <v>84451715</v>
      </c>
      <c r="E16" s="27">
        <f t="shared" si="0"/>
        <v>4591180</v>
      </c>
      <c r="F16" s="28">
        <f t="shared" si="1"/>
        <v>5.7489972988535573E-2</v>
      </c>
    </row>
    <row r="17" spans="1:7" ht="23.1" customHeight="1" x14ac:dyDescent="0.2">
      <c r="A17" s="25">
        <v>5</v>
      </c>
      <c r="B17" s="48" t="s">
        <v>76</v>
      </c>
      <c r="C17" s="51">
        <v>653094</v>
      </c>
      <c r="D17" s="51">
        <v>2505143</v>
      </c>
      <c r="E17" s="51">
        <f t="shared" si="0"/>
        <v>1852049</v>
      </c>
      <c r="F17" s="70">
        <f t="shared" si="1"/>
        <v>2.8358077091505969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80513629</v>
      </c>
      <c r="D19" s="27">
        <f>SUM(D16:D18)</f>
        <v>86956858</v>
      </c>
      <c r="E19" s="27">
        <f t="shared" si="0"/>
        <v>6443229</v>
      </c>
      <c r="F19" s="28">
        <f t="shared" si="1"/>
        <v>8.0026562956192177E-2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37951254</v>
      </c>
      <c r="D22" s="51">
        <v>37965219</v>
      </c>
      <c r="E22" s="51">
        <f t="shared" ref="E22:E31" si="2">D22-C22</f>
        <v>13965</v>
      </c>
      <c r="F22" s="70">
        <f t="shared" ref="F22:F31" si="3">IF(C22=0,0,E22/C22)</f>
        <v>3.6797203064752488E-4</v>
      </c>
    </row>
    <row r="23" spans="1:7" ht="23.1" customHeight="1" x14ac:dyDescent="0.2">
      <c r="A23" s="25">
        <v>2</v>
      </c>
      <c r="B23" s="48" t="s">
        <v>81</v>
      </c>
      <c r="C23" s="51">
        <v>13426961</v>
      </c>
      <c r="D23" s="51">
        <v>14538699</v>
      </c>
      <c r="E23" s="51">
        <f t="shared" si="2"/>
        <v>1111738</v>
      </c>
      <c r="F23" s="70">
        <f t="shared" si="3"/>
        <v>8.2798929705686933E-2</v>
      </c>
    </row>
    <row r="24" spans="1:7" ht="23.1" customHeight="1" x14ac:dyDescent="0.2">
      <c r="A24" s="25">
        <v>3</v>
      </c>
      <c r="B24" s="48" t="s">
        <v>82</v>
      </c>
      <c r="C24" s="51">
        <v>254333</v>
      </c>
      <c r="D24" s="51">
        <v>1056109</v>
      </c>
      <c r="E24" s="51">
        <f t="shared" si="2"/>
        <v>801776</v>
      </c>
      <c r="F24" s="70">
        <f t="shared" si="3"/>
        <v>3.1524654684999587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11119793</v>
      </c>
      <c r="D25" s="51">
        <v>11388780</v>
      </c>
      <c r="E25" s="51">
        <f t="shared" si="2"/>
        <v>268987</v>
      </c>
      <c r="F25" s="70">
        <f t="shared" si="3"/>
        <v>2.4189928715399649E-2</v>
      </c>
    </row>
    <row r="26" spans="1:7" ht="23.1" customHeight="1" x14ac:dyDescent="0.2">
      <c r="A26" s="25">
        <v>5</v>
      </c>
      <c r="B26" s="48" t="s">
        <v>84</v>
      </c>
      <c r="C26" s="51">
        <v>3208305</v>
      </c>
      <c r="D26" s="51">
        <v>2796910</v>
      </c>
      <c r="E26" s="51">
        <f t="shared" si="2"/>
        <v>-411395</v>
      </c>
      <c r="F26" s="70">
        <f t="shared" si="3"/>
        <v>-0.12822814539141383</v>
      </c>
    </row>
    <row r="27" spans="1:7" ht="23.1" customHeight="1" x14ac:dyDescent="0.2">
      <c r="A27" s="25">
        <v>6</v>
      </c>
      <c r="B27" s="48" t="s">
        <v>85</v>
      </c>
      <c r="C27" s="51">
        <v>7611773</v>
      </c>
      <c r="D27" s="51">
        <v>7028914</v>
      </c>
      <c r="E27" s="51">
        <f t="shared" si="2"/>
        <v>-582859</v>
      </c>
      <c r="F27" s="70">
        <f t="shared" si="3"/>
        <v>-7.6573355511258684E-2</v>
      </c>
    </row>
    <row r="28" spans="1:7" ht="23.1" customHeight="1" x14ac:dyDescent="0.2">
      <c r="A28" s="25">
        <v>7</v>
      </c>
      <c r="B28" s="48" t="s">
        <v>86</v>
      </c>
      <c r="C28" s="51">
        <v>168405</v>
      </c>
      <c r="D28" s="51">
        <v>102151</v>
      </c>
      <c r="E28" s="51">
        <f t="shared" si="2"/>
        <v>-66254</v>
      </c>
      <c r="F28" s="70">
        <f t="shared" si="3"/>
        <v>-0.39342062290312046</v>
      </c>
    </row>
    <row r="29" spans="1:7" ht="23.1" customHeight="1" x14ac:dyDescent="0.2">
      <c r="A29" s="25">
        <v>8</v>
      </c>
      <c r="B29" s="48" t="s">
        <v>87</v>
      </c>
      <c r="C29" s="51">
        <v>798342</v>
      </c>
      <c r="D29" s="51">
        <v>2550199</v>
      </c>
      <c r="E29" s="51">
        <f t="shared" si="2"/>
        <v>1751857</v>
      </c>
      <c r="F29" s="70">
        <f t="shared" si="3"/>
        <v>2.1943690799181303</v>
      </c>
    </row>
    <row r="30" spans="1:7" ht="23.1" customHeight="1" x14ac:dyDescent="0.2">
      <c r="A30" s="25">
        <v>9</v>
      </c>
      <c r="B30" s="48" t="s">
        <v>88</v>
      </c>
      <c r="C30" s="51">
        <v>11048356</v>
      </c>
      <c r="D30" s="51">
        <v>13258873</v>
      </c>
      <c r="E30" s="51">
        <f t="shared" si="2"/>
        <v>2210517</v>
      </c>
      <c r="F30" s="70">
        <f t="shared" si="3"/>
        <v>0.20007655437605379</v>
      </c>
    </row>
    <row r="31" spans="1:7" ht="23.1" customHeight="1" x14ac:dyDescent="0.25">
      <c r="A31" s="29"/>
      <c r="B31" s="71" t="s">
        <v>89</v>
      </c>
      <c r="C31" s="27">
        <f>SUM(C22:C30)</f>
        <v>85587522</v>
      </c>
      <c r="D31" s="27">
        <f>SUM(D22:D30)</f>
        <v>90685854</v>
      </c>
      <c r="E31" s="27">
        <f t="shared" si="2"/>
        <v>5098332</v>
      </c>
      <c r="F31" s="28">
        <f t="shared" si="3"/>
        <v>5.9568636652431645E-2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-5073893</v>
      </c>
      <c r="D33" s="27">
        <f>+D19-D31</f>
        <v>-3728996</v>
      </c>
      <c r="E33" s="27">
        <f>D33-C33</f>
        <v>1344897</v>
      </c>
      <c r="F33" s="28">
        <f>IF(C33=0,0,E33/C33)</f>
        <v>-0.26506215247345577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2111132</v>
      </c>
      <c r="D36" s="51">
        <v>1939024</v>
      </c>
      <c r="E36" s="51">
        <f>D36-C36</f>
        <v>-172108</v>
      </c>
      <c r="F36" s="70">
        <f>IF(C36=0,0,E36/C36)</f>
        <v>-8.1524035446386103E-2</v>
      </c>
    </row>
    <row r="37" spans="1:6" ht="23.1" customHeight="1" x14ac:dyDescent="0.2">
      <c r="A37" s="44">
        <v>2</v>
      </c>
      <c r="B37" s="48" t="s">
        <v>93</v>
      </c>
      <c r="C37" s="51">
        <v>325</v>
      </c>
      <c r="D37" s="51">
        <v>740</v>
      </c>
      <c r="E37" s="51">
        <f>D37-C37</f>
        <v>415</v>
      </c>
      <c r="F37" s="70">
        <f>IF(C37=0,0,E37/C37)</f>
        <v>1.2769230769230768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2111457</v>
      </c>
      <c r="D39" s="27">
        <f>SUM(D36:D38)</f>
        <v>1939764</v>
      </c>
      <c r="E39" s="27">
        <f>D39-C39</f>
        <v>-171693</v>
      </c>
      <c r="F39" s="28">
        <f>IF(C39=0,0,E39/C39)</f>
        <v>-8.1314940346878958E-2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-2962436</v>
      </c>
      <c r="D41" s="27">
        <f>D33+D39</f>
        <v>-1789232</v>
      </c>
      <c r="E41" s="27">
        <f>D41-C41</f>
        <v>1173204</v>
      </c>
      <c r="F41" s="28">
        <f>IF(C41=0,0,E41/C41)</f>
        <v>-0.39602678336342118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-2445378</v>
      </c>
      <c r="D44" s="51">
        <v>3465</v>
      </c>
      <c r="E44" s="51">
        <f>D44-C44</f>
        <v>2448843</v>
      </c>
      <c r="F44" s="70">
        <f>IF(C44=0,0,E44/C44)</f>
        <v>-1.0014169588505335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-2445378</v>
      </c>
      <c r="D46" s="27">
        <f>SUM(D44:D45)</f>
        <v>3465</v>
      </c>
      <c r="E46" s="27">
        <f>D46-C46</f>
        <v>2448843</v>
      </c>
      <c r="F46" s="28">
        <f>IF(C46=0,0,E46/C46)</f>
        <v>-1.0014169588505335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-5407814</v>
      </c>
      <c r="D48" s="27">
        <f>D41+D46</f>
        <v>-1785767</v>
      </c>
      <c r="E48" s="27">
        <f>D48-C48</f>
        <v>3622047</v>
      </c>
      <c r="F48" s="28">
        <f>IF(C48=0,0,E48/C48)</f>
        <v>-0.6697802476194632</v>
      </c>
    </row>
    <row r="49" spans="1:6" ht="23.1" customHeight="1" x14ac:dyDescent="0.2">
      <c r="A49" s="44"/>
      <c r="B49" s="48" t="s">
        <v>102</v>
      </c>
      <c r="C49" s="51">
        <v>892497</v>
      </c>
      <c r="D49" s="51">
        <v>955684</v>
      </c>
      <c r="E49" s="51">
        <f>D49-C49</f>
        <v>63187</v>
      </c>
      <c r="F49" s="70">
        <f>IF(C49=0,0,E49/C49)</f>
        <v>7.0797997080102232E-2</v>
      </c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FILING&amp;RMILFORD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43074569</v>
      </c>
      <c r="D14" s="97">
        <v>44902620</v>
      </c>
      <c r="E14" s="97">
        <f t="shared" ref="E14:E25" si="0">D14-C14</f>
        <v>1828051</v>
      </c>
      <c r="F14" s="98">
        <f t="shared" ref="F14:F25" si="1">IF(C14=0,0,E14/C14)</f>
        <v>4.2439217441734588E-2</v>
      </c>
    </row>
    <row r="15" spans="1:6" ht="18" customHeight="1" x14ac:dyDescent="0.25">
      <c r="A15" s="99">
        <v>2</v>
      </c>
      <c r="B15" s="100" t="s">
        <v>113</v>
      </c>
      <c r="C15" s="97">
        <v>14098905</v>
      </c>
      <c r="D15" s="97">
        <v>16128137</v>
      </c>
      <c r="E15" s="97">
        <f t="shared" si="0"/>
        <v>2029232</v>
      </c>
      <c r="F15" s="98">
        <f t="shared" si="1"/>
        <v>0.14392834053424716</v>
      </c>
    </row>
    <row r="16" spans="1:6" ht="18" customHeight="1" x14ac:dyDescent="0.25">
      <c r="A16" s="99">
        <v>3</v>
      </c>
      <c r="B16" s="100" t="s">
        <v>114</v>
      </c>
      <c r="C16" s="97">
        <v>4685459</v>
      </c>
      <c r="D16" s="97">
        <v>3822623</v>
      </c>
      <c r="E16" s="97">
        <f t="shared" si="0"/>
        <v>-862836</v>
      </c>
      <c r="F16" s="98">
        <f t="shared" si="1"/>
        <v>-0.18415186217614965</v>
      </c>
    </row>
    <row r="17" spans="1:6" ht="18" customHeight="1" x14ac:dyDescent="0.25">
      <c r="A17" s="99">
        <v>4</v>
      </c>
      <c r="B17" s="100" t="s">
        <v>115</v>
      </c>
      <c r="C17" s="97">
        <v>2965827</v>
      </c>
      <c r="D17" s="97">
        <v>1628161</v>
      </c>
      <c r="E17" s="97">
        <f t="shared" si="0"/>
        <v>-1337666</v>
      </c>
      <c r="F17" s="98">
        <f t="shared" si="1"/>
        <v>-0.45102630733350257</v>
      </c>
    </row>
    <row r="18" spans="1:6" ht="18" customHeight="1" x14ac:dyDescent="0.25">
      <c r="A18" s="99">
        <v>5</v>
      </c>
      <c r="B18" s="100" t="s">
        <v>116</v>
      </c>
      <c r="C18" s="97">
        <v>105839</v>
      </c>
      <c r="D18" s="97">
        <v>27348</v>
      </c>
      <c r="E18" s="97">
        <f t="shared" si="0"/>
        <v>-78491</v>
      </c>
      <c r="F18" s="98">
        <f t="shared" si="1"/>
        <v>-0.74160753597445173</v>
      </c>
    </row>
    <row r="19" spans="1:6" ht="18" customHeight="1" x14ac:dyDescent="0.25">
      <c r="A19" s="99">
        <v>6</v>
      </c>
      <c r="B19" s="100" t="s">
        <v>117</v>
      </c>
      <c r="C19" s="97">
        <v>0</v>
      </c>
      <c r="D19" s="97">
        <v>0</v>
      </c>
      <c r="E19" s="97">
        <f t="shared" si="0"/>
        <v>0</v>
      </c>
      <c r="F19" s="98">
        <f t="shared" si="1"/>
        <v>0</v>
      </c>
    </row>
    <row r="20" spans="1:6" ht="18" customHeight="1" x14ac:dyDescent="0.25">
      <c r="A20" s="99">
        <v>7</v>
      </c>
      <c r="B20" s="100" t="s">
        <v>118</v>
      </c>
      <c r="C20" s="97">
        <v>28160396</v>
      </c>
      <c r="D20" s="97">
        <v>27710776</v>
      </c>
      <c r="E20" s="97">
        <f t="shared" si="0"/>
        <v>-449620</v>
      </c>
      <c r="F20" s="98">
        <f t="shared" si="1"/>
        <v>-1.5966394790755074E-2</v>
      </c>
    </row>
    <row r="21" spans="1:6" ht="18" customHeight="1" x14ac:dyDescent="0.25">
      <c r="A21" s="99">
        <v>8</v>
      </c>
      <c r="B21" s="100" t="s">
        <v>119</v>
      </c>
      <c r="C21" s="97">
        <v>416104</v>
      </c>
      <c r="D21" s="97">
        <v>564577</v>
      </c>
      <c r="E21" s="97">
        <f t="shared" si="0"/>
        <v>148473</v>
      </c>
      <c r="F21" s="98">
        <f t="shared" si="1"/>
        <v>0.35681704573856537</v>
      </c>
    </row>
    <row r="22" spans="1:6" ht="18" customHeight="1" x14ac:dyDescent="0.25">
      <c r="A22" s="99">
        <v>9</v>
      </c>
      <c r="B22" s="100" t="s">
        <v>120</v>
      </c>
      <c r="C22" s="97">
        <v>1800823</v>
      </c>
      <c r="D22" s="97">
        <v>1735686</v>
      </c>
      <c r="E22" s="97">
        <f t="shared" si="0"/>
        <v>-65137</v>
      </c>
      <c r="F22" s="98">
        <f t="shared" si="1"/>
        <v>-3.61706841816214E-2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29117</v>
      </c>
      <c r="D24" s="97">
        <v>26850</v>
      </c>
      <c r="E24" s="97">
        <f t="shared" si="0"/>
        <v>-2267</v>
      </c>
      <c r="F24" s="98">
        <f t="shared" si="1"/>
        <v>-7.7858295840917677E-2</v>
      </c>
    </row>
    <row r="25" spans="1:6" ht="18" customHeight="1" x14ac:dyDescent="0.25">
      <c r="A25" s="101"/>
      <c r="B25" s="102" t="s">
        <v>123</v>
      </c>
      <c r="C25" s="103">
        <f>SUM(C14:C24)</f>
        <v>95337039</v>
      </c>
      <c r="D25" s="103">
        <f>SUM(D14:D24)</f>
        <v>96546778</v>
      </c>
      <c r="E25" s="103">
        <f t="shared" si="0"/>
        <v>1209739</v>
      </c>
      <c r="F25" s="104">
        <f t="shared" si="1"/>
        <v>1.2689076697672559E-2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19680255</v>
      </c>
      <c r="D27" s="97">
        <v>20040622</v>
      </c>
      <c r="E27" s="97">
        <f t="shared" ref="E27:E38" si="2">D27-C27</f>
        <v>360367</v>
      </c>
      <c r="F27" s="98">
        <f t="shared" ref="F27:F38" si="3">IF(C27=0,0,E27/C27)</f>
        <v>1.8311094038161599E-2</v>
      </c>
    </row>
    <row r="28" spans="1:6" ht="18" customHeight="1" x14ac:dyDescent="0.25">
      <c r="A28" s="99">
        <v>2</v>
      </c>
      <c r="B28" s="100" t="s">
        <v>113</v>
      </c>
      <c r="C28" s="97">
        <v>7711728</v>
      </c>
      <c r="D28" s="97">
        <v>9120275</v>
      </c>
      <c r="E28" s="97">
        <f t="shared" si="2"/>
        <v>1408547</v>
      </c>
      <c r="F28" s="98">
        <f t="shared" si="3"/>
        <v>0.18264998454302331</v>
      </c>
    </row>
    <row r="29" spans="1:6" ht="18" customHeight="1" x14ac:dyDescent="0.25">
      <c r="A29" s="99">
        <v>3</v>
      </c>
      <c r="B29" s="100" t="s">
        <v>114</v>
      </c>
      <c r="C29" s="97">
        <v>5235091</v>
      </c>
      <c r="D29" s="97">
        <v>6182172</v>
      </c>
      <c r="E29" s="97">
        <f t="shared" si="2"/>
        <v>947081</v>
      </c>
      <c r="F29" s="98">
        <f t="shared" si="3"/>
        <v>0.18091013126610406</v>
      </c>
    </row>
    <row r="30" spans="1:6" ht="18" customHeight="1" x14ac:dyDescent="0.25">
      <c r="A30" s="99">
        <v>4</v>
      </c>
      <c r="B30" s="100" t="s">
        <v>115</v>
      </c>
      <c r="C30" s="97">
        <v>7026190</v>
      </c>
      <c r="D30" s="97">
        <v>7949219</v>
      </c>
      <c r="E30" s="97">
        <f t="shared" si="2"/>
        <v>923029</v>
      </c>
      <c r="F30" s="98">
        <f t="shared" si="3"/>
        <v>0.13136977508436293</v>
      </c>
    </row>
    <row r="31" spans="1:6" ht="18" customHeight="1" x14ac:dyDescent="0.25">
      <c r="A31" s="99">
        <v>5</v>
      </c>
      <c r="B31" s="100" t="s">
        <v>116</v>
      </c>
      <c r="C31" s="97">
        <v>218812</v>
      </c>
      <c r="D31" s="97">
        <v>193576</v>
      </c>
      <c r="E31" s="97">
        <f t="shared" si="2"/>
        <v>-25236</v>
      </c>
      <c r="F31" s="98">
        <f t="shared" si="3"/>
        <v>-0.11533188307771054</v>
      </c>
    </row>
    <row r="32" spans="1:6" ht="18" customHeight="1" x14ac:dyDescent="0.25">
      <c r="A32" s="99">
        <v>6</v>
      </c>
      <c r="B32" s="100" t="s">
        <v>117</v>
      </c>
      <c r="C32" s="97">
        <v>0</v>
      </c>
      <c r="D32" s="97">
        <v>0</v>
      </c>
      <c r="E32" s="97">
        <f t="shared" si="2"/>
        <v>0</v>
      </c>
      <c r="F32" s="98">
        <f t="shared" si="3"/>
        <v>0</v>
      </c>
    </row>
    <row r="33" spans="1:6" ht="18" customHeight="1" x14ac:dyDescent="0.25">
      <c r="A33" s="99">
        <v>7</v>
      </c>
      <c r="B33" s="100" t="s">
        <v>118</v>
      </c>
      <c r="C33" s="97">
        <v>43732597</v>
      </c>
      <c r="D33" s="97">
        <v>43896704</v>
      </c>
      <c r="E33" s="97">
        <f t="shared" si="2"/>
        <v>164107</v>
      </c>
      <c r="F33" s="98">
        <f t="shared" si="3"/>
        <v>3.7525098269375586E-3</v>
      </c>
    </row>
    <row r="34" spans="1:6" ht="18" customHeight="1" x14ac:dyDescent="0.25">
      <c r="A34" s="99">
        <v>8</v>
      </c>
      <c r="B34" s="100" t="s">
        <v>119</v>
      </c>
      <c r="C34" s="97">
        <v>1300776</v>
      </c>
      <c r="D34" s="97">
        <v>1403091</v>
      </c>
      <c r="E34" s="97">
        <f t="shared" si="2"/>
        <v>102315</v>
      </c>
      <c r="F34" s="98">
        <f t="shared" si="3"/>
        <v>7.8656894038635405E-2</v>
      </c>
    </row>
    <row r="35" spans="1:6" ht="18" customHeight="1" x14ac:dyDescent="0.25">
      <c r="A35" s="99">
        <v>9</v>
      </c>
      <c r="B35" s="100" t="s">
        <v>120</v>
      </c>
      <c r="C35" s="97">
        <v>3757990</v>
      </c>
      <c r="D35" s="97">
        <v>3892808</v>
      </c>
      <c r="E35" s="97">
        <f t="shared" si="2"/>
        <v>134818</v>
      </c>
      <c r="F35" s="98">
        <f t="shared" si="3"/>
        <v>3.5875028938342039E-2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109502</v>
      </c>
      <c r="D37" s="97">
        <v>196919</v>
      </c>
      <c r="E37" s="97">
        <f t="shared" si="2"/>
        <v>87417</v>
      </c>
      <c r="F37" s="98">
        <f t="shared" si="3"/>
        <v>0.79831418604226412</v>
      </c>
    </row>
    <row r="38" spans="1:6" ht="18" customHeight="1" x14ac:dyDescent="0.25">
      <c r="A38" s="101"/>
      <c r="B38" s="102" t="s">
        <v>126</v>
      </c>
      <c r="C38" s="103">
        <f>SUM(C27:C37)</f>
        <v>88772941</v>
      </c>
      <c r="D38" s="103">
        <f>SUM(D27:D37)</f>
        <v>92875386</v>
      </c>
      <c r="E38" s="103">
        <f t="shared" si="2"/>
        <v>4102445</v>
      </c>
      <c r="F38" s="104">
        <f t="shared" si="3"/>
        <v>4.62127868445859E-2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62754824</v>
      </c>
      <c r="D41" s="103">
        <f t="shared" si="4"/>
        <v>64943242</v>
      </c>
      <c r="E41" s="107">
        <f t="shared" ref="E41:E52" si="5">D41-C41</f>
        <v>2188418</v>
      </c>
      <c r="F41" s="108">
        <f t="shared" ref="F41:F52" si="6">IF(C41=0,0,E41/C41)</f>
        <v>3.4872506374968082E-2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21810633</v>
      </c>
      <c r="D42" s="103">
        <f t="shared" si="4"/>
        <v>25248412</v>
      </c>
      <c r="E42" s="107">
        <f t="shared" si="5"/>
        <v>3437779</v>
      </c>
      <c r="F42" s="108">
        <f t="shared" si="6"/>
        <v>0.1576194051772821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9920550</v>
      </c>
      <c r="D43" s="103">
        <f t="shared" si="4"/>
        <v>10004795</v>
      </c>
      <c r="E43" s="107">
        <f t="shared" si="5"/>
        <v>84245</v>
      </c>
      <c r="F43" s="108">
        <f t="shared" si="6"/>
        <v>8.4919686912519974E-3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9992017</v>
      </c>
      <c r="D44" s="103">
        <f t="shared" si="4"/>
        <v>9577380</v>
      </c>
      <c r="E44" s="107">
        <f t="shared" si="5"/>
        <v>-414637</v>
      </c>
      <c r="F44" s="108">
        <f t="shared" si="6"/>
        <v>-4.1496826916927784E-2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324651</v>
      </c>
      <c r="D45" s="103">
        <f t="shared" si="4"/>
        <v>220924</v>
      </c>
      <c r="E45" s="107">
        <f t="shared" si="5"/>
        <v>-103727</v>
      </c>
      <c r="F45" s="108">
        <f t="shared" si="6"/>
        <v>-0.31950309717204012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0</v>
      </c>
      <c r="D46" s="103">
        <f t="shared" si="4"/>
        <v>0</v>
      </c>
      <c r="E46" s="107">
        <f t="shared" si="5"/>
        <v>0</v>
      </c>
      <c r="F46" s="108">
        <f t="shared" si="6"/>
        <v>0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71892993</v>
      </c>
      <c r="D47" s="103">
        <f t="shared" si="4"/>
        <v>71607480</v>
      </c>
      <c r="E47" s="107">
        <f t="shared" si="5"/>
        <v>-285513</v>
      </c>
      <c r="F47" s="108">
        <f t="shared" si="6"/>
        <v>-3.971360602555523E-3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1716880</v>
      </c>
      <c r="D48" s="103">
        <f t="shared" si="4"/>
        <v>1967668</v>
      </c>
      <c r="E48" s="107">
        <f t="shared" si="5"/>
        <v>250788</v>
      </c>
      <c r="F48" s="108">
        <f t="shared" si="6"/>
        <v>0.14607194445738783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5558813</v>
      </c>
      <c r="D49" s="103">
        <f t="shared" si="4"/>
        <v>5628494</v>
      </c>
      <c r="E49" s="107">
        <f t="shared" si="5"/>
        <v>69681</v>
      </c>
      <c r="F49" s="108">
        <f t="shared" si="6"/>
        <v>1.2535230093187161E-2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138619</v>
      </c>
      <c r="D51" s="103">
        <f t="shared" si="4"/>
        <v>223769</v>
      </c>
      <c r="E51" s="107">
        <f t="shared" si="5"/>
        <v>85150</v>
      </c>
      <c r="F51" s="108">
        <f t="shared" si="6"/>
        <v>0.61427365656944577</v>
      </c>
    </row>
    <row r="52" spans="1:6" ht="18.75" customHeight="1" thickBot="1" x14ac:dyDescent="0.3">
      <c r="A52" s="109"/>
      <c r="B52" s="110" t="s">
        <v>128</v>
      </c>
      <c r="C52" s="111">
        <f>SUM(C41:C51)</f>
        <v>184109980</v>
      </c>
      <c r="D52" s="112">
        <f>SUM(D41:D51)</f>
        <v>189422164</v>
      </c>
      <c r="E52" s="111">
        <f t="shared" si="5"/>
        <v>5312184</v>
      </c>
      <c r="F52" s="113">
        <f t="shared" si="6"/>
        <v>2.8853319086776283E-2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12559405</v>
      </c>
      <c r="D57" s="97">
        <v>16439612</v>
      </c>
      <c r="E57" s="97">
        <f t="shared" ref="E57:E68" si="7">D57-C57</f>
        <v>3880207</v>
      </c>
      <c r="F57" s="98">
        <f t="shared" ref="F57:F68" si="8">IF(C57=0,0,E57/C57)</f>
        <v>0.30894831403239248</v>
      </c>
    </row>
    <row r="58" spans="1:6" ht="18" customHeight="1" x14ac:dyDescent="0.25">
      <c r="A58" s="99">
        <v>2</v>
      </c>
      <c r="B58" s="100" t="s">
        <v>113</v>
      </c>
      <c r="C58" s="97">
        <v>8121966</v>
      </c>
      <c r="D58" s="97">
        <v>5332698</v>
      </c>
      <c r="E58" s="97">
        <f t="shared" si="7"/>
        <v>-2789268</v>
      </c>
      <c r="F58" s="98">
        <f t="shared" si="8"/>
        <v>-0.34342276241983777</v>
      </c>
    </row>
    <row r="59" spans="1:6" ht="18" customHeight="1" x14ac:dyDescent="0.25">
      <c r="A59" s="99">
        <v>3</v>
      </c>
      <c r="B59" s="100" t="s">
        <v>114</v>
      </c>
      <c r="C59" s="97">
        <v>1110995</v>
      </c>
      <c r="D59" s="97">
        <v>665727</v>
      </c>
      <c r="E59" s="97">
        <f t="shared" si="7"/>
        <v>-445268</v>
      </c>
      <c r="F59" s="98">
        <f t="shared" si="8"/>
        <v>-0.40078308183205147</v>
      </c>
    </row>
    <row r="60" spans="1:6" ht="18" customHeight="1" x14ac:dyDescent="0.25">
      <c r="A60" s="99">
        <v>4</v>
      </c>
      <c r="B60" s="100" t="s">
        <v>115</v>
      </c>
      <c r="C60" s="97">
        <v>1094642</v>
      </c>
      <c r="D60" s="97">
        <v>540759</v>
      </c>
      <c r="E60" s="97">
        <f t="shared" si="7"/>
        <v>-553883</v>
      </c>
      <c r="F60" s="98">
        <f t="shared" si="8"/>
        <v>-0.50599465395992482</v>
      </c>
    </row>
    <row r="61" spans="1:6" ht="18" customHeight="1" x14ac:dyDescent="0.25">
      <c r="A61" s="99">
        <v>5</v>
      </c>
      <c r="B61" s="100" t="s">
        <v>116</v>
      </c>
      <c r="C61" s="97">
        <v>46183</v>
      </c>
      <c r="D61" s="97">
        <v>9678</v>
      </c>
      <c r="E61" s="97">
        <f t="shared" si="7"/>
        <v>-36505</v>
      </c>
      <c r="F61" s="98">
        <f t="shared" si="8"/>
        <v>-0.79044237056925704</v>
      </c>
    </row>
    <row r="62" spans="1:6" ht="18" customHeight="1" x14ac:dyDescent="0.25">
      <c r="A62" s="99">
        <v>6</v>
      </c>
      <c r="B62" s="100" t="s">
        <v>117</v>
      </c>
      <c r="C62" s="97">
        <v>0</v>
      </c>
      <c r="D62" s="97">
        <v>0</v>
      </c>
      <c r="E62" s="97">
        <f t="shared" si="7"/>
        <v>0</v>
      </c>
      <c r="F62" s="98">
        <f t="shared" si="8"/>
        <v>0</v>
      </c>
    </row>
    <row r="63" spans="1:6" ht="18" customHeight="1" x14ac:dyDescent="0.25">
      <c r="A63" s="99">
        <v>7</v>
      </c>
      <c r="B63" s="100" t="s">
        <v>118</v>
      </c>
      <c r="C63" s="97">
        <v>13314993</v>
      </c>
      <c r="D63" s="97">
        <v>12033028</v>
      </c>
      <c r="E63" s="97">
        <f t="shared" si="7"/>
        <v>-1281965</v>
      </c>
      <c r="F63" s="98">
        <f t="shared" si="8"/>
        <v>-9.627981028604371E-2</v>
      </c>
    </row>
    <row r="64" spans="1:6" ht="18" customHeight="1" x14ac:dyDescent="0.25">
      <c r="A64" s="99">
        <v>8</v>
      </c>
      <c r="B64" s="100" t="s">
        <v>119</v>
      </c>
      <c r="C64" s="97">
        <v>240299</v>
      </c>
      <c r="D64" s="97">
        <v>361869</v>
      </c>
      <c r="E64" s="97">
        <f t="shared" si="7"/>
        <v>121570</v>
      </c>
      <c r="F64" s="98">
        <f t="shared" si="8"/>
        <v>0.50591138539902369</v>
      </c>
    </row>
    <row r="65" spans="1:6" ht="18" customHeight="1" x14ac:dyDescent="0.25">
      <c r="A65" s="99">
        <v>9</v>
      </c>
      <c r="B65" s="100" t="s">
        <v>120</v>
      </c>
      <c r="C65" s="97">
        <v>34130</v>
      </c>
      <c r="D65" s="97">
        <v>77021</v>
      </c>
      <c r="E65" s="97">
        <f t="shared" si="7"/>
        <v>42891</v>
      </c>
      <c r="F65" s="98">
        <f t="shared" si="8"/>
        <v>1.2566949897450923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18017</v>
      </c>
      <c r="D67" s="97">
        <v>6495</v>
      </c>
      <c r="E67" s="97">
        <f t="shared" si="7"/>
        <v>-11522</v>
      </c>
      <c r="F67" s="98">
        <f t="shared" si="8"/>
        <v>-0.63950713215296662</v>
      </c>
    </row>
    <row r="68" spans="1:6" ht="18" customHeight="1" x14ac:dyDescent="0.25">
      <c r="A68" s="101"/>
      <c r="B68" s="102" t="s">
        <v>131</v>
      </c>
      <c r="C68" s="103">
        <f>SUM(C57:C67)</f>
        <v>36540630</v>
      </c>
      <c r="D68" s="103">
        <f>SUM(D57:D67)</f>
        <v>35466887</v>
      </c>
      <c r="E68" s="103">
        <f t="shared" si="7"/>
        <v>-1073743</v>
      </c>
      <c r="F68" s="104">
        <f t="shared" si="8"/>
        <v>-2.9384906609437222E-2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4833331</v>
      </c>
      <c r="D70" s="97">
        <v>5296162</v>
      </c>
      <c r="E70" s="97">
        <f t="shared" ref="E70:E81" si="9">D70-C70</f>
        <v>462831</v>
      </c>
      <c r="F70" s="98">
        <f t="shared" ref="F70:F81" si="10">IF(C70=0,0,E70/C70)</f>
        <v>9.5758184159123391E-2</v>
      </c>
    </row>
    <row r="71" spans="1:6" ht="18" customHeight="1" x14ac:dyDescent="0.25">
      <c r="A71" s="99">
        <v>2</v>
      </c>
      <c r="B71" s="100" t="s">
        <v>113</v>
      </c>
      <c r="C71" s="97">
        <v>3673571</v>
      </c>
      <c r="D71" s="97">
        <v>2564344</v>
      </c>
      <c r="E71" s="97">
        <f t="shared" si="9"/>
        <v>-1109227</v>
      </c>
      <c r="F71" s="98">
        <f t="shared" si="10"/>
        <v>-0.30194788667484579</v>
      </c>
    </row>
    <row r="72" spans="1:6" ht="18" customHeight="1" x14ac:dyDescent="0.25">
      <c r="A72" s="99">
        <v>3</v>
      </c>
      <c r="B72" s="100" t="s">
        <v>114</v>
      </c>
      <c r="C72" s="97">
        <v>941780</v>
      </c>
      <c r="D72" s="97">
        <v>1750530</v>
      </c>
      <c r="E72" s="97">
        <f t="shared" si="9"/>
        <v>808750</v>
      </c>
      <c r="F72" s="98">
        <f t="shared" si="10"/>
        <v>0.85874620399668711</v>
      </c>
    </row>
    <row r="73" spans="1:6" ht="18" customHeight="1" x14ac:dyDescent="0.25">
      <c r="A73" s="99">
        <v>4</v>
      </c>
      <c r="B73" s="100" t="s">
        <v>115</v>
      </c>
      <c r="C73" s="97">
        <v>2042143</v>
      </c>
      <c r="D73" s="97">
        <v>2220479</v>
      </c>
      <c r="E73" s="97">
        <f t="shared" si="9"/>
        <v>178336</v>
      </c>
      <c r="F73" s="98">
        <f t="shared" si="10"/>
        <v>8.7327870771047866E-2</v>
      </c>
    </row>
    <row r="74" spans="1:6" ht="18" customHeight="1" x14ac:dyDescent="0.25">
      <c r="A74" s="99">
        <v>5</v>
      </c>
      <c r="B74" s="100" t="s">
        <v>116</v>
      </c>
      <c r="C74" s="97">
        <v>84314</v>
      </c>
      <c r="D74" s="97">
        <v>61535</v>
      </c>
      <c r="E74" s="97">
        <f t="shared" si="9"/>
        <v>-22779</v>
      </c>
      <c r="F74" s="98">
        <f t="shared" si="10"/>
        <v>-0.27016865526484335</v>
      </c>
    </row>
    <row r="75" spans="1:6" ht="18" customHeight="1" x14ac:dyDescent="0.25">
      <c r="A75" s="99">
        <v>6</v>
      </c>
      <c r="B75" s="100" t="s">
        <v>117</v>
      </c>
      <c r="C75" s="97">
        <v>0</v>
      </c>
      <c r="D75" s="97">
        <v>0</v>
      </c>
      <c r="E75" s="97">
        <f t="shared" si="9"/>
        <v>0</v>
      </c>
      <c r="F75" s="98">
        <f t="shared" si="10"/>
        <v>0</v>
      </c>
    </row>
    <row r="76" spans="1:6" ht="18" customHeight="1" x14ac:dyDescent="0.25">
      <c r="A76" s="99">
        <v>7</v>
      </c>
      <c r="B76" s="100" t="s">
        <v>118</v>
      </c>
      <c r="C76" s="97">
        <v>20002972</v>
      </c>
      <c r="D76" s="97">
        <v>21874014</v>
      </c>
      <c r="E76" s="97">
        <f t="shared" si="9"/>
        <v>1871042</v>
      </c>
      <c r="F76" s="98">
        <f t="shared" si="10"/>
        <v>9.3538200223446791E-2</v>
      </c>
    </row>
    <row r="77" spans="1:6" ht="18" customHeight="1" x14ac:dyDescent="0.25">
      <c r="A77" s="99">
        <v>8</v>
      </c>
      <c r="B77" s="100" t="s">
        <v>119</v>
      </c>
      <c r="C77" s="97">
        <v>911844</v>
      </c>
      <c r="D77" s="97">
        <v>985060</v>
      </c>
      <c r="E77" s="97">
        <f t="shared" si="9"/>
        <v>73216</v>
      </c>
      <c r="F77" s="98">
        <f t="shared" si="10"/>
        <v>8.0294436329021196E-2</v>
      </c>
    </row>
    <row r="78" spans="1:6" ht="18" customHeight="1" x14ac:dyDescent="0.25">
      <c r="A78" s="99">
        <v>9</v>
      </c>
      <c r="B78" s="100" t="s">
        <v>120</v>
      </c>
      <c r="C78" s="97">
        <v>246883</v>
      </c>
      <c r="D78" s="97">
        <v>172743</v>
      </c>
      <c r="E78" s="97">
        <f t="shared" si="9"/>
        <v>-74140</v>
      </c>
      <c r="F78" s="98">
        <f t="shared" si="10"/>
        <v>-0.30030419267426273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67760</v>
      </c>
      <c r="D80" s="97">
        <v>47480</v>
      </c>
      <c r="E80" s="97">
        <f t="shared" si="9"/>
        <v>-20280</v>
      </c>
      <c r="F80" s="98">
        <f t="shared" si="10"/>
        <v>-0.29929161747343563</v>
      </c>
    </row>
    <row r="81" spans="1:6" ht="18" customHeight="1" x14ac:dyDescent="0.25">
      <c r="A81" s="101"/>
      <c r="B81" s="102" t="s">
        <v>133</v>
      </c>
      <c r="C81" s="103">
        <f>SUM(C70:C80)</f>
        <v>32804598</v>
      </c>
      <c r="D81" s="103">
        <f>SUM(D70:D80)</f>
        <v>34972347</v>
      </c>
      <c r="E81" s="103">
        <f t="shared" si="9"/>
        <v>2167749</v>
      </c>
      <c r="F81" s="104">
        <f t="shared" si="10"/>
        <v>6.6080645158340306E-2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17392736</v>
      </c>
      <c r="D84" s="103">
        <f t="shared" si="11"/>
        <v>21735774</v>
      </c>
      <c r="E84" s="103">
        <f t="shared" ref="E84:E95" si="12">D84-C84</f>
        <v>4343038</v>
      </c>
      <c r="F84" s="104">
        <f t="shared" ref="F84:F95" si="13">IF(C84=0,0,E84/C84)</f>
        <v>0.24970412935607142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11795537</v>
      </c>
      <c r="D85" s="103">
        <f t="shared" si="11"/>
        <v>7897042</v>
      </c>
      <c r="E85" s="103">
        <f t="shared" si="12"/>
        <v>-3898495</v>
      </c>
      <c r="F85" s="104">
        <f t="shared" si="13"/>
        <v>-0.33050593627064201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2052775</v>
      </c>
      <c r="D86" s="103">
        <f t="shared" si="11"/>
        <v>2416257</v>
      </c>
      <c r="E86" s="103">
        <f t="shared" si="12"/>
        <v>363482</v>
      </c>
      <c r="F86" s="104">
        <f t="shared" si="13"/>
        <v>0.17706860225791915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3136785</v>
      </c>
      <c r="D87" s="103">
        <f t="shared" si="11"/>
        <v>2761238</v>
      </c>
      <c r="E87" s="103">
        <f t="shared" si="12"/>
        <v>-375547</v>
      </c>
      <c r="F87" s="104">
        <f t="shared" si="13"/>
        <v>-0.11972353859126462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130497</v>
      </c>
      <c r="D88" s="103">
        <f t="shared" si="11"/>
        <v>71213</v>
      </c>
      <c r="E88" s="103">
        <f t="shared" si="12"/>
        <v>-59284</v>
      </c>
      <c r="F88" s="104">
        <f t="shared" si="13"/>
        <v>-0.454293968443719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0</v>
      </c>
      <c r="D89" s="103">
        <f t="shared" si="11"/>
        <v>0</v>
      </c>
      <c r="E89" s="103">
        <f t="shared" si="12"/>
        <v>0</v>
      </c>
      <c r="F89" s="104">
        <f t="shared" si="13"/>
        <v>0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33317965</v>
      </c>
      <c r="D90" s="103">
        <f t="shared" si="11"/>
        <v>33907042</v>
      </c>
      <c r="E90" s="103">
        <f t="shared" si="12"/>
        <v>589077</v>
      </c>
      <c r="F90" s="104">
        <f t="shared" si="13"/>
        <v>1.7680461576809987E-2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1152143</v>
      </c>
      <c r="D91" s="103">
        <f t="shared" si="11"/>
        <v>1346929</v>
      </c>
      <c r="E91" s="103">
        <f t="shared" si="12"/>
        <v>194786</v>
      </c>
      <c r="F91" s="104">
        <f t="shared" si="13"/>
        <v>0.16906408319106223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281013</v>
      </c>
      <c r="D92" s="103">
        <f t="shared" si="11"/>
        <v>249764</v>
      </c>
      <c r="E92" s="103">
        <f t="shared" si="12"/>
        <v>-31249</v>
      </c>
      <c r="F92" s="104">
        <f t="shared" si="13"/>
        <v>-0.11120126115161932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85777</v>
      </c>
      <c r="D94" s="103">
        <f t="shared" si="11"/>
        <v>53975</v>
      </c>
      <c r="E94" s="103">
        <f t="shared" si="12"/>
        <v>-31802</v>
      </c>
      <c r="F94" s="104">
        <f t="shared" si="13"/>
        <v>-0.37075206640474717</v>
      </c>
    </row>
    <row r="95" spans="1:6" ht="18.75" customHeight="1" thickBot="1" x14ac:dyDescent="0.3">
      <c r="A95" s="115"/>
      <c r="B95" s="116" t="s">
        <v>134</v>
      </c>
      <c r="C95" s="112">
        <f>SUM(C84:C94)</f>
        <v>69345228</v>
      </c>
      <c r="D95" s="112">
        <f>SUM(D84:D94)</f>
        <v>70439234</v>
      </c>
      <c r="E95" s="112">
        <f t="shared" si="12"/>
        <v>1094006</v>
      </c>
      <c r="F95" s="113">
        <f t="shared" si="13"/>
        <v>1.5776226159354468E-2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1571</v>
      </c>
      <c r="D100" s="117">
        <v>1444</v>
      </c>
      <c r="E100" s="117">
        <f t="shared" ref="E100:E111" si="14">D100-C100</f>
        <v>-127</v>
      </c>
      <c r="F100" s="98">
        <f t="shared" ref="F100:F111" si="15">IF(C100=0,0,E100/C100)</f>
        <v>-8.0840229153405468E-2</v>
      </c>
    </row>
    <row r="101" spans="1:6" ht="18" customHeight="1" x14ac:dyDescent="0.25">
      <c r="A101" s="99">
        <v>2</v>
      </c>
      <c r="B101" s="100" t="s">
        <v>113</v>
      </c>
      <c r="C101" s="117">
        <v>479</v>
      </c>
      <c r="D101" s="117">
        <v>542</v>
      </c>
      <c r="E101" s="117">
        <f t="shared" si="14"/>
        <v>63</v>
      </c>
      <c r="F101" s="98">
        <f t="shared" si="15"/>
        <v>0.13152400835073069</v>
      </c>
    </row>
    <row r="102" spans="1:6" ht="18" customHeight="1" x14ac:dyDescent="0.25">
      <c r="A102" s="99">
        <v>3</v>
      </c>
      <c r="B102" s="100" t="s">
        <v>114</v>
      </c>
      <c r="C102" s="117">
        <v>179</v>
      </c>
      <c r="D102" s="117">
        <v>190</v>
      </c>
      <c r="E102" s="117">
        <f t="shared" si="14"/>
        <v>11</v>
      </c>
      <c r="F102" s="98">
        <f t="shared" si="15"/>
        <v>6.1452513966480445E-2</v>
      </c>
    </row>
    <row r="103" spans="1:6" ht="18" customHeight="1" x14ac:dyDescent="0.25">
      <c r="A103" s="99">
        <v>4</v>
      </c>
      <c r="B103" s="100" t="s">
        <v>115</v>
      </c>
      <c r="C103" s="117">
        <v>338</v>
      </c>
      <c r="D103" s="117">
        <v>159</v>
      </c>
      <c r="E103" s="117">
        <f t="shared" si="14"/>
        <v>-179</v>
      </c>
      <c r="F103" s="98">
        <f t="shared" si="15"/>
        <v>-0.52958579881656809</v>
      </c>
    </row>
    <row r="104" spans="1:6" ht="18" customHeight="1" x14ac:dyDescent="0.25">
      <c r="A104" s="99">
        <v>5</v>
      </c>
      <c r="B104" s="100" t="s">
        <v>116</v>
      </c>
      <c r="C104" s="117">
        <v>8</v>
      </c>
      <c r="D104" s="117">
        <v>3</v>
      </c>
      <c r="E104" s="117">
        <f t="shared" si="14"/>
        <v>-5</v>
      </c>
      <c r="F104" s="98">
        <f t="shared" si="15"/>
        <v>-0.625</v>
      </c>
    </row>
    <row r="105" spans="1:6" ht="18" customHeight="1" x14ac:dyDescent="0.25">
      <c r="A105" s="99">
        <v>6</v>
      </c>
      <c r="B105" s="100" t="s">
        <v>117</v>
      </c>
      <c r="C105" s="117">
        <v>0</v>
      </c>
      <c r="D105" s="117">
        <v>0</v>
      </c>
      <c r="E105" s="117">
        <f t="shared" si="14"/>
        <v>0</v>
      </c>
      <c r="F105" s="98">
        <f t="shared" si="15"/>
        <v>0</v>
      </c>
    </row>
    <row r="106" spans="1:6" ht="18" customHeight="1" x14ac:dyDescent="0.25">
      <c r="A106" s="99">
        <v>7</v>
      </c>
      <c r="B106" s="100" t="s">
        <v>118</v>
      </c>
      <c r="C106" s="117">
        <v>1705</v>
      </c>
      <c r="D106" s="117">
        <v>1162</v>
      </c>
      <c r="E106" s="117">
        <f t="shared" si="14"/>
        <v>-543</v>
      </c>
      <c r="F106" s="98">
        <f t="shared" si="15"/>
        <v>-0.318475073313783</v>
      </c>
    </row>
    <row r="107" spans="1:6" ht="18" customHeight="1" x14ac:dyDescent="0.25">
      <c r="A107" s="99">
        <v>8</v>
      </c>
      <c r="B107" s="100" t="s">
        <v>119</v>
      </c>
      <c r="C107" s="117">
        <v>14</v>
      </c>
      <c r="D107" s="117">
        <v>15</v>
      </c>
      <c r="E107" s="117">
        <f t="shared" si="14"/>
        <v>1</v>
      </c>
      <c r="F107" s="98">
        <f t="shared" si="15"/>
        <v>7.1428571428571425E-2</v>
      </c>
    </row>
    <row r="108" spans="1:6" ht="18" customHeight="1" x14ac:dyDescent="0.25">
      <c r="A108" s="99">
        <v>9</v>
      </c>
      <c r="B108" s="100" t="s">
        <v>120</v>
      </c>
      <c r="C108" s="117">
        <v>78</v>
      </c>
      <c r="D108" s="117">
        <v>63</v>
      </c>
      <c r="E108" s="117">
        <f t="shared" si="14"/>
        <v>-15</v>
      </c>
      <c r="F108" s="98">
        <f t="shared" si="15"/>
        <v>-0.19230769230769232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2</v>
      </c>
      <c r="D110" s="117">
        <v>2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4374</v>
      </c>
      <c r="D111" s="118">
        <f>SUM(D100:D110)</f>
        <v>3580</v>
      </c>
      <c r="E111" s="118">
        <f t="shared" si="14"/>
        <v>-794</v>
      </c>
      <c r="F111" s="104">
        <f t="shared" si="15"/>
        <v>-0.18152720621856425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7363</v>
      </c>
      <c r="D113" s="117">
        <v>6760</v>
      </c>
      <c r="E113" s="117">
        <f t="shared" ref="E113:E124" si="16">D113-C113</f>
        <v>-603</v>
      </c>
      <c r="F113" s="98">
        <f t="shared" ref="F113:F124" si="17">IF(C113=0,0,E113/C113)</f>
        <v>-8.1895966318076871E-2</v>
      </c>
    </row>
    <row r="114" spans="1:6" ht="18" customHeight="1" x14ac:dyDescent="0.25">
      <c r="A114" s="99">
        <v>2</v>
      </c>
      <c r="B114" s="100" t="s">
        <v>113</v>
      </c>
      <c r="C114" s="117">
        <v>2214</v>
      </c>
      <c r="D114" s="117">
        <v>2438</v>
      </c>
      <c r="E114" s="117">
        <f t="shared" si="16"/>
        <v>224</v>
      </c>
      <c r="F114" s="98">
        <f t="shared" si="17"/>
        <v>0.10117434507678411</v>
      </c>
    </row>
    <row r="115" spans="1:6" ht="18" customHeight="1" x14ac:dyDescent="0.25">
      <c r="A115" s="99">
        <v>3</v>
      </c>
      <c r="B115" s="100" t="s">
        <v>114</v>
      </c>
      <c r="C115" s="117">
        <v>778</v>
      </c>
      <c r="D115" s="117">
        <v>813</v>
      </c>
      <c r="E115" s="117">
        <f t="shared" si="16"/>
        <v>35</v>
      </c>
      <c r="F115" s="98">
        <f t="shared" si="17"/>
        <v>4.4987146529562982E-2</v>
      </c>
    </row>
    <row r="116" spans="1:6" ht="18" customHeight="1" x14ac:dyDescent="0.25">
      <c r="A116" s="99">
        <v>4</v>
      </c>
      <c r="B116" s="100" t="s">
        <v>115</v>
      </c>
      <c r="C116" s="117">
        <v>984</v>
      </c>
      <c r="D116" s="117">
        <v>434</v>
      </c>
      <c r="E116" s="117">
        <f t="shared" si="16"/>
        <v>-550</v>
      </c>
      <c r="F116" s="98">
        <f t="shared" si="17"/>
        <v>-0.55894308943089432</v>
      </c>
    </row>
    <row r="117" spans="1:6" ht="18" customHeight="1" x14ac:dyDescent="0.25">
      <c r="A117" s="99">
        <v>5</v>
      </c>
      <c r="B117" s="100" t="s">
        <v>116</v>
      </c>
      <c r="C117" s="117">
        <v>27</v>
      </c>
      <c r="D117" s="117">
        <v>9</v>
      </c>
      <c r="E117" s="117">
        <f t="shared" si="16"/>
        <v>-18</v>
      </c>
      <c r="F117" s="98">
        <f t="shared" si="17"/>
        <v>-0.66666666666666663</v>
      </c>
    </row>
    <row r="118" spans="1:6" ht="18" customHeight="1" x14ac:dyDescent="0.25">
      <c r="A118" s="99">
        <v>6</v>
      </c>
      <c r="B118" s="100" t="s">
        <v>117</v>
      </c>
      <c r="C118" s="117">
        <v>0</v>
      </c>
      <c r="D118" s="117">
        <v>0</v>
      </c>
      <c r="E118" s="117">
        <f t="shared" si="16"/>
        <v>0</v>
      </c>
      <c r="F118" s="98">
        <f t="shared" si="17"/>
        <v>0</v>
      </c>
    </row>
    <row r="119" spans="1:6" ht="18" customHeight="1" x14ac:dyDescent="0.25">
      <c r="A119" s="99">
        <v>7</v>
      </c>
      <c r="B119" s="100" t="s">
        <v>118</v>
      </c>
      <c r="C119" s="117">
        <v>5591</v>
      </c>
      <c r="D119" s="117">
        <v>3989</v>
      </c>
      <c r="E119" s="117">
        <f t="shared" si="16"/>
        <v>-1602</v>
      </c>
      <c r="F119" s="98">
        <f t="shared" si="17"/>
        <v>-0.28653192631014129</v>
      </c>
    </row>
    <row r="120" spans="1:6" ht="18" customHeight="1" x14ac:dyDescent="0.25">
      <c r="A120" s="99">
        <v>8</v>
      </c>
      <c r="B120" s="100" t="s">
        <v>119</v>
      </c>
      <c r="C120" s="117">
        <v>36</v>
      </c>
      <c r="D120" s="117">
        <v>56</v>
      </c>
      <c r="E120" s="117">
        <f t="shared" si="16"/>
        <v>20</v>
      </c>
      <c r="F120" s="98">
        <f t="shared" si="17"/>
        <v>0.55555555555555558</v>
      </c>
    </row>
    <row r="121" spans="1:6" ht="18" customHeight="1" x14ac:dyDescent="0.25">
      <c r="A121" s="99">
        <v>9</v>
      </c>
      <c r="B121" s="100" t="s">
        <v>120</v>
      </c>
      <c r="C121" s="117">
        <v>311</v>
      </c>
      <c r="D121" s="117">
        <v>252</v>
      </c>
      <c r="E121" s="117">
        <f t="shared" si="16"/>
        <v>-59</v>
      </c>
      <c r="F121" s="98">
        <f t="shared" si="17"/>
        <v>-0.18971061093247588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8</v>
      </c>
      <c r="D123" s="117">
        <v>5</v>
      </c>
      <c r="E123" s="117">
        <f t="shared" si="16"/>
        <v>-3</v>
      </c>
      <c r="F123" s="98">
        <f t="shared" si="17"/>
        <v>-0.375</v>
      </c>
    </row>
    <row r="124" spans="1:6" ht="18" customHeight="1" x14ac:dyDescent="0.25">
      <c r="A124" s="101"/>
      <c r="B124" s="102" t="s">
        <v>140</v>
      </c>
      <c r="C124" s="118">
        <f>SUM(C113:C123)</f>
        <v>17312</v>
      </c>
      <c r="D124" s="118">
        <f>SUM(D113:D123)</f>
        <v>14756</v>
      </c>
      <c r="E124" s="118">
        <f t="shared" si="16"/>
        <v>-2556</v>
      </c>
      <c r="F124" s="104">
        <f t="shared" si="17"/>
        <v>-0.14764325323475047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8151</v>
      </c>
      <c r="D126" s="117">
        <v>8336</v>
      </c>
      <c r="E126" s="117">
        <f t="shared" ref="E126:E137" si="18">D126-C126</f>
        <v>185</v>
      </c>
      <c r="F126" s="98">
        <f t="shared" ref="F126:F137" si="19">IF(C126=0,0,E126/C126)</f>
        <v>2.2696601643970065E-2</v>
      </c>
    </row>
    <row r="127" spans="1:6" ht="18" customHeight="1" x14ac:dyDescent="0.25">
      <c r="A127" s="99">
        <v>2</v>
      </c>
      <c r="B127" s="100" t="s">
        <v>113</v>
      </c>
      <c r="C127" s="117">
        <v>5133</v>
      </c>
      <c r="D127" s="117">
        <v>4069</v>
      </c>
      <c r="E127" s="117">
        <f t="shared" si="18"/>
        <v>-1064</v>
      </c>
      <c r="F127" s="98">
        <f t="shared" si="19"/>
        <v>-0.2072861874147672</v>
      </c>
    </row>
    <row r="128" spans="1:6" ht="18" customHeight="1" x14ac:dyDescent="0.25">
      <c r="A128" s="99">
        <v>3</v>
      </c>
      <c r="B128" s="100" t="s">
        <v>114</v>
      </c>
      <c r="C128" s="117">
        <v>3576</v>
      </c>
      <c r="D128" s="117">
        <v>3824</v>
      </c>
      <c r="E128" s="117">
        <f t="shared" si="18"/>
        <v>248</v>
      </c>
      <c r="F128" s="98">
        <f t="shared" si="19"/>
        <v>6.9351230425055935E-2</v>
      </c>
    </row>
    <row r="129" spans="1:6" ht="18" customHeight="1" x14ac:dyDescent="0.25">
      <c r="A129" s="99">
        <v>4</v>
      </c>
      <c r="B129" s="100" t="s">
        <v>115</v>
      </c>
      <c r="C129" s="117">
        <v>7107</v>
      </c>
      <c r="D129" s="117">
        <v>6754</v>
      </c>
      <c r="E129" s="117">
        <f t="shared" si="18"/>
        <v>-353</v>
      </c>
      <c r="F129" s="98">
        <f t="shared" si="19"/>
        <v>-4.9669340087237931E-2</v>
      </c>
    </row>
    <row r="130" spans="1:6" ht="18" customHeight="1" x14ac:dyDescent="0.25">
      <c r="A130" s="99">
        <v>5</v>
      </c>
      <c r="B130" s="100" t="s">
        <v>116</v>
      </c>
      <c r="C130" s="117">
        <v>187</v>
      </c>
      <c r="D130" s="117">
        <v>149</v>
      </c>
      <c r="E130" s="117">
        <f t="shared" si="18"/>
        <v>-38</v>
      </c>
      <c r="F130" s="98">
        <f t="shared" si="19"/>
        <v>-0.20320855614973263</v>
      </c>
    </row>
    <row r="131" spans="1:6" ht="18" customHeight="1" x14ac:dyDescent="0.25">
      <c r="A131" s="99">
        <v>6</v>
      </c>
      <c r="B131" s="100" t="s">
        <v>117</v>
      </c>
      <c r="C131" s="117">
        <v>0</v>
      </c>
      <c r="D131" s="117">
        <v>0</v>
      </c>
      <c r="E131" s="117">
        <f t="shared" si="18"/>
        <v>0</v>
      </c>
      <c r="F131" s="98">
        <f t="shared" si="19"/>
        <v>0</v>
      </c>
    </row>
    <row r="132" spans="1:6" ht="18" customHeight="1" x14ac:dyDescent="0.25">
      <c r="A132" s="99">
        <v>7</v>
      </c>
      <c r="B132" s="100" t="s">
        <v>118</v>
      </c>
      <c r="C132" s="117">
        <v>33450</v>
      </c>
      <c r="D132" s="117">
        <v>30248</v>
      </c>
      <c r="E132" s="117">
        <f t="shared" si="18"/>
        <v>-3202</v>
      </c>
      <c r="F132" s="98">
        <f t="shared" si="19"/>
        <v>-9.5724962630792221E-2</v>
      </c>
    </row>
    <row r="133" spans="1:6" ht="18" customHeight="1" x14ac:dyDescent="0.25">
      <c r="A133" s="99">
        <v>8</v>
      </c>
      <c r="B133" s="100" t="s">
        <v>119</v>
      </c>
      <c r="C133" s="117">
        <v>1059</v>
      </c>
      <c r="D133" s="117">
        <v>961</v>
      </c>
      <c r="E133" s="117">
        <f t="shared" si="18"/>
        <v>-98</v>
      </c>
      <c r="F133" s="98">
        <f t="shared" si="19"/>
        <v>-9.2540132200188863E-2</v>
      </c>
    </row>
    <row r="134" spans="1:6" ht="18" customHeight="1" x14ac:dyDescent="0.25">
      <c r="A134" s="99">
        <v>9</v>
      </c>
      <c r="B134" s="100" t="s">
        <v>120</v>
      </c>
      <c r="C134" s="117">
        <v>3048</v>
      </c>
      <c r="D134" s="117">
        <v>2887</v>
      </c>
      <c r="E134" s="117">
        <f t="shared" si="18"/>
        <v>-161</v>
      </c>
      <c r="F134" s="98">
        <f t="shared" si="19"/>
        <v>-5.2821522309711287E-2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112</v>
      </c>
      <c r="D136" s="117">
        <v>124</v>
      </c>
      <c r="E136" s="117">
        <f t="shared" si="18"/>
        <v>12</v>
      </c>
      <c r="F136" s="98">
        <f t="shared" si="19"/>
        <v>0.10714285714285714</v>
      </c>
    </row>
    <row r="137" spans="1:6" ht="18" customHeight="1" x14ac:dyDescent="0.25">
      <c r="A137" s="101"/>
      <c r="B137" s="102" t="s">
        <v>143</v>
      </c>
      <c r="C137" s="118">
        <f>SUM(C126:C136)</f>
        <v>61823</v>
      </c>
      <c r="D137" s="118">
        <f>SUM(D126:D136)</f>
        <v>57352</v>
      </c>
      <c r="E137" s="118">
        <f t="shared" si="18"/>
        <v>-4471</v>
      </c>
      <c r="F137" s="104">
        <f t="shared" si="19"/>
        <v>-7.2319363343739382E-2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7168302</v>
      </c>
      <c r="D142" s="97">
        <v>7293771</v>
      </c>
      <c r="E142" s="97">
        <f t="shared" ref="E142:E153" si="20">D142-C142</f>
        <v>125469</v>
      </c>
      <c r="F142" s="98">
        <f t="shared" ref="F142:F153" si="21">IF(C142=0,0,E142/C142)</f>
        <v>1.7503308314856154E-2</v>
      </c>
    </row>
    <row r="143" spans="1:6" ht="18" customHeight="1" x14ac:dyDescent="0.25">
      <c r="A143" s="99">
        <v>2</v>
      </c>
      <c r="B143" s="100" t="s">
        <v>113</v>
      </c>
      <c r="C143" s="97">
        <v>2430205</v>
      </c>
      <c r="D143" s="97">
        <v>2920343</v>
      </c>
      <c r="E143" s="97">
        <f t="shared" si="20"/>
        <v>490138</v>
      </c>
      <c r="F143" s="98">
        <f t="shared" si="21"/>
        <v>0.20168586600718869</v>
      </c>
    </row>
    <row r="144" spans="1:6" ht="18" customHeight="1" x14ac:dyDescent="0.25">
      <c r="A144" s="99">
        <v>3</v>
      </c>
      <c r="B144" s="100" t="s">
        <v>114</v>
      </c>
      <c r="C144" s="97">
        <v>4213079</v>
      </c>
      <c r="D144" s="97">
        <v>4447121</v>
      </c>
      <c r="E144" s="97">
        <f t="shared" si="20"/>
        <v>234042</v>
      </c>
      <c r="F144" s="98">
        <f t="shared" si="21"/>
        <v>5.5551296332207394E-2</v>
      </c>
    </row>
    <row r="145" spans="1:6" ht="18" customHeight="1" x14ac:dyDescent="0.25">
      <c r="A145" s="99">
        <v>4</v>
      </c>
      <c r="B145" s="100" t="s">
        <v>115</v>
      </c>
      <c r="C145" s="97">
        <v>5005305</v>
      </c>
      <c r="D145" s="97">
        <v>5705539</v>
      </c>
      <c r="E145" s="97">
        <f t="shared" si="20"/>
        <v>700234</v>
      </c>
      <c r="F145" s="98">
        <f t="shared" si="21"/>
        <v>0.13989836783173054</v>
      </c>
    </row>
    <row r="146" spans="1:6" ht="18" customHeight="1" x14ac:dyDescent="0.25">
      <c r="A146" s="99">
        <v>5</v>
      </c>
      <c r="B146" s="100" t="s">
        <v>116</v>
      </c>
      <c r="C146" s="97">
        <v>127514</v>
      </c>
      <c r="D146" s="97">
        <v>135312</v>
      </c>
      <c r="E146" s="97">
        <f t="shared" si="20"/>
        <v>7798</v>
      </c>
      <c r="F146" s="98">
        <f t="shared" si="21"/>
        <v>6.1154069357090203E-2</v>
      </c>
    </row>
    <row r="147" spans="1:6" ht="18" customHeight="1" x14ac:dyDescent="0.25">
      <c r="A147" s="99">
        <v>6</v>
      </c>
      <c r="B147" s="100" t="s">
        <v>117</v>
      </c>
      <c r="C147" s="97">
        <v>0</v>
      </c>
      <c r="D147" s="97">
        <v>0</v>
      </c>
      <c r="E147" s="97">
        <f t="shared" si="20"/>
        <v>0</v>
      </c>
      <c r="F147" s="98">
        <f t="shared" si="21"/>
        <v>0</v>
      </c>
    </row>
    <row r="148" spans="1:6" ht="18" customHeight="1" x14ac:dyDescent="0.25">
      <c r="A148" s="99">
        <v>7</v>
      </c>
      <c r="B148" s="100" t="s">
        <v>118</v>
      </c>
      <c r="C148" s="97">
        <v>18318386</v>
      </c>
      <c r="D148" s="97">
        <v>18118342</v>
      </c>
      <c r="E148" s="97">
        <f t="shared" si="20"/>
        <v>-200044</v>
      </c>
      <c r="F148" s="98">
        <f t="shared" si="21"/>
        <v>-1.0920394405926374E-2</v>
      </c>
    </row>
    <row r="149" spans="1:6" ht="18" customHeight="1" x14ac:dyDescent="0.25">
      <c r="A149" s="99">
        <v>8</v>
      </c>
      <c r="B149" s="100" t="s">
        <v>119</v>
      </c>
      <c r="C149" s="97">
        <v>833614</v>
      </c>
      <c r="D149" s="97">
        <v>838666</v>
      </c>
      <c r="E149" s="97">
        <f t="shared" si="20"/>
        <v>5052</v>
      </c>
      <c r="F149" s="98">
        <f t="shared" si="21"/>
        <v>6.0603588711322029E-3</v>
      </c>
    </row>
    <row r="150" spans="1:6" ht="18" customHeight="1" x14ac:dyDescent="0.25">
      <c r="A150" s="99">
        <v>9</v>
      </c>
      <c r="B150" s="100" t="s">
        <v>120</v>
      </c>
      <c r="C150" s="97">
        <v>3356904</v>
      </c>
      <c r="D150" s="97">
        <v>3333640</v>
      </c>
      <c r="E150" s="97">
        <f t="shared" si="20"/>
        <v>-23264</v>
      </c>
      <c r="F150" s="98">
        <f t="shared" si="21"/>
        <v>-6.9301952036757682E-3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91955</v>
      </c>
      <c r="D152" s="97">
        <v>130545</v>
      </c>
      <c r="E152" s="97">
        <f t="shared" si="20"/>
        <v>38590</v>
      </c>
      <c r="F152" s="98">
        <f t="shared" si="21"/>
        <v>0.41966179109346963</v>
      </c>
    </row>
    <row r="153" spans="1:6" ht="33.75" customHeight="1" x14ac:dyDescent="0.25">
      <c r="A153" s="101"/>
      <c r="B153" s="102" t="s">
        <v>147</v>
      </c>
      <c r="C153" s="103">
        <f>SUM(C142:C152)</f>
        <v>41545264</v>
      </c>
      <c r="D153" s="103">
        <f>SUM(D142:D152)</f>
        <v>42923279</v>
      </c>
      <c r="E153" s="103">
        <f t="shared" si="20"/>
        <v>1378015</v>
      </c>
      <c r="F153" s="104">
        <f t="shared" si="21"/>
        <v>3.3169003330921182E-2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1896507</v>
      </c>
      <c r="D155" s="97">
        <v>1757514</v>
      </c>
      <c r="E155" s="97">
        <f t="shared" ref="E155:E166" si="22">D155-C155</f>
        <v>-138993</v>
      </c>
      <c r="F155" s="98">
        <f t="shared" ref="F155:F166" si="23">IF(C155=0,0,E155/C155)</f>
        <v>-7.328894646842854E-2</v>
      </c>
    </row>
    <row r="156" spans="1:6" ht="18" customHeight="1" x14ac:dyDescent="0.25">
      <c r="A156" s="99">
        <v>2</v>
      </c>
      <c r="B156" s="100" t="s">
        <v>113</v>
      </c>
      <c r="C156" s="97">
        <v>855857</v>
      </c>
      <c r="D156" s="97">
        <v>767921</v>
      </c>
      <c r="E156" s="97">
        <f t="shared" si="22"/>
        <v>-87936</v>
      </c>
      <c r="F156" s="98">
        <f t="shared" si="23"/>
        <v>-0.10274613632884932</v>
      </c>
    </row>
    <row r="157" spans="1:6" ht="18" customHeight="1" x14ac:dyDescent="0.25">
      <c r="A157" s="99">
        <v>3</v>
      </c>
      <c r="B157" s="100" t="s">
        <v>114</v>
      </c>
      <c r="C157" s="97">
        <v>791975</v>
      </c>
      <c r="D157" s="97">
        <v>1104837</v>
      </c>
      <c r="E157" s="97">
        <f t="shared" si="22"/>
        <v>312862</v>
      </c>
      <c r="F157" s="98">
        <f t="shared" si="23"/>
        <v>0.39504024748255945</v>
      </c>
    </row>
    <row r="158" spans="1:6" ht="18" customHeight="1" x14ac:dyDescent="0.25">
      <c r="A158" s="99">
        <v>4</v>
      </c>
      <c r="B158" s="100" t="s">
        <v>115</v>
      </c>
      <c r="C158" s="97">
        <v>1488419</v>
      </c>
      <c r="D158" s="97">
        <v>1532956</v>
      </c>
      <c r="E158" s="97">
        <f t="shared" si="22"/>
        <v>44537</v>
      </c>
      <c r="F158" s="98">
        <f t="shared" si="23"/>
        <v>2.9922353853316843E-2</v>
      </c>
    </row>
    <row r="159" spans="1:6" ht="18" customHeight="1" x14ac:dyDescent="0.25">
      <c r="A159" s="99">
        <v>5</v>
      </c>
      <c r="B159" s="100" t="s">
        <v>116</v>
      </c>
      <c r="C159" s="97">
        <v>45540</v>
      </c>
      <c r="D159" s="97">
        <v>42700</v>
      </c>
      <c r="E159" s="97">
        <f t="shared" si="22"/>
        <v>-2840</v>
      </c>
      <c r="F159" s="98">
        <f t="shared" si="23"/>
        <v>-6.2362758014931928E-2</v>
      </c>
    </row>
    <row r="160" spans="1:6" ht="18" customHeight="1" x14ac:dyDescent="0.25">
      <c r="A160" s="99">
        <v>6</v>
      </c>
      <c r="B160" s="100" t="s">
        <v>117</v>
      </c>
      <c r="C160" s="97">
        <v>0</v>
      </c>
      <c r="D160" s="97">
        <v>0</v>
      </c>
      <c r="E160" s="97">
        <f t="shared" si="22"/>
        <v>0</v>
      </c>
      <c r="F160" s="98">
        <f t="shared" si="23"/>
        <v>0</v>
      </c>
    </row>
    <row r="161" spans="1:6" ht="18" customHeight="1" x14ac:dyDescent="0.25">
      <c r="A161" s="99">
        <v>7</v>
      </c>
      <c r="B161" s="100" t="s">
        <v>118</v>
      </c>
      <c r="C161" s="97">
        <v>8100837</v>
      </c>
      <c r="D161" s="97">
        <v>9335602</v>
      </c>
      <c r="E161" s="97">
        <f t="shared" si="22"/>
        <v>1234765</v>
      </c>
      <c r="F161" s="98">
        <f t="shared" si="23"/>
        <v>0.15242437293825317</v>
      </c>
    </row>
    <row r="162" spans="1:6" ht="18" customHeight="1" x14ac:dyDescent="0.25">
      <c r="A162" s="99">
        <v>8</v>
      </c>
      <c r="B162" s="100" t="s">
        <v>119</v>
      </c>
      <c r="C162" s="97">
        <v>479064</v>
      </c>
      <c r="D162" s="97">
        <v>608828</v>
      </c>
      <c r="E162" s="97">
        <f t="shared" si="22"/>
        <v>129764</v>
      </c>
      <c r="F162" s="98">
        <f t="shared" si="23"/>
        <v>0.27086986289932036</v>
      </c>
    </row>
    <row r="163" spans="1:6" ht="18" customHeight="1" x14ac:dyDescent="0.25">
      <c r="A163" s="99">
        <v>9</v>
      </c>
      <c r="B163" s="100" t="s">
        <v>120</v>
      </c>
      <c r="C163" s="97">
        <v>220549</v>
      </c>
      <c r="D163" s="97">
        <v>213529</v>
      </c>
      <c r="E163" s="97">
        <f t="shared" si="22"/>
        <v>-7020</v>
      </c>
      <c r="F163" s="98">
        <f t="shared" si="23"/>
        <v>-3.1829661435780712E-2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45159</v>
      </c>
      <c r="D165" s="97">
        <v>26560</v>
      </c>
      <c r="E165" s="97">
        <f t="shared" si="22"/>
        <v>-18599</v>
      </c>
      <c r="F165" s="98">
        <f t="shared" si="23"/>
        <v>-0.41185588697712527</v>
      </c>
    </row>
    <row r="166" spans="1:6" ht="33.75" customHeight="1" x14ac:dyDescent="0.25">
      <c r="A166" s="101"/>
      <c r="B166" s="102" t="s">
        <v>149</v>
      </c>
      <c r="C166" s="103">
        <f>SUM(C155:C165)</f>
        <v>13923907</v>
      </c>
      <c r="D166" s="103">
        <f>SUM(D155:D165)</f>
        <v>15390447</v>
      </c>
      <c r="E166" s="103">
        <f t="shared" si="22"/>
        <v>1466540</v>
      </c>
      <c r="F166" s="104">
        <f t="shared" si="23"/>
        <v>0.10532532284221663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4088</v>
      </c>
      <c r="D168" s="117">
        <v>4007</v>
      </c>
      <c r="E168" s="117">
        <f t="shared" ref="E168:E179" si="24">D168-C168</f>
        <v>-81</v>
      </c>
      <c r="F168" s="98">
        <f t="shared" ref="F168:F179" si="25">IF(C168=0,0,E168/C168)</f>
        <v>-1.9814090019569471E-2</v>
      </c>
    </row>
    <row r="169" spans="1:6" ht="18" customHeight="1" x14ac:dyDescent="0.25">
      <c r="A169" s="99">
        <v>2</v>
      </c>
      <c r="B169" s="100" t="s">
        <v>113</v>
      </c>
      <c r="C169" s="117">
        <v>1368</v>
      </c>
      <c r="D169" s="117">
        <v>1520</v>
      </c>
      <c r="E169" s="117">
        <f t="shared" si="24"/>
        <v>152</v>
      </c>
      <c r="F169" s="98">
        <f t="shared" si="25"/>
        <v>0.1111111111111111</v>
      </c>
    </row>
    <row r="170" spans="1:6" ht="18" customHeight="1" x14ac:dyDescent="0.25">
      <c r="A170" s="99">
        <v>3</v>
      </c>
      <c r="B170" s="100" t="s">
        <v>114</v>
      </c>
      <c r="C170" s="117">
        <v>3118</v>
      </c>
      <c r="D170" s="117">
        <v>3196</v>
      </c>
      <c r="E170" s="117">
        <f t="shared" si="24"/>
        <v>78</v>
      </c>
      <c r="F170" s="98">
        <f t="shared" si="25"/>
        <v>2.5016035920461834E-2</v>
      </c>
    </row>
    <row r="171" spans="1:6" ht="18" customHeight="1" x14ac:dyDescent="0.25">
      <c r="A171" s="99">
        <v>4</v>
      </c>
      <c r="B171" s="100" t="s">
        <v>115</v>
      </c>
      <c r="C171" s="117">
        <v>4994</v>
      </c>
      <c r="D171" s="117">
        <v>5205</v>
      </c>
      <c r="E171" s="117">
        <f t="shared" si="24"/>
        <v>211</v>
      </c>
      <c r="F171" s="98">
        <f t="shared" si="25"/>
        <v>4.2250700841009209E-2</v>
      </c>
    </row>
    <row r="172" spans="1:6" ht="18" customHeight="1" x14ac:dyDescent="0.25">
      <c r="A172" s="99">
        <v>5</v>
      </c>
      <c r="B172" s="100" t="s">
        <v>116</v>
      </c>
      <c r="C172" s="117">
        <v>144</v>
      </c>
      <c r="D172" s="117">
        <v>122</v>
      </c>
      <c r="E172" s="117">
        <f t="shared" si="24"/>
        <v>-22</v>
      </c>
      <c r="F172" s="98">
        <f t="shared" si="25"/>
        <v>-0.15277777777777779</v>
      </c>
    </row>
    <row r="173" spans="1:6" ht="18" customHeight="1" x14ac:dyDescent="0.25">
      <c r="A173" s="99">
        <v>6</v>
      </c>
      <c r="B173" s="100" t="s">
        <v>117</v>
      </c>
      <c r="C173" s="117">
        <v>0</v>
      </c>
      <c r="D173" s="117">
        <v>0</v>
      </c>
      <c r="E173" s="117">
        <f t="shared" si="24"/>
        <v>0</v>
      </c>
      <c r="F173" s="98">
        <f t="shared" si="25"/>
        <v>0</v>
      </c>
    </row>
    <row r="174" spans="1:6" ht="18" customHeight="1" x14ac:dyDescent="0.25">
      <c r="A174" s="99">
        <v>7</v>
      </c>
      <c r="B174" s="100" t="s">
        <v>118</v>
      </c>
      <c r="C174" s="117">
        <v>16737</v>
      </c>
      <c r="D174" s="117">
        <v>15761</v>
      </c>
      <c r="E174" s="117">
        <f t="shared" si="24"/>
        <v>-976</v>
      </c>
      <c r="F174" s="98">
        <f t="shared" si="25"/>
        <v>-5.8313915277528827E-2</v>
      </c>
    </row>
    <row r="175" spans="1:6" ht="18" customHeight="1" x14ac:dyDescent="0.25">
      <c r="A175" s="99">
        <v>8</v>
      </c>
      <c r="B175" s="100" t="s">
        <v>119</v>
      </c>
      <c r="C175" s="117">
        <v>901</v>
      </c>
      <c r="D175" s="117">
        <v>845</v>
      </c>
      <c r="E175" s="117">
        <f t="shared" si="24"/>
        <v>-56</v>
      </c>
      <c r="F175" s="98">
        <f t="shared" si="25"/>
        <v>-6.2153163152053277E-2</v>
      </c>
    </row>
    <row r="176" spans="1:6" ht="18" customHeight="1" x14ac:dyDescent="0.25">
      <c r="A176" s="99">
        <v>9</v>
      </c>
      <c r="B176" s="100" t="s">
        <v>120</v>
      </c>
      <c r="C176" s="117">
        <v>2833</v>
      </c>
      <c r="D176" s="117">
        <v>2656</v>
      </c>
      <c r="E176" s="117">
        <f t="shared" si="24"/>
        <v>-177</v>
      </c>
      <c r="F176" s="98">
        <f t="shared" si="25"/>
        <v>-6.2477938581009529E-2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109</v>
      </c>
      <c r="D178" s="117">
        <v>115</v>
      </c>
      <c r="E178" s="117">
        <f t="shared" si="24"/>
        <v>6</v>
      </c>
      <c r="F178" s="98">
        <f t="shared" si="25"/>
        <v>5.5045871559633031E-2</v>
      </c>
    </row>
    <row r="179" spans="1:6" ht="33.75" customHeight="1" x14ac:dyDescent="0.25">
      <c r="A179" s="101"/>
      <c r="B179" s="102" t="s">
        <v>151</v>
      </c>
      <c r="C179" s="118">
        <f>SUM(C168:C178)</f>
        <v>34292</v>
      </c>
      <c r="D179" s="118">
        <f>SUM(D168:D178)</f>
        <v>33427</v>
      </c>
      <c r="E179" s="118">
        <f t="shared" si="24"/>
        <v>-865</v>
      </c>
      <c r="F179" s="104">
        <f t="shared" si="25"/>
        <v>-2.5224542167269333E-2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r:id="rId1"/>
  <headerFooter>
    <oddHeader>&amp;LOFFICE OF HEALTH CARE ACCESS&amp;CTWELVE MONTHS ACTUAL FILING&amp;RMILFORD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16272813</v>
      </c>
      <c r="D15" s="146">
        <v>16612248</v>
      </c>
      <c r="E15" s="146">
        <f>+D15-C15</f>
        <v>339435</v>
      </c>
      <c r="F15" s="150">
        <f>IF(C15=0,0,E15/C15)</f>
        <v>2.0859024189609995E-2</v>
      </c>
    </row>
    <row r="16" spans="1:7" ht="15" customHeight="1" x14ac:dyDescent="0.2">
      <c r="A16" s="141">
        <v>2</v>
      </c>
      <c r="B16" s="149" t="s">
        <v>158</v>
      </c>
      <c r="C16" s="146">
        <v>5349273</v>
      </c>
      <c r="D16" s="146">
        <v>5506935</v>
      </c>
      <c r="E16" s="146">
        <f>+D16-C16</f>
        <v>157662</v>
      </c>
      <c r="F16" s="150">
        <f>IF(C16=0,0,E16/C16)</f>
        <v>2.9473537805978493E-2</v>
      </c>
    </row>
    <row r="17" spans="1:7" ht="15" customHeight="1" x14ac:dyDescent="0.2">
      <c r="A17" s="141">
        <v>3</v>
      </c>
      <c r="B17" s="149" t="s">
        <v>159</v>
      </c>
      <c r="C17" s="146">
        <v>16329168</v>
      </c>
      <c r="D17" s="146">
        <v>15846036</v>
      </c>
      <c r="E17" s="146">
        <f>+D17-C17</f>
        <v>-483132</v>
      </c>
      <c r="F17" s="150">
        <f>IF(C17=0,0,E17/C17)</f>
        <v>-2.958705550705339E-2</v>
      </c>
    </row>
    <row r="18" spans="1:7" ht="15.75" customHeight="1" x14ac:dyDescent="0.25">
      <c r="A18" s="141"/>
      <c r="B18" s="151" t="s">
        <v>160</v>
      </c>
      <c r="C18" s="147">
        <f>SUM(C15:C17)</f>
        <v>37951254</v>
      </c>
      <c r="D18" s="147">
        <f>SUM(D15:D17)</f>
        <v>37965219</v>
      </c>
      <c r="E18" s="147">
        <f>+D18-C18</f>
        <v>13965</v>
      </c>
      <c r="F18" s="148">
        <f>IF(C18=0,0,E18/C18)</f>
        <v>3.6797203064752488E-4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6268543</v>
      </c>
      <c r="D21" s="146">
        <v>6871624</v>
      </c>
      <c r="E21" s="146">
        <f>+D21-C21</f>
        <v>603081</v>
      </c>
      <c r="F21" s="150">
        <f>IF(C21=0,0,E21/C21)</f>
        <v>9.6207523821723803E-2</v>
      </c>
    </row>
    <row r="22" spans="1:7" ht="15" customHeight="1" x14ac:dyDescent="0.2">
      <c r="A22" s="141">
        <v>2</v>
      </c>
      <c r="B22" s="149" t="s">
        <v>163</v>
      </c>
      <c r="C22" s="146">
        <v>867350</v>
      </c>
      <c r="D22" s="146">
        <v>771654</v>
      </c>
      <c r="E22" s="146">
        <f>+D22-C22</f>
        <v>-95696</v>
      </c>
      <c r="F22" s="150">
        <f>IF(C22=0,0,E22/C22)</f>
        <v>-0.11033146941834322</v>
      </c>
    </row>
    <row r="23" spans="1:7" ht="15" customHeight="1" x14ac:dyDescent="0.2">
      <c r="A23" s="141">
        <v>3</v>
      </c>
      <c r="B23" s="149" t="s">
        <v>164</v>
      </c>
      <c r="C23" s="146">
        <v>6291068</v>
      </c>
      <c r="D23" s="146">
        <v>6895421</v>
      </c>
      <c r="E23" s="146">
        <f>+D23-C23</f>
        <v>604353</v>
      </c>
      <c r="F23" s="150">
        <f>IF(C23=0,0,E23/C23)</f>
        <v>9.6065246791164877E-2</v>
      </c>
    </row>
    <row r="24" spans="1:7" ht="15.75" customHeight="1" x14ac:dyDescent="0.25">
      <c r="A24" s="141"/>
      <c r="B24" s="151" t="s">
        <v>165</v>
      </c>
      <c r="C24" s="147">
        <f>SUM(C21:C23)</f>
        <v>13426961</v>
      </c>
      <c r="D24" s="147">
        <f>SUM(D21:D23)</f>
        <v>14538699</v>
      </c>
      <c r="E24" s="147">
        <f>+D24-C24</f>
        <v>1111738</v>
      </c>
      <c r="F24" s="148">
        <f>IF(C24=0,0,E24/C24)</f>
        <v>8.2798929705686933E-2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106776</v>
      </c>
      <c r="D27" s="146">
        <v>149330</v>
      </c>
      <c r="E27" s="146">
        <f>+D27-C27</f>
        <v>42554</v>
      </c>
      <c r="F27" s="150">
        <f>IF(C27=0,0,E27/C27)</f>
        <v>0.39853525136734846</v>
      </c>
    </row>
    <row r="28" spans="1:7" ht="15" customHeight="1" x14ac:dyDescent="0.2">
      <c r="A28" s="141">
        <v>2</v>
      </c>
      <c r="B28" s="149" t="s">
        <v>168</v>
      </c>
      <c r="C28" s="146">
        <v>254333</v>
      </c>
      <c r="D28" s="146">
        <v>1056109</v>
      </c>
      <c r="E28" s="146">
        <f>+D28-C28</f>
        <v>801776</v>
      </c>
      <c r="F28" s="150">
        <f>IF(C28=0,0,E28/C28)</f>
        <v>3.1524654684999587</v>
      </c>
    </row>
    <row r="29" spans="1:7" ht="15" customHeight="1" x14ac:dyDescent="0.2">
      <c r="A29" s="141">
        <v>3</v>
      </c>
      <c r="B29" s="149" t="s">
        <v>169</v>
      </c>
      <c r="C29" s="146">
        <v>50</v>
      </c>
      <c r="D29" s="146">
        <v>0</v>
      </c>
      <c r="E29" s="146">
        <f>+D29-C29</f>
        <v>-50</v>
      </c>
      <c r="F29" s="150">
        <f>IF(C29=0,0,E29/C29)</f>
        <v>-1</v>
      </c>
    </row>
    <row r="30" spans="1:7" ht="15.75" customHeight="1" x14ac:dyDescent="0.25">
      <c r="A30" s="141"/>
      <c r="B30" s="151" t="s">
        <v>170</v>
      </c>
      <c r="C30" s="147">
        <f>SUM(C27:C29)</f>
        <v>361159</v>
      </c>
      <c r="D30" s="147">
        <f>SUM(D27:D29)</f>
        <v>1205439</v>
      </c>
      <c r="E30" s="147">
        <f>+D30-C30</f>
        <v>844280</v>
      </c>
      <c r="F30" s="148">
        <f>IF(C30=0,0,E30/C30)</f>
        <v>2.3376961393735169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9386927</v>
      </c>
      <c r="D33" s="146">
        <v>9629635</v>
      </c>
      <c r="E33" s="146">
        <f>+D33-C33</f>
        <v>242708</v>
      </c>
      <c r="F33" s="150">
        <f>IF(C33=0,0,E33/C33)</f>
        <v>2.5855959037499706E-2</v>
      </c>
    </row>
    <row r="34" spans="1:7" ht="15" customHeight="1" x14ac:dyDescent="0.2">
      <c r="A34" s="141">
        <v>2</v>
      </c>
      <c r="B34" s="149" t="s">
        <v>174</v>
      </c>
      <c r="C34" s="146">
        <v>1732866</v>
      </c>
      <c r="D34" s="146">
        <v>1759145</v>
      </c>
      <c r="E34" s="146">
        <f>+D34-C34</f>
        <v>26279</v>
      </c>
      <c r="F34" s="150">
        <f>IF(C34=0,0,E34/C34)</f>
        <v>1.5165050269322614E-2</v>
      </c>
    </row>
    <row r="35" spans="1:7" ht="15.75" customHeight="1" x14ac:dyDescent="0.25">
      <c r="A35" s="141"/>
      <c r="B35" s="151" t="s">
        <v>175</v>
      </c>
      <c r="C35" s="147">
        <f>SUM(C33:C34)</f>
        <v>11119793</v>
      </c>
      <c r="D35" s="147">
        <f>SUM(D33:D34)</f>
        <v>11388780</v>
      </c>
      <c r="E35" s="147">
        <f>+D35-C35</f>
        <v>268987</v>
      </c>
      <c r="F35" s="148">
        <f>IF(C35=0,0,E35/C35)</f>
        <v>2.4189928715399649E-2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1489826</v>
      </c>
      <c r="D38" s="146">
        <v>1391027</v>
      </c>
      <c r="E38" s="146">
        <f>+D38-C38</f>
        <v>-98799</v>
      </c>
      <c r="F38" s="150">
        <f>IF(C38=0,0,E38/C38)</f>
        <v>-6.6315797952244085E-2</v>
      </c>
    </row>
    <row r="39" spans="1:7" ht="15" customHeight="1" x14ac:dyDescent="0.2">
      <c r="A39" s="141">
        <v>2</v>
      </c>
      <c r="B39" s="149" t="s">
        <v>179</v>
      </c>
      <c r="C39" s="146">
        <v>1708953</v>
      </c>
      <c r="D39" s="146">
        <v>1396357</v>
      </c>
      <c r="E39" s="146">
        <f>+D39-C39</f>
        <v>-312596</v>
      </c>
      <c r="F39" s="150">
        <f>IF(C39=0,0,E39/C39)</f>
        <v>-0.18291667471252868</v>
      </c>
    </row>
    <row r="40" spans="1:7" ht="15" customHeight="1" x14ac:dyDescent="0.2">
      <c r="A40" s="141">
        <v>3</v>
      </c>
      <c r="B40" s="149" t="s">
        <v>180</v>
      </c>
      <c r="C40" s="146">
        <v>9526</v>
      </c>
      <c r="D40" s="146">
        <v>9526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3208305</v>
      </c>
      <c r="D41" s="147">
        <f>SUM(D38:D40)</f>
        <v>2796910</v>
      </c>
      <c r="E41" s="147">
        <f>+D41-C41</f>
        <v>-411395</v>
      </c>
      <c r="F41" s="148">
        <f>IF(C41=0,0,E41/C41)</f>
        <v>-0.12822814539141383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7611773</v>
      </c>
      <c r="D44" s="146">
        <v>7028914</v>
      </c>
      <c r="E44" s="146">
        <f>+D44-C44</f>
        <v>-582859</v>
      </c>
      <c r="F44" s="150">
        <f>IF(C44=0,0,E44/C44)</f>
        <v>-7.6573355511258684E-2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168405</v>
      </c>
      <c r="D47" s="146">
        <v>102151</v>
      </c>
      <c r="E47" s="146">
        <f>+D47-C47</f>
        <v>-66254</v>
      </c>
      <c r="F47" s="150">
        <f>IF(C47=0,0,E47/C47)</f>
        <v>-0.39342062290312046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798342</v>
      </c>
      <c r="D50" s="146">
        <v>2550199</v>
      </c>
      <c r="E50" s="146">
        <f>+D50-C50</f>
        <v>1751857</v>
      </c>
      <c r="F50" s="150">
        <f>IF(C50=0,0,E50/C50)</f>
        <v>2.1943690799181303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62849</v>
      </c>
      <c r="D53" s="146">
        <v>92807</v>
      </c>
      <c r="E53" s="146">
        <f t="shared" ref="E53:E59" si="0">+D53-C53</f>
        <v>29958</v>
      </c>
      <c r="F53" s="150">
        <f t="shared" ref="F53:F59" si="1">IF(C53=0,0,E53/C53)</f>
        <v>0.47666629540645039</v>
      </c>
    </row>
    <row r="54" spans="1:7" ht="15" customHeight="1" x14ac:dyDescent="0.2">
      <c r="A54" s="141">
        <v>2</v>
      </c>
      <c r="B54" s="149" t="s">
        <v>193</v>
      </c>
      <c r="C54" s="146">
        <v>581422</v>
      </c>
      <c r="D54" s="146">
        <v>437281</v>
      </c>
      <c r="E54" s="146">
        <f t="shared" si="0"/>
        <v>-144141</v>
      </c>
      <c r="F54" s="150">
        <f t="shared" si="1"/>
        <v>-0.24791115575262029</v>
      </c>
    </row>
    <row r="55" spans="1:7" ht="15" customHeight="1" x14ac:dyDescent="0.2">
      <c r="A55" s="141">
        <v>3</v>
      </c>
      <c r="B55" s="149" t="s">
        <v>194</v>
      </c>
      <c r="C55" s="146">
        <v>0</v>
      </c>
      <c r="D55" s="146">
        <v>29179</v>
      </c>
      <c r="E55" s="146">
        <f t="shared" si="0"/>
        <v>29179</v>
      </c>
      <c r="F55" s="150">
        <f t="shared" si="1"/>
        <v>0</v>
      </c>
    </row>
    <row r="56" spans="1:7" ht="15" customHeight="1" x14ac:dyDescent="0.2">
      <c r="A56" s="141">
        <v>4</v>
      </c>
      <c r="B56" s="149" t="s">
        <v>195</v>
      </c>
      <c r="C56" s="146">
        <v>993023</v>
      </c>
      <c r="D56" s="146">
        <v>1031851</v>
      </c>
      <c r="E56" s="146">
        <f t="shared" si="0"/>
        <v>38828</v>
      </c>
      <c r="F56" s="150">
        <f t="shared" si="1"/>
        <v>3.9100806325734649E-2</v>
      </c>
    </row>
    <row r="57" spans="1:7" ht="15" customHeight="1" x14ac:dyDescent="0.2">
      <c r="A57" s="141">
        <v>5</v>
      </c>
      <c r="B57" s="149" t="s">
        <v>196</v>
      </c>
      <c r="C57" s="146">
        <v>83870</v>
      </c>
      <c r="D57" s="146">
        <v>66168</v>
      </c>
      <c r="E57" s="146">
        <f t="shared" si="0"/>
        <v>-17702</v>
      </c>
      <c r="F57" s="150">
        <f t="shared" si="1"/>
        <v>-0.21106474305472755</v>
      </c>
    </row>
    <row r="58" spans="1:7" ht="15" customHeight="1" x14ac:dyDescent="0.2">
      <c r="A58" s="141">
        <v>6</v>
      </c>
      <c r="B58" s="149" t="s">
        <v>197</v>
      </c>
      <c r="C58" s="146">
        <v>50480</v>
      </c>
      <c r="D58" s="146">
        <v>54153</v>
      </c>
      <c r="E58" s="146">
        <f t="shared" si="0"/>
        <v>3673</v>
      </c>
      <c r="F58" s="150">
        <f t="shared" si="1"/>
        <v>7.2761489698890652E-2</v>
      </c>
    </row>
    <row r="59" spans="1:7" ht="15.75" customHeight="1" x14ac:dyDescent="0.25">
      <c r="A59" s="141"/>
      <c r="B59" s="151" t="s">
        <v>198</v>
      </c>
      <c r="C59" s="147">
        <f>SUM(C53:C58)</f>
        <v>1771644</v>
      </c>
      <c r="D59" s="147">
        <f>SUM(D53:D58)</f>
        <v>1711439</v>
      </c>
      <c r="E59" s="147">
        <f t="shared" si="0"/>
        <v>-60205</v>
      </c>
      <c r="F59" s="148">
        <f t="shared" si="1"/>
        <v>-3.3982560830505451E-2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155159</v>
      </c>
      <c r="D62" s="146">
        <v>153779</v>
      </c>
      <c r="E62" s="146">
        <f t="shared" ref="E62:E90" si="2">+D62-C62</f>
        <v>-1380</v>
      </c>
      <c r="F62" s="150">
        <f t="shared" ref="F62:F90" si="3">IF(C62=0,0,E62/C62)</f>
        <v>-8.8941021790550339E-3</v>
      </c>
    </row>
    <row r="63" spans="1:7" ht="15" customHeight="1" x14ac:dyDescent="0.2">
      <c r="A63" s="141">
        <v>2</v>
      </c>
      <c r="B63" s="149" t="s">
        <v>202</v>
      </c>
      <c r="C63" s="146">
        <v>134345</v>
      </c>
      <c r="D63" s="146">
        <v>190551</v>
      </c>
      <c r="E63" s="146">
        <f t="shared" si="2"/>
        <v>56206</v>
      </c>
      <c r="F63" s="150">
        <f t="shared" si="3"/>
        <v>0.41837061297405931</v>
      </c>
    </row>
    <row r="64" spans="1:7" ht="15" customHeight="1" x14ac:dyDescent="0.2">
      <c r="A64" s="141">
        <v>3</v>
      </c>
      <c r="B64" s="149" t="s">
        <v>203</v>
      </c>
      <c r="C64" s="146">
        <v>404951</v>
      </c>
      <c r="D64" s="146">
        <v>280441</v>
      </c>
      <c r="E64" s="146">
        <f t="shared" si="2"/>
        <v>-124510</v>
      </c>
      <c r="F64" s="150">
        <f t="shared" si="3"/>
        <v>-0.30746929875466417</v>
      </c>
    </row>
    <row r="65" spans="1:6" ht="15" customHeight="1" x14ac:dyDescent="0.2">
      <c r="A65" s="141">
        <v>4</v>
      </c>
      <c r="B65" s="149" t="s">
        <v>204</v>
      </c>
      <c r="C65" s="146">
        <v>203633</v>
      </c>
      <c r="D65" s="146">
        <v>215685</v>
      </c>
      <c r="E65" s="146">
        <f t="shared" si="2"/>
        <v>12052</v>
      </c>
      <c r="F65" s="150">
        <f t="shared" si="3"/>
        <v>5.9184906179253857E-2</v>
      </c>
    </row>
    <row r="66" spans="1:6" ht="15" customHeight="1" x14ac:dyDescent="0.2">
      <c r="A66" s="141">
        <v>5</v>
      </c>
      <c r="B66" s="149" t="s">
        <v>205</v>
      </c>
      <c r="C66" s="146">
        <v>140464</v>
      </c>
      <c r="D66" s="146">
        <v>172126</v>
      </c>
      <c r="E66" s="146">
        <f t="shared" si="2"/>
        <v>31662</v>
      </c>
      <c r="F66" s="150">
        <f t="shared" si="3"/>
        <v>0.22541006948399589</v>
      </c>
    </row>
    <row r="67" spans="1:6" ht="15" customHeight="1" x14ac:dyDescent="0.2">
      <c r="A67" s="141">
        <v>6</v>
      </c>
      <c r="B67" s="149" t="s">
        <v>206</v>
      </c>
      <c r="C67" s="146">
        <v>135688</v>
      </c>
      <c r="D67" s="146">
        <v>138974</v>
      </c>
      <c r="E67" s="146">
        <f t="shared" si="2"/>
        <v>3286</v>
      </c>
      <c r="F67" s="150">
        <f t="shared" si="3"/>
        <v>2.4217322091857792E-2</v>
      </c>
    </row>
    <row r="68" spans="1:6" ht="15" customHeight="1" x14ac:dyDescent="0.2">
      <c r="A68" s="141">
        <v>7</v>
      </c>
      <c r="B68" s="149" t="s">
        <v>207</v>
      </c>
      <c r="C68" s="146">
        <v>389602</v>
      </c>
      <c r="D68" s="146">
        <v>431561</v>
      </c>
      <c r="E68" s="146">
        <f t="shared" si="2"/>
        <v>41959</v>
      </c>
      <c r="F68" s="150">
        <f t="shared" si="3"/>
        <v>0.10769708574391301</v>
      </c>
    </row>
    <row r="69" spans="1:6" ht="15" customHeight="1" x14ac:dyDescent="0.2">
      <c r="A69" s="141">
        <v>8</v>
      </c>
      <c r="B69" s="149" t="s">
        <v>208</v>
      </c>
      <c r="C69" s="146">
        <v>120968</v>
      </c>
      <c r="D69" s="146">
        <v>100291</v>
      </c>
      <c r="E69" s="146">
        <f t="shared" si="2"/>
        <v>-20677</v>
      </c>
      <c r="F69" s="150">
        <f t="shared" si="3"/>
        <v>-0.17092950201706236</v>
      </c>
    </row>
    <row r="70" spans="1:6" ht="15" customHeight="1" x14ac:dyDescent="0.2">
      <c r="A70" s="141">
        <v>9</v>
      </c>
      <c r="B70" s="149" t="s">
        <v>209</v>
      </c>
      <c r="C70" s="146">
        <v>12574</v>
      </c>
      <c r="D70" s="146">
        <v>24478</v>
      </c>
      <c r="E70" s="146">
        <f t="shared" si="2"/>
        <v>11904</v>
      </c>
      <c r="F70" s="150">
        <f t="shared" si="3"/>
        <v>0.94671544456815648</v>
      </c>
    </row>
    <row r="71" spans="1:6" ht="15" customHeight="1" x14ac:dyDescent="0.2">
      <c r="A71" s="141">
        <v>10</v>
      </c>
      <c r="B71" s="149" t="s">
        <v>210</v>
      </c>
      <c r="C71" s="146">
        <v>20373</v>
      </c>
      <c r="D71" s="146">
        <v>18152</v>
      </c>
      <c r="E71" s="146">
        <f t="shared" si="2"/>
        <v>-2221</v>
      </c>
      <c r="F71" s="150">
        <f t="shared" si="3"/>
        <v>-0.10901683600844254</v>
      </c>
    </row>
    <row r="72" spans="1:6" ht="15" customHeight="1" x14ac:dyDescent="0.2">
      <c r="A72" s="141">
        <v>11</v>
      </c>
      <c r="B72" s="149" t="s">
        <v>211</v>
      </c>
      <c r="C72" s="146">
        <v>0</v>
      </c>
      <c r="D72" s="146">
        <v>0</v>
      </c>
      <c r="E72" s="146">
        <f t="shared" si="2"/>
        <v>0</v>
      </c>
      <c r="F72" s="150">
        <f t="shared" si="3"/>
        <v>0</v>
      </c>
    </row>
    <row r="73" spans="1:6" ht="15" customHeight="1" x14ac:dyDescent="0.2">
      <c r="A73" s="141">
        <v>12</v>
      </c>
      <c r="B73" s="149" t="s">
        <v>212</v>
      </c>
      <c r="C73" s="146">
        <v>1429373</v>
      </c>
      <c r="D73" s="146">
        <v>1209912</v>
      </c>
      <c r="E73" s="146">
        <f t="shared" si="2"/>
        <v>-219461</v>
      </c>
      <c r="F73" s="150">
        <f t="shared" si="3"/>
        <v>-0.15353655064143509</v>
      </c>
    </row>
    <row r="74" spans="1:6" ht="15" customHeight="1" x14ac:dyDescent="0.2">
      <c r="A74" s="141">
        <v>13</v>
      </c>
      <c r="B74" s="149" t="s">
        <v>213</v>
      </c>
      <c r="C74" s="146">
        <v>179897</v>
      </c>
      <c r="D74" s="146">
        <v>145572</v>
      </c>
      <c r="E74" s="146">
        <f t="shared" si="2"/>
        <v>-34325</v>
      </c>
      <c r="F74" s="150">
        <f t="shared" si="3"/>
        <v>-0.19080362651961957</v>
      </c>
    </row>
    <row r="75" spans="1:6" ht="15" customHeight="1" x14ac:dyDescent="0.2">
      <c r="A75" s="141">
        <v>14</v>
      </c>
      <c r="B75" s="149" t="s">
        <v>214</v>
      </c>
      <c r="C75" s="146">
        <v>41959</v>
      </c>
      <c r="D75" s="146">
        <v>32635</v>
      </c>
      <c r="E75" s="146">
        <f t="shared" si="2"/>
        <v>-9324</v>
      </c>
      <c r="F75" s="150">
        <f t="shared" si="3"/>
        <v>-0.22221692604685525</v>
      </c>
    </row>
    <row r="76" spans="1:6" ht="15" customHeight="1" x14ac:dyDescent="0.2">
      <c r="A76" s="141">
        <v>15</v>
      </c>
      <c r="B76" s="149" t="s">
        <v>215</v>
      </c>
      <c r="C76" s="146">
        <v>110496</v>
      </c>
      <c r="D76" s="146">
        <v>178555</v>
      </c>
      <c r="E76" s="146">
        <f t="shared" si="2"/>
        <v>68059</v>
      </c>
      <c r="F76" s="150">
        <f t="shared" si="3"/>
        <v>0.61594084853750364</v>
      </c>
    </row>
    <row r="77" spans="1:6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6" ht="15" customHeight="1" x14ac:dyDescent="0.2">
      <c r="A78" s="141">
        <v>17</v>
      </c>
      <c r="B78" s="149" t="s">
        <v>217</v>
      </c>
      <c r="C78" s="146">
        <v>0</v>
      </c>
      <c r="D78" s="146">
        <v>0</v>
      </c>
      <c r="E78" s="146">
        <f t="shared" si="2"/>
        <v>0</v>
      </c>
      <c r="F78" s="150">
        <f t="shared" si="3"/>
        <v>0</v>
      </c>
    </row>
    <row r="79" spans="1:6" ht="15" customHeight="1" x14ac:dyDescent="0.2">
      <c r="A79" s="141">
        <v>18</v>
      </c>
      <c r="B79" s="149" t="s">
        <v>218</v>
      </c>
      <c r="C79" s="146">
        <v>0</v>
      </c>
      <c r="D79" s="146">
        <v>0</v>
      </c>
      <c r="E79" s="146">
        <f t="shared" si="2"/>
        <v>0</v>
      </c>
      <c r="F79" s="150">
        <f t="shared" si="3"/>
        <v>0</v>
      </c>
    </row>
    <row r="80" spans="1:6" ht="15" customHeight="1" x14ac:dyDescent="0.2">
      <c r="A80" s="141">
        <v>19</v>
      </c>
      <c r="B80" s="149" t="s">
        <v>219</v>
      </c>
      <c r="C80" s="146">
        <v>0</v>
      </c>
      <c r="D80" s="146">
        <v>808944</v>
      </c>
      <c r="E80" s="146">
        <f t="shared" si="2"/>
        <v>808944</v>
      </c>
      <c r="F80" s="150">
        <f t="shared" si="3"/>
        <v>0</v>
      </c>
    </row>
    <row r="81" spans="1:7" ht="15" customHeight="1" x14ac:dyDescent="0.2">
      <c r="A81" s="141">
        <v>20</v>
      </c>
      <c r="B81" s="149" t="s">
        <v>220</v>
      </c>
      <c r="C81" s="146">
        <v>0</v>
      </c>
      <c r="D81" s="146">
        <v>872090</v>
      </c>
      <c r="E81" s="146">
        <f t="shared" si="2"/>
        <v>872090</v>
      </c>
      <c r="F81" s="150">
        <f t="shared" si="3"/>
        <v>0</v>
      </c>
    </row>
    <row r="82" spans="1:7" ht="15" customHeight="1" x14ac:dyDescent="0.2">
      <c r="A82" s="141">
        <v>21</v>
      </c>
      <c r="B82" s="149" t="s">
        <v>221</v>
      </c>
      <c r="C82" s="146">
        <v>0</v>
      </c>
      <c r="D82" s="146">
        <v>378200</v>
      </c>
      <c r="E82" s="146">
        <f t="shared" si="2"/>
        <v>378200</v>
      </c>
      <c r="F82" s="150">
        <f t="shared" si="3"/>
        <v>0</v>
      </c>
    </row>
    <row r="83" spans="1:7" ht="15" customHeight="1" x14ac:dyDescent="0.2">
      <c r="A83" s="141">
        <v>22</v>
      </c>
      <c r="B83" s="149" t="s">
        <v>222</v>
      </c>
      <c r="C83" s="146">
        <v>0</v>
      </c>
      <c r="D83" s="146">
        <v>59938</v>
      </c>
      <c r="E83" s="146">
        <f t="shared" si="2"/>
        <v>59938</v>
      </c>
      <c r="F83" s="150">
        <f t="shared" si="3"/>
        <v>0</v>
      </c>
    </row>
    <row r="84" spans="1:7" ht="15" customHeight="1" x14ac:dyDescent="0.2">
      <c r="A84" s="141">
        <v>23</v>
      </c>
      <c r="B84" s="149" t="s">
        <v>223</v>
      </c>
      <c r="C84" s="146">
        <v>0</v>
      </c>
      <c r="D84" s="146">
        <v>311748</v>
      </c>
      <c r="E84" s="146">
        <f t="shared" si="2"/>
        <v>311748</v>
      </c>
      <c r="F84" s="150">
        <f t="shared" si="3"/>
        <v>0</v>
      </c>
    </row>
    <row r="85" spans="1:7" ht="15" customHeight="1" x14ac:dyDescent="0.2">
      <c r="A85" s="141">
        <v>24</v>
      </c>
      <c r="B85" s="149" t="s">
        <v>224</v>
      </c>
      <c r="C85" s="146">
        <v>0</v>
      </c>
      <c r="D85" s="146">
        <v>126266</v>
      </c>
      <c r="E85" s="146">
        <f t="shared" si="2"/>
        <v>126266</v>
      </c>
      <c r="F85" s="150">
        <f t="shared" si="3"/>
        <v>0</v>
      </c>
    </row>
    <row r="86" spans="1:7" ht="15" customHeight="1" x14ac:dyDescent="0.2">
      <c r="A86" s="141">
        <v>25</v>
      </c>
      <c r="B86" s="149" t="s">
        <v>225</v>
      </c>
      <c r="C86" s="146">
        <v>0</v>
      </c>
      <c r="D86" s="146">
        <v>37636</v>
      </c>
      <c r="E86" s="146">
        <f t="shared" si="2"/>
        <v>37636</v>
      </c>
      <c r="F86" s="150">
        <f t="shared" si="3"/>
        <v>0</v>
      </c>
    </row>
    <row r="87" spans="1:7" ht="15" customHeight="1" x14ac:dyDescent="0.2">
      <c r="A87" s="141">
        <v>26</v>
      </c>
      <c r="B87" s="149" t="s">
        <v>226</v>
      </c>
      <c r="C87" s="146">
        <v>0</v>
      </c>
      <c r="D87" s="146">
        <v>785536</v>
      </c>
      <c r="E87" s="146">
        <f t="shared" si="2"/>
        <v>785536</v>
      </c>
      <c r="F87" s="150">
        <f t="shared" si="3"/>
        <v>0</v>
      </c>
    </row>
    <row r="88" spans="1:7" ht="15" customHeight="1" x14ac:dyDescent="0.2">
      <c r="A88" s="141">
        <v>27</v>
      </c>
      <c r="B88" s="149" t="s">
        <v>227</v>
      </c>
      <c r="C88" s="146">
        <v>0</v>
      </c>
      <c r="D88" s="146">
        <v>769230</v>
      </c>
      <c r="E88" s="146">
        <f t="shared" si="2"/>
        <v>769230</v>
      </c>
      <c r="F88" s="150">
        <f t="shared" si="3"/>
        <v>0</v>
      </c>
    </row>
    <row r="89" spans="1:7" ht="15" customHeight="1" x14ac:dyDescent="0.2">
      <c r="A89" s="141">
        <v>28</v>
      </c>
      <c r="B89" s="149" t="s">
        <v>228</v>
      </c>
      <c r="C89" s="146">
        <v>4193714</v>
      </c>
      <c r="D89" s="146">
        <v>2688889</v>
      </c>
      <c r="E89" s="146">
        <f t="shared" si="2"/>
        <v>-1504825</v>
      </c>
      <c r="F89" s="150">
        <f t="shared" si="3"/>
        <v>-0.35882871364141666</v>
      </c>
    </row>
    <row r="90" spans="1:7" ht="15.75" customHeight="1" x14ac:dyDescent="0.25">
      <c r="A90" s="141"/>
      <c r="B90" s="151" t="s">
        <v>229</v>
      </c>
      <c r="C90" s="147">
        <f>SUM(C62:C89)</f>
        <v>7673196</v>
      </c>
      <c r="D90" s="147">
        <f>SUM(D62:D89)</f>
        <v>10131189</v>
      </c>
      <c r="E90" s="147">
        <f t="shared" si="2"/>
        <v>2457993</v>
      </c>
      <c r="F90" s="148">
        <f t="shared" si="3"/>
        <v>0.3203349686362762</v>
      </c>
      <c r="G90" s="124"/>
    </row>
    <row r="91" spans="1:7" ht="15.75" customHeight="1" x14ac:dyDescent="0.25">
      <c r="A91" s="141"/>
      <c r="B91" s="152"/>
      <c r="C91" s="146"/>
      <c r="D91" s="146"/>
      <c r="E91" s="147"/>
      <c r="F91" s="148"/>
      <c r="G91" s="124"/>
    </row>
    <row r="92" spans="1:7" ht="15.75" customHeight="1" x14ac:dyDescent="0.25">
      <c r="A92" s="144" t="s">
        <v>230</v>
      </c>
      <c r="B92" s="145" t="s">
        <v>231</v>
      </c>
      <c r="C92" s="146"/>
      <c r="D92" s="146"/>
      <c r="E92" s="147"/>
      <c r="F92" s="148"/>
      <c r="G92" s="124"/>
    </row>
    <row r="93" spans="1:7" ht="15" customHeight="1" x14ac:dyDescent="0.2">
      <c r="A93" s="141">
        <v>1</v>
      </c>
      <c r="B93" s="149" t="s">
        <v>232</v>
      </c>
      <c r="C93" s="146">
        <v>1496690</v>
      </c>
      <c r="D93" s="146">
        <v>1266915</v>
      </c>
      <c r="E93" s="146">
        <f>+D93-C93</f>
        <v>-229775</v>
      </c>
      <c r="F93" s="150">
        <f>IF(C93=0,0,E93/C93)</f>
        <v>-0.15352210544601755</v>
      </c>
    </row>
    <row r="94" spans="1:7" ht="15.75" customHeight="1" x14ac:dyDescent="0.25">
      <c r="A94" s="141"/>
      <c r="B94" s="152"/>
      <c r="C94" s="146"/>
      <c r="D94" s="146"/>
      <c r="E94" s="147"/>
      <c r="F94" s="148"/>
      <c r="G94" s="124"/>
    </row>
    <row r="95" spans="1:7" ht="15.75" customHeight="1" x14ac:dyDescent="0.25">
      <c r="A95" s="153"/>
      <c r="B95" s="154" t="s">
        <v>233</v>
      </c>
      <c r="C95" s="147">
        <f>+C93+C90+C59+C50+C47+C44+C41+C35+C30+C24+C18</f>
        <v>85587522</v>
      </c>
      <c r="D95" s="147">
        <f>+D93+D90+D59+D50+D47+D44+D41+D35+D30+D24+D18</f>
        <v>90685854</v>
      </c>
      <c r="E95" s="147">
        <f>+D95-C95</f>
        <v>5098332</v>
      </c>
      <c r="F95" s="148">
        <f>IF(C95=0,0,E95/C95)</f>
        <v>5.9568636652431645E-2</v>
      </c>
      <c r="G95" s="155"/>
    </row>
    <row r="96" spans="1:7" ht="15.75" customHeight="1" x14ac:dyDescent="0.25">
      <c r="A96" s="153"/>
      <c r="B96" s="154"/>
      <c r="C96" s="146"/>
      <c r="D96" s="146"/>
      <c r="E96" s="146"/>
      <c r="F96" s="156"/>
      <c r="G96" s="124"/>
    </row>
    <row r="97" spans="1:7" ht="15.75" customHeight="1" x14ac:dyDescent="0.25">
      <c r="A97" s="153"/>
      <c r="B97" s="157" t="s">
        <v>234</v>
      </c>
      <c r="C97" s="146"/>
      <c r="D97" s="146"/>
      <c r="E97" s="146"/>
      <c r="F97" s="156"/>
      <c r="G97" s="124"/>
    </row>
    <row r="98" spans="1:7" ht="15.75" customHeight="1" x14ac:dyDescent="0.25">
      <c r="A98" s="153"/>
      <c r="B98" s="157"/>
      <c r="C98" s="146"/>
      <c r="D98" s="146"/>
      <c r="E98" s="146"/>
      <c r="F98" s="156"/>
      <c r="G98" s="124"/>
    </row>
    <row r="99" spans="1:7" ht="15.75" customHeight="1" x14ac:dyDescent="0.25">
      <c r="A99" s="153"/>
      <c r="B99" s="157"/>
      <c r="C99" s="146"/>
      <c r="D99" s="146"/>
      <c r="E99" s="146"/>
      <c r="F99" s="156"/>
      <c r="G99" s="124"/>
    </row>
    <row r="100" spans="1:7" ht="15.75" customHeight="1" x14ac:dyDescent="0.25">
      <c r="A100" s="158" t="s">
        <v>44</v>
      </c>
      <c r="B100" s="142" t="s">
        <v>235</v>
      </c>
      <c r="C100" s="143"/>
      <c r="D100" s="143"/>
      <c r="E100" s="159"/>
      <c r="F100" s="160"/>
      <c r="G100" s="155"/>
    </row>
    <row r="101" spans="1:7" ht="15.75" customHeight="1" x14ac:dyDescent="0.25">
      <c r="A101" s="141"/>
      <c r="B101" s="142"/>
      <c r="C101" s="143"/>
      <c r="D101" s="143"/>
      <c r="E101" s="159"/>
      <c r="F101" s="160"/>
      <c r="G101" s="155"/>
    </row>
    <row r="102" spans="1:7" ht="15.75" customHeight="1" x14ac:dyDescent="0.25">
      <c r="A102" s="144" t="s">
        <v>110</v>
      </c>
      <c r="B102" s="145" t="s">
        <v>236</v>
      </c>
      <c r="C102" s="146"/>
      <c r="D102" s="146"/>
      <c r="E102" s="147"/>
      <c r="F102" s="160"/>
      <c r="G102" s="155"/>
    </row>
    <row r="103" spans="1:7" ht="15" customHeight="1" x14ac:dyDescent="0.2">
      <c r="A103" s="141">
        <v>1</v>
      </c>
      <c r="B103" s="161" t="s">
        <v>237</v>
      </c>
      <c r="C103" s="146">
        <v>2800636</v>
      </c>
      <c r="D103" s="146">
        <v>4662384</v>
      </c>
      <c r="E103" s="146">
        <f t="shared" ref="E103:E121" si="4">D103-C103</f>
        <v>1861748</v>
      </c>
      <c r="F103" s="150">
        <f t="shared" ref="F103:F121" si="5">IF(C103=0,0,E103/C103)</f>
        <v>0.66475900474035188</v>
      </c>
      <c r="G103" s="155"/>
    </row>
    <row r="104" spans="1:7" ht="15" customHeight="1" x14ac:dyDescent="0.2">
      <c r="A104" s="141">
        <v>2</v>
      </c>
      <c r="B104" s="161" t="s">
        <v>238</v>
      </c>
      <c r="C104" s="146">
        <v>626917</v>
      </c>
      <c r="D104" s="146">
        <v>678395</v>
      </c>
      <c r="E104" s="146">
        <f t="shared" si="4"/>
        <v>51478</v>
      </c>
      <c r="F104" s="150">
        <f t="shared" si="5"/>
        <v>8.2112943180676232E-2</v>
      </c>
      <c r="G104" s="155"/>
    </row>
    <row r="105" spans="1:7" ht="15" customHeight="1" x14ac:dyDescent="0.2">
      <c r="A105" s="141">
        <v>3</v>
      </c>
      <c r="B105" s="161" t="s">
        <v>239</v>
      </c>
      <c r="C105" s="146">
        <v>1604105</v>
      </c>
      <c r="D105" s="146">
        <v>1613808</v>
      </c>
      <c r="E105" s="146">
        <f t="shared" si="4"/>
        <v>9703</v>
      </c>
      <c r="F105" s="150">
        <f t="shared" si="5"/>
        <v>6.0488559040711171E-3</v>
      </c>
      <c r="G105" s="155"/>
    </row>
    <row r="106" spans="1:7" ht="15" customHeight="1" x14ac:dyDescent="0.2">
      <c r="A106" s="141">
        <v>4</v>
      </c>
      <c r="B106" s="161" t="s">
        <v>240</v>
      </c>
      <c r="C106" s="146">
        <v>628822</v>
      </c>
      <c r="D106" s="146">
        <v>678806</v>
      </c>
      <c r="E106" s="146">
        <f t="shared" si="4"/>
        <v>49984</v>
      </c>
      <c r="F106" s="150">
        <f t="shared" si="5"/>
        <v>7.9488313067927016E-2</v>
      </c>
      <c r="G106" s="155"/>
    </row>
    <row r="107" spans="1:7" ht="15" customHeight="1" x14ac:dyDescent="0.2">
      <c r="A107" s="141">
        <v>5</v>
      </c>
      <c r="B107" s="161" t="s">
        <v>241</v>
      </c>
      <c r="C107" s="146">
        <v>2108747</v>
      </c>
      <c r="D107" s="146">
        <v>2042452</v>
      </c>
      <c r="E107" s="146">
        <f t="shared" si="4"/>
        <v>-66295</v>
      </c>
      <c r="F107" s="150">
        <f t="shared" si="5"/>
        <v>-3.1438100445430391E-2</v>
      </c>
      <c r="G107" s="155"/>
    </row>
    <row r="108" spans="1:7" ht="15" customHeight="1" x14ac:dyDescent="0.2">
      <c r="A108" s="141">
        <v>6</v>
      </c>
      <c r="B108" s="161" t="s">
        <v>242</v>
      </c>
      <c r="C108" s="146">
        <v>455172</v>
      </c>
      <c r="D108" s="146">
        <v>372752</v>
      </c>
      <c r="E108" s="146">
        <f t="shared" si="4"/>
        <v>-82420</v>
      </c>
      <c r="F108" s="150">
        <f t="shared" si="5"/>
        <v>-0.18107440703733974</v>
      </c>
      <c r="G108" s="155"/>
    </row>
    <row r="109" spans="1:7" ht="15" customHeight="1" x14ac:dyDescent="0.2">
      <c r="A109" s="141">
        <v>7</v>
      </c>
      <c r="B109" s="161" t="s">
        <v>243</v>
      </c>
      <c r="C109" s="146">
        <v>362556</v>
      </c>
      <c r="D109" s="146">
        <v>409348</v>
      </c>
      <c r="E109" s="146">
        <f t="shared" si="4"/>
        <v>46792</v>
      </c>
      <c r="F109" s="150">
        <f t="shared" si="5"/>
        <v>0.12906144154282373</v>
      </c>
      <c r="G109" s="155"/>
    </row>
    <row r="110" spans="1:7" ht="15" customHeight="1" x14ac:dyDescent="0.2">
      <c r="A110" s="141">
        <v>8</v>
      </c>
      <c r="B110" s="161" t="s">
        <v>244</v>
      </c>
      <c r="C110" s="146">
        <v>174828</v>
      </c>
      <c r="D110" s="146">
        <v>171224</v>
      </c>
      <c r="E110" s="146">
        <f t="shared" si="4"/>
        <v>-3604</v>
      </c>
      <c r="F110" s="150">
        <f t="shared" si="5"/>
        <v>-2.0614546868922598E-2</v>
      </c>
      <c r="G110" s="155"/>
    </row>
    <row r="111" spans="1:7" ht="15" customHeight="1" x14ac:dyDescent="0.2">
      <c r="A111" s="141">
        <v>9</v>
      </c>
      <c r="B111" s="161" t="s">
        <v>245</v>
      </c>
      <c r="C111" s="146">
        <v>221075</v>
      </c>
      <c r="D111" s="146">
        <v>249324</v>
      </c>
      <c r="E111" s="146">
        <f t="shared" si="4"/>
        <v>28249</v>
      </c>
      <c r="F111" s="150">
        <f t="shared" si="5"/>
        <v>0.12778016510234083</v>
      </c>
      <c r="G111" s="155"/>
    </row>
    <row r="112" spans="1:7" ht="15" customHeight="1" x14ac:dyDescent="0.2">
      <c r="A112" s="141">
        <v>10</v>
      </c>
      <c r="B112" s="161" t="s">
        <v>246</v>
      </c>
      <c r="C112" s="146">
        <v>1842783</v>
      </c>
      <c r="D112" s="146">
        <v>1813820</v>
      </c>
      <c r="E112" s="146">
        <f t="shared" si="4"/>
        <v>-28963</v>
      </c>
      <c r="F112" s="150">
        <f t="shared" si="5"/>
        <v>-1.5716988923817943E-2</v>
      </c>
      <c r="G112" s="155"/>
    </row>
    <row r="113" spans="1:7" ht="15" customHeight="1" x14ac:dyDescent="0.2">
      <c r="A113" s="141">
        <v>11</v>
      </c>
      <c r="B113" s="161" t="s">
        <v>247</v>
      </c>
      <c r="C113" s="146">
        <v>1171540</v>
      </c>
      <c r="D113" s="146">
        <v>1157547</v>
      </c>
      <c r="E113" s="146">
        <f t="shared" si="4"/>
        <v>-13993</v>
      </c>
      <c r="F113" s="150">
        <f t="shared" si="5"/>
        <v>-1.1944107755603735E-2</v>
      </c>
      <c r="G113" s="155"/>
    </row>
    <row r="114" spans="1:7" ht="15" customHeight="1" x14ac:dyDescent="0.2">
      <c r="A114" s="141">
        <v>12</v>
      </c>
      <c r="B114" s="161" t="s">
        <v>248</v>
      </c>
      <c r="C114" s="146">
        <v>106822</v>
      </c>
      <c r="D114" s="146">
        <v>28518</v>
      </c>
      <c r="E114" s="146">
        <f t="shared" si="4"/>
        <v>-78304</v>
      </c>
      <c r="F114" s="150">
        <f t="shared" si="5"/>
        <v>-0.73303252139072472</v>
      </c>
      <c r="G114" s="155"/>
    </row>
    <row r="115" spans="1:7" ht="15" customHeight="1" x14ac:dyDescent="0.2">
      <c r="A115" s="141">
        <v>13</v>
      </c>
      <c r="B115" s="161" t="s">
        <v>249</v>
      </c>
      <c r="C115" s="146">
        <v>3507779</v>
      </c>
      <c r="D115" s="146">
        <v>3494126</v>
      </c>
      <c r="E115" s="146">
        <f t="shared" si="4"/>
        <v>-13653</v>
      </c>
      <c r="F115" s="150">
        <f t="shared" si="5"/>
        <v>-3.8922064360383023E-3</v>
      </c>
      <c r="G115" s="155"/>
    </row>
    <row r="116" spans="1:7" ht="15" customHeight="1" x14ac:dyDescent="0.2">
      <c r="A116" s="141">
        <v>14</v>
      </c>
      <c r="B116" s="161" t="s">
        <v>250</v>
      </c>
      <c r="C116" s="146">
        <v>235951</v>
      </c>
      <c r="D116" s="146">
        <v>234339</v>
      </c>
      <c r="E116" s="146">
        <f t="shared" si="4"/>
        <v>-1612</v>
      </c>
      <c r="F116" s="150">
        <f t="shared" si="5"/>
        <v>-6.8319269678874008E-3</v>
      </c>
      <c r="G116" s="155"/>
    </row>
    <row r="117" spans="1:7" ht="15" customHeight="1" x14ac:dyDescent="0.2">
      <c r="A117" s="141">
        <v>15</v>
      </c>
      <c r="B117" s="161" t="s">
        <v>207</v>
      </c>
      <c r="C117" s="146">
        <v>771811</v>
      </c>
      <c r="D117" s="146">
        <v>795805</v>
      </c>
      <c r="E117" s="146">
        <f t="shared" si="4"/>
        <v>23994</v>
      </c>
      <c r="F117" s="150">
        <f t="shared" si="5"/>
        <v>3.1087921783960061E-2</v>
      </c>
      <c r="G117" s="155"/>
    </row>
    <row r="118" spans="1:7" ht="15" customHeight="1" x14ac:dyDescent="0.2">
      <c r="A118" s="141">
        <v>16</v>
      </c>
      <c r="B118" s="161" t="s">
        <v>251</v>
      </c>
      <c r="C118" s="146">
        <v>396255</v>
      </c>
      <c r="D118" s="146">
        <v>403320</v>
      </c>
      <c r="E118" s="146">
        <f t="shared" si="4"/>
        <v>7065</v>
      </c>
      <c r="F118" s="150">
        <f t="shared" si="5"/>
        <v>1.7829428019835711E-2</v>
      </c>
      <c r="G118" s="155"/>
    </row>
    <row r="119" spans="1:7" ht="15" customHeight="1" x14ac:dyDescent="0.2">
      <c r="A119" s="141">
        <v>17</v>
      </c>
      <c r="B119" s="161" t="s">
        <v>252</v>
      </c>
      <c r="C119" s="146">
        <v>2579187</v>
      </c>
      <c r="D119" s="146">
        <v>2621443</v>
      </c>
      <c r="E119" s="146">
        <f t="shared" si="4"/>
        <v>42256</v>
      </c>
      <c r="F119" s="150">
        <f t="shared" si="5"/>
        <v>1.6383457267735917E-2</v>
      </c>
      <c r="G119" s="155"/>
    </row>
    <row r="120" spans="1:7" ht="15" customHeight="1" x14ac:dyDescent="0.2">
      <c r="A120" s="141">
        <v>18</v>
      </c>
      <c r="B120" s="161" t="s">
        <v>253</v>
      </c>
      <c r="C120" s="146">
        <v>14999565</v>
      </c>
      <c r="D120" s="146">
        <v>18479412</v>
      </c>
      <c r="E120" s="146">
        <f t="shared" si="4"/>
        <v>3479847</v>
      </c>
      <c r="F120" s="150">
        <f t="shared" si="5"/>
        <v>0.23199652789930908</v>
      </c>
      <c r="G120" s="155"/>
    </row>
    <row r="121" spans="1:7" ht="15.75" customHeight="1" x14ac:dyDescent="0.25">
      <c r="A121" s="141"/>
      <c r="B121" s="154" t="s">
        <v>254</v>
      </c>
      <c r="C121" s="147">
        <f>SUM(C103:C120)</f>
        <v>34594551</v>
      </c>
      <c r="D121" s="147">
        <f>SUM(D103:D120)</f>
        <v>39906823</v>
      </c>
      <c r="E121" s="147">
        <f t="shared" si="4"/>
        <v>5312272</v>
      </c>
      <c r="F121" s="148">
        <f t="shared" si="5"/>
        <v>0.15355805600714401</v>
      </c>
      <c r="G121" s="155"/>
    </row>
    <row r="122" spans="1:7" ht="15.75" customHeight="1" x14ac:dyDescent="0.25">
      <c r="A122" s="141"/>
      <c r="B122" s="162"/>
      <c r="C122" s="146"/>
      <c r="D122" s="146"/>
      <c r="E122" s="147"/>
      <c r="F122" s="160"/>
      <c r="G122" s="155"/>
    </row>
    <row r="123" spans="1:7" ht="15.75" customHeight="1" x14ac:dyDescent="0.25">
      <c r="A123" s="144" t="s">
        <v>124</v>
      </c>
      <c r="B123" s="145" t="s">
        <v>255</v>
      </c>
      <c r="C123" s="146"/>
      <c r="D123" s="146"/>
      <c r="E123" s="147"/>
      <c r="F123" s="160"/>
      <c r="G123" s="155"/>
    </row>
    <row r="124" spans="1:7" ht="15" customHeight="1" x14ac:dyDescent="0.2">
      <c r="A124" s="141">
        <v>1</v>
      </c>
      <c r="B124" s="161" t="s">
        <v>256</v>
      </c>
      <c r="C124" s="146">
        <v>688785</v>
      </c>
      <c r="D124" s="146">
        <v>710555</v>
      </c>
      <c r="E124" s="146">
        <f t="shared" ref="E124:E130" si="6">D124-C124</f>
        <v>21770</v>
      </c>
      <c r="F124" s="150">
        <f t="shared" ref="F124:F130" si="7">IF(C124=0,0,E124/C124)</f>
        <v>3.160637934914378E-2</v>
      </c>
      <c r="G124" s="155"/>
    </row>
    <row r="125" spans="1:7" ht="15" customHeight="1" x14ac:dyDescent="0.2">
      <c r="A125" s="141">
        <v>2</v>
      </c>
      <c r="B125" s="161" t="s">
        <v>257</v>
      </c>
      <c r="C125" s="146">
        <v>0</v>
      </c>
      <c r="D125" s="146">
        <v>0</v>
      </c>
      <c r="E125" s="146">
        <f t="shared" si="6"/>
        <v>0</v>
      </c>
      <c r="F125" s="150">
        <f t="shared" si="7"/>
        <v>0</v>
      </c>
      <c r="G125" s="155"/>
    </row>
    <row r="126" spans="1:7" ht="15" customHeight="1" x14ac:dyDescent="0.2">
      <c r="A126" s="141">
        <v>3</v>
      </c>
      <c r="B126" s="161" t="s">
        <v>258</v>
      </c>
      <c r="C126" s="146">
        <v>1252705</v>
      </c>
      <c r="D126" s="146">
        <v>1866682</v>
      </c>
      <c r="E126" s="146">
        <f t="shared" si="6"/>
        <v>613977</v>
      </c>
      <c r="F126" s="150">
        <f t="shared" si="7"/>
        <v>0.49012097820316836</v>
      </c>
      <c r="G126" s="155"/>
    </row>
    <row r="127" spans="1:7" ht="15" customHeight="1" x14ac:dyDescent="0.2">
      <c r="A127" s="141">
        <v>4</v>
      </c>
      <c r="B127" s="161" t="s">
        <v>259</v>
      </c>
      <c r="C127" s="146">
        <v>1231416</v>
      </c>
      <c r="D127" s="146">
        <v>885186</v>
      </c>
      <c r="E127" s="146">
        <f t="shared" si="6"/>
        <v>-346230</v>
      </c>
      <c r="F127" s="150">
        <f t="shared" si="7"/>
        <v>-0.28116412325323042</v>
      </c>
      <c r="G127" s="155"/>
    </row>
    <row r="128" spans="1:7" ht="15" customHeight="1" x14ac:dyDescent="0.2">
      <c r="A128" s="141">
        <v>5</v>
      </c>
      <c r="B128" s="161" t="s">
        <v>260</v>
      </c>
      <c r="C128" s="146">
        <v>271933</v>
      </c>
      <c r="D128" s="146">
        <v>282309</v>
      </c>
      <c r="E128" s="146">
        <f t="shared" si="6"/>
        <v>10376</v>
      </c>
      <c r="F128" s="150">
        <f t="shared" si="7"/>
        <v>3.8156457656849295E-2</v>
      </c>
      <c r="G128" s="155"/>
    </row>
    <row r="129" spans="1:7" ht="15" customHeight="1" x14ac:dyDescent="0.2">
      <c r="A129" s="141">
        <v>6</v>
      </c>
      <c r="B129" s="161" t="s">
        <v>261</v>
      </c>
      <c r="C129" s="146">
        <v>0</v>
      </c>
      <c r="D129" s="146">
        <v>0</v>
      </c>
      <c r="E129" s="146">
        <f t="shared" si="6"/>
        <v>0</v>
      </c>
      <c r="F129" s="150">
        <f t="shared" si="7"/>
        <v>0</v>
      </c>
      <c r="G129" s="155"/>
    </row>
    <row r="130" spans="1:7" ht="15.75" customHeight="1" x14ac:dyDescent="0.25">
      <c r="A130" s="141"/>
      <c r="B130" s="154" t="s">
        <v>262</v>
      </c>
      <c r="C130" s="147">
        <f>SUM(C124:C129)</f>
        <v>3444839</v>
      </c>
      <c r="D130" s="147">
        <f>SUM(D124:D129)</f>
        <v>3744732</v>
      </c>
      <c r="E130" s="147">
        <f t="shared" si="6"/>
        <v>299893</v>
      </c>
      <c r="F130" s="148">
        <f t="shared" si="7"/>
        <v>8.7055737583091694E-2</v>
      </c>
      <c r="G130" s="155"/>
    </row>
    <row r="131" spans="1:7" ht="15.75" customHeight="1" x14ac:dyDescent="0.25">
      <c r="A131" s="141"/>
      <c r="B131" s="162"/>
      <c r="C131" s="146"/>
      <c r="D131" s="146"/>
      <c r="E131" s="147"/>
      <c r="F131" s="160"/>
      <c r="G131" s="155"/>
    </row>
    <row r="132" spans="1:7" ht="15.75" customHeight="1" x14ac:dyDescent="0.25">
      <c r="A132" s="144" t="s">
        <v>141</v>
      </c>
      <c r="B132" s="145" t="s">
        <v>263</v>
      </c>
      <c r="C132" s="146"/>
      <c r="D132" s="146"/>
      <c r="E132" s="147"/>
      <c r="F132" s="160"/>
      <c r="G132" s="155"/>
    </row>
    <row r="133" spans="1:7" ht="15" customHeight="1" x14ac:dyDescent="0.2">
      <c r="A133" s="141">
        <v>1</v>
      </c>
      <c r="B133" s="161" t="s">
        <v>264</v>
      </c>
      <c r="C133" s="146">
        <v>2175282</v>
      </c>
      <c r="D133" s="146">
        <v>1940094</v>
      </c>
      <c r="E133" s="146">
        <f t="shared" ref="E133:E167" si="8">D133-C133</f>
        <v>-235188</v>
      </c>
      <c r="F133" s="150">
        <f t="shared" ref="F133:F167" si="9">IF(C133=0,0,E133/C133)</f>
        <v>-0.10811839568386995</v>
      </c>
      <c r="G133" s="155"/>
    </row>
    <row r="134" spans="1:7" ht="15" customHeight="1" x14ac:dyDescent="0.2">
      <c r="A134" s="141">
        <v>2</v>
      </c>
      <c r="B134" s="161" t="s">
        <v>265</v>
      </c>
      <c r="C134" s="146">
        <v>425696</v>
      </c>
      <c r="D134" s="146">
        <v>439725</v>
      </c>
      <c r="E134" s="146">
        <f t="shared" si="8"/>
        <v>14029</v>
      </c>
      <c r="F134" s="150">
        <f t="shared" si="9"/>
        <v>3.2955442381417725E-2</v>
      </c>
      <c r="G134" s="155"/>
    </row>
    <row r="135" spans="1:7" ht="15" customHeight="1" x14ac:dyDescent="0.2">
      <c r="A135" s="141">
        <v>3</v>
      </c>
      <c r="B135" s="161" t="s">
        <v>266</v>
      </c>
      <c r="C135" s="146">
        <v>135023</v>
      </c>
      <c r="D135" s="146">
        <v>87278</v>
      </c>
      <c r="E135" s="146">
        <f t="shared" si="8"/>
        <v>-47745</v>
      </c>
      <c r="F135" s="150">
        <f t="shared" si="9"/>
        <v>-0.35360642260948133</v>
      </c>
      <c r="G135" s="155"/>
    </row>
    <row r="136" spans="1:7" ht="15" customHeight="1" x14ac:dyDescent="0.2">
      <c r="A136" s="141">
        <v>4</v>
      </c>
      <c r="B136" s="161" t="s">
        <v>267</v>
      </c>
      <c r="C136" s="146">
        <v>214626</v>
      </c>
      <c r="D136" s="146">
        <v>180697</v>
      </c>
      <c r="E136" s="146">
        <f t="shared" si="8"/>
        <v>-33929</v>
      </c>
      <c r="F136" s="150">
        <f t="shared" si="9"/>
        <v>-0.1580842954721236</v>
      </c>
      <c r="G136" s="155"/>
    </row>
    <row r="137" spans="1:7" ht="15" customHeight="1" x14ac:dyDescent="0.2">
      <c r="A137" s="141">
        <v>5</v>
      </c>
      <c r="B137" s="161" t="s">
        <v>268</v>
      </c>
      <c r="C137" s="146">
        <v>2703486</v>
      </c>
      <c r="D137" s="146">
        <v>2672857</v>
      </c>
      <c r="E137" s="146">
        <f t="shared" si="8"/>
        <v>-30629</v>
      </c>
      <c r="F137" s="150">
        <f t="shared" si="9"/>
        <v>-1.1329446499815423E-2</v>
      </c>
      <c r="G137" s="155"/>
    </row>
    <row r="138" spans="1:7" ht="15" customHeight="1" x14ac:dyDescent="0.2">
      <c r="A138" s="141">
        <v>6</v>
      </c>
      <c r="B138" s="161" t="s">
        <v>269</v>
      </c>
      <c r="C138" s="146">
        <v>443738</v>
      </c>
      <c r="D138" s="146">
        <v>483374</v>
      </c>
      <c r="E138" s="146">
        <f t="shared" si="8"/>
        <v>39636</v>
      </c>
      <c r="F138" s="150">
        <f t="shared" si="9"/>
        <v>8.9322978874921688E-2</v>
      </c>
      <c r="G138" s="155"/>
    </row>
    <row r="139" spans="1:7" ht="15" customHeight="1" x14ac:dyDescent="0.2">
      <c r="A139" s="141">
        <v>7</v>
      </c>
      <c r="B139" s="161" t="s">
        <v>270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8</v>
      </c>
      <c r="B140" s="161" t="s">
        <v>271</v>
      </c>
      <c r="C140" s="146">
        <v>0</v>
      </c>
      <c r="D140" s="146">
        <v>0</v>
      </c>
      <c r="E140" s="146">
        <f t="shared" si="8"/>
        <v>0</v>
      </c>
      <c r="F140" s="150">
        <f t="shared" si="9"/>
        <v>0</v>
      </c>
      <c r="G140" s="155"/>
    </row>
    <row r="141" spans="1:7" ht="15" customHeight="1" x14ac:dyDescent="0.2">
      <c r="A141" s="141">
        <v>9</v>
      </c>
      <c r="B141" s="161" t="s">
        <v>272</v>
      </c>
      <c r="C141" s="146">
        <v>640103</v>
      </c>
      <c r="D141" s="146">
        <v>636616</v>
      </c>
      <c r="E141" s="146">
        <f t="shared" si="8"/>
        <v>-3487</v>
      </c>
      <c r="F141" s="150">
        <f t="shared" si="9"/>
        <v>-5.4475607831864555E-3</v>
      </c>
      <c r="G141" s="155"/>
    </row>
    <row r="142" spans="1:7" ht="15" customHeight="1" x14ac:dyDescent="0.2">
      <c r="A142" s="141">
        <v>10</v>
      </c>
      <c r="B142" s="161" t="s">
        <v>273</v>
      </c>
      <c r="C142" s="146">
        <v>4563049</v>
      </c>
      <c r="D142" s="146">
        <v>4282224</v>
      </c>
      <c r="E142" s="146">
        <f t="shared" si="8"/>
        <v>-280825</v>
      </c>
      <c r="F142" s="150">
        <f t="shared" si="9"/>
        <v>-6.1543279504559345E-2</v>
      </c>
      <c r="G142" s="155"/>
    </row>
    <row r="143" spans="1:7" ht="15" customHeight="1" x14ac:dyDescent="0.2">
      <c r="A143" s="141">
        <v>11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12</v>
      </c>
      <c r="B144" s="161" t="s">
        <v>275</v>
      </c>
      <c r="C144" s="146">
        <v>0</v>
      </c>
      <c r="D144" s="146">
        <v>0</v>
      </c>
      <c r="E144" s="146">
        <f t="shared" si="8"/>
        <v>0</v>
      </c>
      <c r="F144" s="150">
        <f t="shared" si="9"/>
        <v>0</v>
      </c>
      <c r="G144" s="155"/>
    </row>
    <row r="145" spans="1:7" ht="15" customHeight="1" x14ac:dyDescent="0.2">
      <c r="A145" s="141">
        <v>13</v>
      </c>
      <c r="B145" s="161" t="s">
        <v>276</v>
      </c>
      <c r="C145" s="146">
        <v>116978</v>
      </c>
      <c r="D145" s="146">
        <v>112481</v>
      </c>
      <c r="E145" s="146">
        <f t="shared" si="8"/>
        <v>-4497</v>
      </c>
      <c r="F145" s="150">
        <f t="shared" si="9"/>
        <v>-3.8443126057891228E-2</v>
      </c>
      <c r="G145" s="155"/>
    </row>
    <row r="146" spans="1:7" ht="15" customHeight="1" x14ac:dyDescent="0.2">
      <c r="A146" s="141">
        <v>14</v>
      </c>
      <c r="B146" s="161" t="s">
        <v>277</v>
      </c>
      <c r="C146" s="146">
        <v>14401</v>
      </c>
      <c r="D146" s="146">
        <v>15653</v>
      </c>
      <c r="E146" s="146">
        <f t="shared" si="8"/>
        <v>1252</v>
      </c>
      <c r="F146" s="150">
        <f t="shared" si="9"/>
        <v>8.6938407055065614E-2</v>
      </c>
      <c r="G146" s="155"/>
    </row>
    <row r="147" spans="1:7" ht="15" customHeight="1" x14ac:dyDescent="0.2">
      <c r="A147" s="141">
        <v>15</v>
      </c>
      <c r="B147" s="161" t="s">
        <v>278</v>
      </c>
      <c r="C147" s="146">
        <v>71134</v>
      </c>
      <c r="D147" s="146">
        <v>62578</v>
      </c>
      <c r="E147" s="146">
        <f t="shared" si="8"/>
        <v>-8556</v>
      </c>
      <c r="F147" s="150">
        <f t="shared" si="9"/>
        <v>-0.12028003486377822</v>
      </c>
      <c r="G147" s="155"/>
    </row>
    <row r="148" spans="1:7" ht="15" customHeight="1" x14ac:dyDescent="0.2">
      <c r="A148" s="141">
        <v>16</v>
      </c>
      <c r="B148" s="161" t="s">
        <v>279</v>
      </c>
      <c r="C148" s="146">
        <v>29249</v>
      </c>
      <c r="D148" s="146">
        <v>33170</v>
      </c>
      <c r="E148" s="146">
        <f t="shared" si="8"/>
        <v>3921</v>
      </c>
      <c r="F148" s="150">
        <f t="shared" si="9"/>
        <v>0.13405586515778317</v>
      </c>
      <c r="G148" s="155"/>
    </row>
    <row r="149" spans="1:7" ht="15" customHeight="1" x14ac:dyDescent="0.2">
      <c r="A149" s="141">
        <v>17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18</v>
      </c>
      <c r="B150" s="161" t="s">
        <v>281</v>
      </c>
      <c r="C150" s="146">
        <v>1024613</v>
      </c>
      <c r="D150" s="146">
        <v>941133</v>
      </c>
      <c r="E150" s="146">
        <f t="shared" si="8"/>
        <v>-83480</v>
      </c>
      <c r="F150" s="150">
        <f t="shared" si="9"/>
        <v>-8.1474664092686708E-2</v>
      </c>
      <c r="G150" s="155"/>
    </row>
    <row r="151" spans="1:7" ht="15" customHeight="1" x14ac:dyDescent="0.2">
      <c r="A151" s="141">
        <v>19</v>
      </c>
      <c r="B151" s="161" t="s">
        <v>282</v>
      </c>
      <c r="C151" s="146">
        <v>105461</v>
      </c>
      <c r="D151" s="146">
        <v>98606</v>
      </c>
      <c r="E151" s="146">
        <f t="shared" si="8"/>
        <v>-6855</v>
      </c>
      <c r="F151" s="150">
        <f t="shared" si="9"/>
        <v>-6.5000331876238604E-2</v>
      </c>
      <c r="G151" s="155"/>
    </row>
    <row r="152" spans="1:7" ht="15" customHeight="1" x14ac:dyDescent="0.2">
      <c r="A152" s="141">
        <v>20</v>
      </c>
      <c r="B152" s="161" t="s">
        <v>283</v>
      </c>
      <c r="C152" s="146">
        <v>338113</v>
      </c>
      <c r="D152" s="146">
        <v>282295</v>
      </c>
      <c r="E152" s="146">
        <f t="shared" si="8"/>
        <v>-55818</v>
      </c>
      <c r="F152" s="150">
        <f t="shared" si="9"/>
        <v>-0.16508682008677572</v>
      </c>
      <c r="G152" s="155"/>
    </row>
    <row r="153" spans="1:7" ht="15" customHeight="1" x14ac:dyDescent="0.2">
      <c r="A153" s="141">
        <v>21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22</v>
      </c>
      <c r="B154" s="161" t="s">
        <v>285</v>
      </c>
      <c r="C154" s="146">
        <v>0</v>
      </c>
      <c r="D154" s="146">
        <v>0</v>
      </c>
      <c r="E154" s="146">
        <f t="shared" si="8"/>
        <v>0</v>
      </c>
      <c r="F154" s="150">
        <f t="shared" si="9"/>
        <v>0</v>
      </c>
      <c r="G154" s="155"/>
    </row>
    <row r="155" spans="1:7" ht="15" customHeight="1" x14ac:dyDescent="0.2">
      <c r="A155" s="141">
        <v>23</v>
      </c>
      <c r="B155" s="161" t="s">
        <v>286</v>
      </c>
      <c r="C155" s="146">
        <v>136660</v>
      </c>
      <c r="D155" s="146">
        <v>134383</v>
      </c>
      <c r="E155" s="146">
        <f t="shared" si="8"/>
        <v>-2277</v>
      </c>
      <c r="F155" s="150">
        <f t="shared" si="9"/>
        <v>-1.6661788379920973E-2</v>
      </c>
      <c r="G155" s="155"/>
    </row>
    <row r="156" spans="1:7" ht="15" customHeight="1" x14ac:dyDescent="0.2">
      <c r="A156" s="141">
        <v>24</v>
      </c>
      <c r="B156" s="161" t="s">
        <v>287</v>
      </c>
      <c r="C156" s="146">
        <v>7178630</v>
      </c>
      <c r="D156" s="146">
        <v>7107841</v>
      </c>
      <c r="E156" s="146">
        <f t="shared" si="8"/>
        <v>-70789</v>
      </c>
      <c r="F156" s="150">
        <f t="shared" si="9"/>
        <v>-9.8610737703433669E-3</v>
      </c>
      <c r="G156" s="155"/>
    </row>
    <row r="157" spans="1:7" ht="15" customHeight="1" x14ac:dyDescent="0.2">
      <c r="A157" s="141">
        <v>25</v>
      </c>
      <c r="B157" s="161" t="s">
        <v>288</v>
      </c>
      <c r="C157" s="146">
        <v>411156</v>
      </c>
      <c r="D157" s="146">
        <v>395953</v>
      </c>
      <c r="E157" s="146">
        <f t="shared" si="8"/>
        <v>-15203</v>
      </c>
      <c r="F157" s="150">
        <f t="shared" si="9"/>
        <v>-3.6976232865384429E-2</v>
      </c>
      <c r="G157" s="155"/>
    </row>
    <row r="158" spans="1:7" ht="15" customHeight="1" x14ac:dyDescent="0.2">
      <c r="A158" s="141">
        <v>26</v>
      </c>
      <c r="B158" s="161" t="s">
        <v>289</v>
      </c>
      <c r="C158" s="146">
        <v>70321</v>
      </c>
      <c r="D158" s="146">
        <v>80882</v>
      </c>
      <c r="E158" s="146">
        <f t="shared" si="8"/>
        <v>10561</v>
      </c>
      <c r="F158" s="150">
        <f t="shared" si="9"/>
        <v>0.15018273346510999</v>
      </c>
      <c r="G158" s="155"/>
    </row>
    <row r="159" spans="1:7" ht="15" customHeight="1" x14ac:dyDescent="0.2">
      <c r="A159" s="141">
        <v>27</v>
      </c>
      <c r="B159" s="161" t="s">
        <v>290</v>
      </c>
      <c r="C159" s="146">
        <v>0</v>
      </c>
      <c r="D159" s="146">
        <v>0</v>
      </c>
      <c r="E159" s="146">
        <f t="shared" si="8"/>
        <v>0</v>
      </c>
      <c r="F159" s="150">
        <f t="shared" si="9"/>
        <v>0</v>
      </c>
      <c r="G159" s="155"/>
    </row>
    <row r="160" spans="1:7" ht="15" customHeight="1" x14ac:dyDescent="0.2">
      <c r="A160" s="141">
        <v>28</v>
      </c>
      <c r="B160" s="161" t="s">
        <v>291</v>
      </c>
      <c r="C160" s="146">
        <v>615134</v>
      </c>
      <c r="D160" s="146">
        <v>629218</v>
      </c>
      <c r="E160" s="146">
        <f t="shared" si="8"/>
        <v>14084</v>
      </c>
      <c r="F160" s="150">
        <f t="shared" si="9"/>
        <v>2.2895824324456134E-2</v>
      </c>
      <c r="G160" s="155"/>
    </row>
    <row r="161" spans="1:7" ht="15" customHeight="1" x14ac:dyDescent="0.2">
      <c r="A161" s="141">
        <v>29</v>
      </c>
      <c r="B161" s="161" t="s">
        <v>292</v>
      </c>
      <c r="C161" s="146">
        <v>0</v>
      </c>
      <c r="D161" s="146">
        <v>0</v>
      </c>
      <c r="E161" s="146">
        <f t="shared" si="8"/>
        <v>0</v>
      </c>
      <c r="F161" s="150">
        <f t="shared" si="9"/>
        <v>0</v>
      </c>
      <c r="G161" s="155"/>
    </row>
    <row r="162" spans="1:7" ht="15" customHeight="1" x14ac:dyDescent="0.2">
      <c r="A162" s="141">
        <v>30</v>
      </c>
      <c r="B162" s="161" t="s">
        <v>293</v>
      </c>
      <c r="C162" s="146">
        <v>0</v>
      </c>
      <c r="D162" s="146">
        <v>0</v>
      </c>
      <c r="E162" s="146">
        <f t="shared" si="8"/>
        <v>0</v>
      </c>
      <c r="F162" s="150">
        <f t="shared" si="9"/>
        <v>0</v>
      </c>
      <c r="G162" s="155"/>
    </row>
    <row r="163" spans="1:7" ht="15" customHeight="1" x14ac:dyDescent="0.2">
      <c r="A163" s="141">
        <v>31</v>
      </c>
      <c r="B163" s="161" t="s">
        <v>294</v>
      </c>
      <c r="C163" s="146">
        <v>0</v>
      </c>
      <c r="D163" s="146">
        <v>0</v>
      </c>
      <c r="E163" s="146">
        <f t="shared" si="8"/>
        <v>0</v>
      </c>
      <c r="F163" s="150">
        <f t="shared" si="9"/>
        <v>0</v>
      </c>
      <c r="G163" s="155"/>
    </row>
    <row r="164" spans="1:7" ht="15" customHeight="1" x14ac:dyDescent="0.2">
      <c r="A164" s="141">
        <v>32</v>
      </c>
      <c r="B164" s="161" t="s">
        <v>295</v>
      </c>
      <c r="C164" s="146">
        <v>375140</v>
      </c>
      <c r="D164" s="146">
        <v>543896</v>
      </c>
      <c r="E164" s="146">
        <f t="shared" si="8"/>
        <v>168756</v>
      </c>
      <c r="F164" s="150">
        <f t="shared" si="9"/>
        <v>0.44984805672548916</v>
      </c>
      <c r="G164" s="155"/>
    </row>
    <row r="165" spans="1:7" ht="15" customHeight="1" x14ac:dyDescent="0.2">
      <c r="A165" s="141">
        <v>33</v>
      </c>
      <c r="B165" s="161" t="s">
        <v>296</v>
      </c>
      <c r="C165" s="146">
        <v>0</v>
      </c>
      <c r="D165" s="146">
        <v>0</v>
      </c>
      <c r="E165" s="146">
        <f t="shared" si="8"/>
        <v>0</v>
      </c>
      <c r="F165" s="150">
        <f t="shared" si="9"/>
        <v>0</v>
      </c>
      <c r="G165" s="155"/>
    </row>
    <row r="166" spans="1:7" ht="15" customHeight="1" x14ac:dyDescent="0.2">
      <c r="A166" s="141">
        <v>34</v>
      </c>
      <c r="B166" s="161" t="s">
        <v>297</v>
      </c>
      <c r="C166" s="146">
        <v>15109990</v>
      </c>
      <c r="D166" s="146">
        <v>15633995</v>
      </c>
      <c r="E166" s="146">
        <f t="shared" si="8"/>
        <v>524005</v>
      </c>
      <c r="F166" s="150">
        <f t="shared" si="9"/>
        <v>3.4679374374172317E-2</v>
      </c>
      <c r="G166" s="155"/>
    </row>
    <row r="167" spans="1:7" ht="15.75" customHeight="1" x14ac:dyDescent="0.25">
      <c r="A167" s="141"/>
      <c r="B167" s="154" t="s">
        <v>298</v>
      </c>
      <c r="C167" s="147">
        <f>SUM(C133:C166)</f>
        <v>36897983</v>
      </c>
      <c r="D167" s="147">
        <f>SUM(D133:D166)</f>
        <v>36794949</v>
      </c>
      <c r="E167" s="147">
        <f t="shared" si="8"/>
        <v>-103034</v>
      </c>
      <c r="F167" s="148">
        <f t="shared" si="9"/>
        <v>-2.7924019586653285E-3</v>
      </c>
      <c r="G167" s="155"/>
    </row>
    <row r="168" spans="1:7" ht="15.75" customHeight="1" x14ac:dyDescent="0.25">
      <c r="A168" s="141"/>
      <c r="B168" s="162"/>
      <c r="C168" s="146"/>
      <c r="D168" s="146"/>
      <c r="E168" s="147"/>
      <c r="F168" s="160"/>
      <c r="G168" s="155"/>
    </row>
    <row r="169" spans="1:7" ht="15.75" customHeight="1" x14ac:dyDescent="0.25">
      <c r="A169" s="144" t="s">
        <v>171</v>
      </c>
      <c r="B169" s="145" t="s">
        <v>299</v>
      </c>
      <c r="C169" s="146"/>
      <c r="D169" s="146"/>
      <c r="E169" s="147"/>
      <c r="F169" s="160"/>
      <c r="G169" s="155"/>
    </row>
    <row r="170" spans="1:7" ht="15" customHeight="1" x14ac:dyDescent="0.2">
      <c r="A170" s="141">
        <v>1</v>
      </c>
      <c r="B170" s="161" t="s">
        <v>300</v>
      </c>
      <c r="C170" s="146">
        <v>5823432</v>
      </c>
      <c r="D170" s="146">
        <v>5826172</v>
      </c>
      <c r="E170" s="146">
        <f t="shared" ref="E170:E183" si="10">D170-C170</f>
        <v>2740</v>
      </c>
      <c r="F170" s="150">
        <f t="shared" ref="F170:F183" si="11">IF(C170=0,0,E170/C170)</f>
        <v>4.7051292090300015E-4</v>
      </c>
      <c r="G170" s="155"/>
    </row>
    <row r="171" spans="1:7" ht="15" customHeight="1" x14ac:dyDescent="0.2">
      <c r="A171" s="141">
        <v>2</v>
      </c>
      <c r="B171" s="161" t="s">
        <v>301</v>
      </c>
      <c r="C171" s="146">
        <v>2216800</v>
      </c>
      <c r="D171" s="146">
        <v>2129499</v>
      </c>
      <c r="E171" s="146">
        <f t="shared" si="10"/>
        <v>-87301</v>
      </c>
      <c r="F171" s="150">
        <f t="shared" si="11"/>
        <v>-3.9381540959942257E-2</v>
      </c>
      <c r="G171" s="155"/>
    </row>
    <row r="172" spans="1:7" ht="15" customHeight="1" x14ac:dyDescent="0.2">
      <c r="A172" s="141">
        <v>3</v>
      </c>
      <c r="B172" s="161" t="s">
        <v>302</v>
      </c>
      <c r="C172" s="146">
        <v>0</v>
      </c>
      <c r="D172" s="146">
        <v>0</v>
      </c>
      <c r="E172" s="146">
        <f t="shared" si="10"/>
        <v>0</v>
      </c>
      <c r="F172" s="150">
        <f t="shared" si="11"/>
        <v>0</v>
      </c>
      <c r="G172" s="155"/>
    </row>
    <row r="173" spans="1:7" ht="15" customHeight="1" x14ac:dyDescent="0.2">
      <c r="A173" s="141">
        <v>4</v>
      </c>
      <c r="B173" s="161" t="s">
        <v>303</v>
      </c>
      <c r="C173" s="146">
        <v>0</v>
      </c>
      <c r="D173" s="146">
        <v>0</v>
      </c>
      <c r="E173" s="146">
        <f t="shared" si="10"/>
        <v>0</v>
      </c>
      <c r="F173" s="150">
        <f t="shared" si="11"/>
        <v>0</v>
      </c>
      <c r="G173" s="155"/>
    </row>
    <row r="174" spans="1:7" ht="15" customHeight="1" x14ac:dyDescent="0.2">
      <c r="A174" s="141">
        <v>5</v>
      </c>
      <c r="B174" s="161" t="s">
        <v>304</v>
      </c>
      <c r="C174" s="146">
        <v>0</v>
      </c>
      <c r="D174" s="146">
        <v>0</v>
      </c>
      <c r="E174" s="146">
        <f t="shared" si="10"/>
        <v>0</v>
      </c>
      <c r="F174" s="150">
        <f t="shared" si="11"/>
        <v>0</v>
      </c>
      <c r="G174" s="155"/>
    </row>
    <row r="175" spans="1:7" ht="15" customHeight="1" x14ac:dyDescent="0.2">
      <c r="A175" s="141">
        <v>6</v>
      </c>
      <c r="B175" s="161" t="s">
        <v>305</v>
      </c>
      <c r="C175" s="146">
        <v>1030204</v>
      </c>
      <c r="D175" s="146">
        <v>867344</v>
      </c>
      <c r="E175" s="146">
        <f t="shared" si="10"/>
        <v>-162860</v>
      </c>
      <c r="F175" s="150">
        <f t="shared" si="11"/>
        <v>-0.15808519477695679</v>
      </c>
      <c r="G175" s="155"/>
    </row>
    <row r="176" spans="1:7" ht="15" customHeight="1" x14ac:dyDescent="0.2">
      <c r="A176" s="141">
        <v>7</v>
      </c>
      <c r="B176" s="161" t="s">
        <v>306</v>
      </c>
      <c r="C176" s="146">
        <v>1030204</v>
      </c>
      <c r="D176" s="146">
        <v>867344</v>
      </c>
      <c r="E176" s="146">
        <f t="shared" si="10"/>
        <v>-162860</v>
      </c>
      <c r="F176" s="150">
        <f t="shared" si="11"/>
        <v>-0.15808519477695679</v>
      </c>
      <c r="G176" s="155"/>
    </row>
    <row r="177" spans="1:7" ht="15" customHeight="1" x14ac:dyDescent="0.2">
      <c r="A177" s="141">
        <v>8</v>
      </c>
      <c r="B177" s="161" t="s">
        <v>307</v>
      </c>
      <c r="C177" s="146">
        <v>0</v>
      </c>
      <c r="D177" s="146">
        <v>0</v>
      </c>
      <c r="E177" s="146">
        <f t="shared" si="10"/>
        <v>0</v>
      </c>
      <c r="F177" s="150">
        <f t="shared" si="11"/>
        <v>0</v>
      </c>
      <c r="G177" s="155"/>
    </row>
    <row r="178" spans="1:7" ht="15" customHeight="1" x14ac:dyDescent="0.2">
      <c r="A178" s="141">
        <v>9</v>
      </c>
      <c r="B178" s="161" t="s">
        <v>308</v>
      </c>
      <c r="C178" s="146">
        <v>0</v>
      </c>
      <c r="D178" s="146">
        <v>0</v>
      </c>
      <c r="E178" s="146">
        <f t="shared" si="10"/>
        <v>0</v>
      </c>
      <c r="F178" s="150">
        <f t="shared" si="11"/>
        <v>0</v>
      </c>
      <c r="G178" s="155"/>
    </row>
    <row r="179" spans="1:7" ht="15" customHeight="1" x14ac:dyDescent="0.2">
      <c r="A179" s="141">
        <v>10</v>
      </c>
      <c r="B179" s="161" t="s">
        <v>309</v>
      </c>
      <c r="C179" s="146">
        <v>549509</v>
      </c>
      <c r="D179" s="146">
        <v>548991</v>
      </c>
      <c r="E179" s="146">
        <f t="shared" si="10"/>
        <v>-518</v>
      </c>
      <c r="F179" s="150">
        <f t="shared" si="11"/>
        <v>-9.4265971985900139E-4</v>
      </c>
      <c r="G179" s="155"/>
    </row>
    <row r="180" spans="1:7" ht="15" customHeight="1" x14ac:dyDescent="0.2">
      <c r="A180" s="141">
        <v>11</v>
      </c>
      <c r="B180" s="161" t="s">
        <v>310</v>
      </c>
      <c r="C180" s="146">
        <v>0</v>
      </c>
      <c r="D180" s="146">
        <v>0</v>
      </c>
      <c r="E180" s="146">
        <f t="shared" si="10"/>
        <v>0</v>
      </c>
      <c r="F180" s="150">
        <f t="shared" si="11"/>
        <v>0</v>
      </c>
      <c r="G180" s="155"/>
    </row>
    <row r="181" spans="1:7" ht="15" customHeight="1" x14ac:dyDescent="0.2">
      <c r="A181" s="141">
        <v>12</v>
      </c>
      <c r="B181" s="161" t="s">
        <v>311</v>
      </c>
      <c r="C181" s="146">
        <v>0</v>
      </c>
      <c r="D181" s="146">
        <v>0</v>
      </c>
      <c r="E181" s="146">
        <f t="shared" si="10"/>
        <v>0</v>
      </c>
      <c r="F181" s="150">
        <f t="shared" si="11"/>
        <v>0</v>
      </c>
      <c r="G181" s="155"/>
    </row>
    <row r="182" spans="1:7" ht="15" customHeight="1" x14ac:dyDescent="0.2">
      <c r="A182" s="141">
        <v>13</v>
      </c>
      <c r="B182" s="161" t="s">
        <v>312</v>
      </c>
      <c r="C182" s="146">
        <v>0</v>
      </c>
      <c r="D182" s="146">
        <v>0</v>
      </c>
      <c r="E182" s="146">
        <f t="shared" si="10"/>
        <v>0</v>
      </c>
      <c r="F182" s="150">
        <f t="shared" si="11"/>
        <v>0</v>
      </c>
      <c r="G182" s="155"/>
    </row>
    <row r="183" spans="1:7" ht="15.75" customHeight="1" x14ac:dyDescent="0.25">
      <c r="A183" s="141"/>
      <c r="B183" s="154" t="s">
        <v>313</v>
      </c>
      <c r="C183" s="147">
        <f>SUM(C170:C182)</f>
        <v>10650149</v>
      </c>
      <c r="D183" s="147">
        <f>SUM(D170:D182)</f>
        <v>10239350</v>
      </c>
      <c r="E183" s="147">
        <f t="shared" si="10"/>
        <v>-410799</v>
      </c>
      <c r="F183" s="148">
        <f t="shared" si="11"/>
        <v>-3.8572136408607995E-2</v>
      </c>
      <c r="G183" s="155"/>
    </row>
    <row r="184" spans="1:7" ht="15.75" customHeight="1" x14ac:dyDescent="0.25">
      <c r="A184" s="141"/>
      <c r="B184" s="162"/>
      <c r="C184" s="146"/>
      <c r="D184" s="146"/>
      <c r="E184" s="147"/>
      <c r="F184" s="160"/>
      <c r="G184" s="155"/>
    </row>
    <row r="185" spans="1:7" ht="15.75" customHeight="1" x14ac:dyDescent="0.25">
      <c r="A185" s="144" t="s">
        <v>176</v>
      </c>
      <c r="B185" s="145" t="s">
        <v>314</v>
      </c>
      <c r="C185" s="146"/>
      <c r="D185" s="146"/>
      <c r="E185" s="147"/>
      <c r="F185" s="160"/>
      <c r="G185" s="155"/>
    </row>
    <row r="186" spans="1:7" ht="15" customHeight="1" x14ac:dyDescent="0.2">
      <c r="A186" s="141">
        <v>1</v>
      </c>
      <c r="B186" s="161" t="s">
        <v>315</v>
      </c>
      <c r="C186" s="146">
        <v>0</v>
      </c>
      <c r="D186" s="146">
        <v>0</v>
      </c>
      <c r="E186" s="146">
        <f>D186-C186</f>
        <v>0</v>
      </c>
      <c r="F186" s="150">
        <f>IF(C186=0,0,E186/C186)</f>
        <v>0</v>
      </c>
      <c r="G186" s="155"/>
    </row>
    <row r="187" spans="1:7" ht="15.75" customHeight="1" x14ac:dyDescent="0.25">
      <c r="A187" s="141"/>
      <c r="B187" s="162"/>
      <c r="C187" s="146"/>
      <c r="D187" s="146"/>
      <c r="E187" s="147"/>
      <c r="F187" s="160"/>
      <c r="G187" s="155"/>
    </row>
    <row r="188" spans="1:7" ht="15.75" customHeight="1" x14ac:dyDescent="0.25">
      <c r="A188" s="153"/>
      <c r="B188" s="154" t="s">
        <v>316</v>
      </c>
      <c r="C188" s="147">
        <f>+C186+C183+C167+C130+C121</f>
        <v>85587522</v>
      </c>
      <c r="D188" s="147">
        <f>+D186+D183+D167+D130+D121</f>
        <v>90685854</v>
      </c>
      <c r="E188" s="147">
        <f>D188-C188</f>
        <v>5098332</v>
      </c>
      <c r="F188" s="148">
        <f>IF(C188=0,0,E188/C188)</f>
        <v>5.9568636652431645E-2</v>
      </c>
      <c r="G188" s="155"/>
    </row>
    <row r="189" spans="1:7" ht="15.75" customHeight="1" x14ac:dyDescent="0.25">
      <c r="A189" s="153"/>
      <c r="B189" s="162"/>
      <c r="C189" s="146"/>
      <c r="D189" s="146"/>
      <c r="E189" s="147"/>
      <c r="F189" s="148"/>
      <c r="G189" s="155"/>
    </row>
    <row r="190" spans="1:7" ht="15.75" customHeight="1" x14ac:dyDescent="0.25">
      <c r="A190" s="153"/>
      <c r="B190" s="157" t="s">
        <v>317</v>
      </c>
      <c r="C190" s="146"/>
      <c r="D190" s="146"/>
      <c r="E190" s="147"/>
      <c r="F190" s="148"/>
      <c r="G190" s="155"/>
    </row>
    <row r="191" spans="1:7" ht="15" customHeight="1" x14ac:dyDescent="0.2">
      <c r="A191" s="153"/>
      <c r="B191" s="162"/>
      <c r="C191" s="163"/>
      <c r="D191" s="163"/>
      <c r="E191" s="163"/>
      <c r="F191" s="163"/>
      <c r="G191" s="155"/>
    </row>
  </sheetData>
  <pageMargins left="0.25" right="0.25" top="0.5" bottom="0.5" header="0.25" footer="0.25"/>
  <pageSetup paperSize="9" scale="74" orientation="portrait" r:id="rId1"/>
  <headerFooter>
    <oddHeader>&amp;LOFFICE OF HEALTH CARE ACCESS&amp;CTWELVE MONTHS ACTUAL FILING&amp;RMILFORD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318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319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320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78229898</v>
      </c>
      <c r="D11" s="164">
        <v>79860535</v>
      </c>
      <c r="E11" s="51">
        <v>84451715</v>
      </c>
      <c r="F11" s="13"/>
    </row>
    <row r="12" spans="1:6" ht="24" customHeight="1" x14ac:dyDescent="0.25">
      <c r="A12" s="44">
        <v>2</v>
      </c>
      <c r="B12" s="165" t="s">
        <v>321</v>
      </c>
      <c r="C12" s="49">
        <v>1165893</v>
      </c>
      <c r="D12" s="49">
        <v>653094</v>
      </c>
      <c r="E12" s="49">
        <v>2505143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79395791</v>
      </c>
      <c r="D13" s="51">
        <f>+D11+D12</f>
        <v>80513629</v>
      </c>
      <c r="E13" s="51">
        <f>+E11+E12</f>
        <v>86956858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86047738</v>
      </c>
      <c r="D14" s="49">
        <v>85587522</v>
      </c>
      <c r="E14" s="49">
        <v>90685854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-6651947</v>
      </c>
      <c r="D15" s="51">
        <f>+D13-D14</f>
        <v>-5073893</v>
      </c>
      <c r="E15" s="51">
        <f>+E13-E14</f>
        <v>-3728996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2825570</v>
      </c>
      <c r="D16" s="49">
        <v>-333921</v>
      </c>
      <c r="E16" s="49">
        <v>1943229</v>
      </c>
      <c r="F16" s="13"/>
    </row>
    <row r="17" spans="1:6" ht="24" customHeight="1" x14ac:dyDescent="0.25">
      <c r="A17" s="44">
        <v>7</v>
      </c>
      <c r="B17" s="45" t="s">
        <v>322</v>
      </c>
      <c r="C17" s="51">
        <f>C15+C16</f>
        <v>-3826377</v>
      </c>
      <c r="D17" s="51">
        <f>D15+D16</f>
        <v>-5407814</v>
      </c>
      <c r="E17" s="51">
        <f>E15+E16</f>
        <v>-1785767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323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324</v>
      </c>
      <c r="C20" s="169">
        <f>IF(+C27=0,0,+C24/+C27)</f>
        <v>-8.0902905511379214E-2</v>
      </c>
      <c r="D20" s="169">
        <f>IF(+D27=0,0,+D24/+D27)</f>
        <v>-6.3281510079832168E-2</v>
      </c>
      <c r="E20" s="169">
        <f>IF(+E27=0,0,+E24/+E27)</f>
        <v>-4.1945920705341942E-2</v>
      </c>
      <c r="F20" s="13"/>
    </row>
    <row r="21" spans="1:6" ht="24" customHeight="1" x14ac:dyDescent="0.25">
      <c r="A21" s="25">
        <v>2</v>
      </c>
      <c r="B21" s="48" t="s">
        <v>325</v>
      </c>
      <c r="C21" s="169">
        <f>IF(C27=0,0,+C26/C27)</f>
        <v>3.4365400494890862E-2</v>
      </c>
      <c r="D21" s="169">
        <f>IF(D27=0,0,+D26/D27)</f>
        <v>-4.1646572222488014E-3</v>
      </c>
      <c r="E21" s="169">
        <f>IF(E27=0,0,+E26/E27)</f>
        <v>2.1858572534355337E-2</v>
      </c>
      <c r="F21" s="13"/>
    </row>
    <row r="22" spans="1:6" ht="24" customHeight="1" x14ac:dyDescent="0.25">
      <c r="A22" s="25">
        <v>3</v>
      </c>
      <c r="B22" s="48" t="s">
        <v>326</v>
      </c>
      <c r="C22" s="169">
        <f>IF(C27=0,0,+C28/C27)</f>
        <v>-4.6537505016488352E-2</v>
      </c>
      <c r="D22" s="169">
        <f>IF(D27=0,0,+D28/D27)</f>
        <v>-6.7446167302080973E-2</v>
      </c>
      <c r="E22" s="169">
        <f>IF(E27=0,0,+E28/E27)</f>
        <v>-2.0087348170986605E-2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-6651947</v>
      </c>
      <c r="D24" s="51">
        <f>+D15</f>
        <v>-5073893</v>
      </c>
      <c r="E24" s="51">
        <f>+E15</f>
        <v>-3728996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79395791</v>
      </c>
      <c r="D25" s="51">
        <f>+D13</f>
        <v>80513629</v>
      </c>
      <c r="E25" s="51">
        <f>+E13</f>
        <v>86956858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2825570</v>
      </c>
      <c r="D26" s="51">
        <f>+D16</f>
        <v>-333921</v>
      </c>
      <c r="E26" s="51">
        <f>+E16</f>
        <v>1943229</v>
      </c>
      <c r="F26" s="13"/>
    </row>
    <row r="27" spans="1:6" ht="24" customHeight="1" x14ac:dyDescent="0.25">
      <c r="A27" s="21">
        <v>7</v>
      </c>
      <c r="B27" s="48" t="s">
        <v>327</v>
      </c>
      <c r="C27" s="51">
        <f>+C25+C26</f>
        <v>82221361</v>
      </c>
      <c r="D27" s="51">
        <f>+D25+D26</f>
        <v>80179708</v>
      </c>
      <c r="E27" s="51">
        <f>+E25+E26</f>
        <v>88900087</v>
      </c>
      <c r="F27" s="13"/>
    </row>
    <row r="28" spans="1:6" ht="24" customHeight="1" x14ac:dyDescent="0.25">
      <c r="A28" s="21">
        <v>8</v>
      </c>
      <c r="B28" s="45" t="s">
        <v>322</v>
      </c>
      <c r="C28" s="51">
        <f>+C17</f>
        <v>-3826377</v>
      </c>
      <c r="D28" s="51">
        <f>+D17</f>
        <v>-5407814</v>
      </c>
      <c r="E28" s="51">
        <f>+E17</f>
        <v>-1785767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328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329</v>
      </c>
      <c r="C31" s="51">
        <v>25485476</v>
      </c>
      <c r="D31" s="51">
        <v>14195295</v>
      </c>
      <c r="E31" s="51">
        <v>5927259</v>
      </c>
      <c r="F31" s="13"/>
    </row>
    <row r="32" spans="1:6" ht="24" customHeight="1" x14ac:dyDescent="0.25">
      <c r="A32" s="25">
        <v>2</v>
      </c>
      <c r="B32" s="48" t="s">
        <v>330</v>
      </c>
      <c r="C32" s="51">
        <v>26811974</v>
      </c>
      <c r="D32" s="51">
        <v>15495219</v>
      </c>
      <c r="E32" s="51">
        <v>7270463</v>
      </c>
      <c r="F32" s="13"/>
    </row>
    <row r="33" spans="1:6" ht="24" customHeight="1" x14ac:dyDescent="0.2">
      <c r="A33" s="25">
        <v>3</v>
      </c>
      <c r="B33" s="48" t="s">
        <v>331</v>
      </c>
      <c r="C33" s="51">
        <v>-11286925</v>
      </c>
      <c r="D33" s="51">
        <f>+D32-C32</f>
        <v>-11316755</v>
      </c>
      <c r="E33" s="51">
        <f>+E32-D32</f>
        <v>-8224756</v>
      </c>
      <c r="F33" s="5"/>
    </row>
    <row r="34" spans="1:6" ht="24" customHeight="1" x14ac:dyDescent="0.2">
      <c r="A34" s="25">
        <v>4</v>
      </c>
      <c r="B34" s="48" t="s">
        <v>332</v>
      </c>
      <c r="C34" s="171">
        <v>0.70369999999999999</v>
      </c>
      <c r="D34" s="171">
        <f>IF(C32=0,0,+D33/C32)</f>
        <v>-0.42207839676407266</v>
      </c>
      <c r="E34" s="171">
        <f>IF(D32=0,0,+E33/D32)</f>
        <v>-0.5307931433560249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333</v>
      </c>
      <c r="B36" s="41" t="s">
        <v>334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335</v>
      </c>
      <c r="C38" s="172">
        <f>IF((C40+C41)=0,0,+C39/(C40+C41))</f>
        <v>0.41958948577364324</v>
      </c>
      <c r="D38" s="172">
        <f>IF((D40+D41)=0,0,+D39/(D40+D41))</f>
        <v>0.46322850203282501</v>
      </c>
      <c r="E38" s="172">
        <f>IF((E40+E41)=0,0,+E39/(E40+E41))</f>
        <v>0.47250104957706723</v>
      </c>
      <c r="F38" s="5"/>
    </row>
    <row r="39" spans="1:6" ht="24" customHeight="1" x14ac:dyDescent="0.2">
      <c r="A39" s="21">
        <v>2</v>
      </c>
      <c r="B39" s="48" t="s">
        <v>336</v>
      </c>
      <c r="C39" s="51">
        <v>86047738</v>
      </c>
      <c r="D39" s="51">
        <v>85587522</v>
      </c>
      <c r="E39" s="23">
        <v>90685854</v>
      </c>
      <c r="F39" s="5"/>
    </row>
    <row r="40" spans="1:6" ht="24" customHeight="1" x14ac:dyDescent="0.2">
      <c r="A40" s="21">
        <v>3</v>
      </c>
      <c r="B40" s="48" t="s">
        <v>337</v>
      </c>
      <c r="C40" s="51">
        <v>204296146</v>
      </c>
      <c r="D40" s="51">
        <v>184109980</v>
      </c>
      <c r="E40" s="23">
        <v>189422164</v>
      </c>
      <c r="F40" s="5"/>
    </row>
    <row r="41" spans="1:6" ht="24" customHeight="1" x14ac:dyDescent="0.2">
      <c r="A41" s="21">
        <v>4</v>
      </c>
      <c r="B41" s="48" t="s">
        <v>338</v>
      </c>
      <c r="C41" s="51">
        <v>779865</v>
      </c>
      <c r="D41" s="51">
        <v>653094</v>
      </c>
      <c r="E41" s="23">
        <v>2505143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339</v>
      </c>
      <c r="C43" s="173">
        <f>IF(C38=0,0,IF((C46-C47)=0,0,((+C44-C45)/(C46-C47)/C38)))</f>
        <v>1.0186047167780024</v>
      </c>
      <c r="D43" s="173">
        <f>IF(D38=0,0,IF((D46-D47)=0,0,((+D44-D45)/(D46-D47)/D38)))</f>
        <v>1.0109072294524866</v>
      </c>
      <c r="E43" s="173">
        <f>IF(E38=0,0,IF((E46-E47)=0,0,((+E44-E45)/(E46-E47)/E38)))</f>
        <v>1.0140844446500192</v>
      </c>
      <c r="F43" s="5"/>
    </row>
    <row r="44" spans="1:6" ht="24" customHeight="1" x14ac:dyDescent="0.2">
      <c r="A44" s="21">
        <v>6</v>
      </c>
      <c r="B44" s="48" t="s">
        <v>340</v>
      </c>
      <c r="C44" s="51">
        <v>35481811</v>
      </c>
      <c r="D44" s="51">
        <v>34751121</v>
      </c>
      <c r="E44" s="23">
        <v>35503735</v>
      </c>
      <c r="F44" s="5"/>
    </row>
    <row r="45" spans="1:6" ht="24" customHeight="1" x14ac:dyDescent="0.2">
      <c r="A45" s="21">
        <v>7</v>
      </c>
      <c r="B45" s="48" t="s">
        <v>341</v>
      </c>
      <c r="C45" s="51">
        <v>343268</v>
      </c>
      <c r="D45" s="51">
        <v>281013</v>
      </c>
      <c r="E45" s="23">
        <v>249764</v>
      </c>
      <c r="F45" s="5"/>
    </row>
    <row r="46" spans="1:6" ht="24" customHeight="1" x14ac:dyDescent="0.2">
      <c r="A46" s="21">
        <v>8</v>
      </c>
      <c r="B46" s="48" t="s">
        <v>342</v>
      </c>
      <c r="C46" s="51">
        <v>87922426</v>
      </c>
      <c r="D46" s="51">
        <v>79168686</v>
      </c>
      <c r="E46" s="23">
        <v>79203642</v>
      </c>
      <c r="F46" s="5"/>
    </row>
    <row r="47" spans="1:6" ht="24" customHeight="1" x14ac:dyDescent="0.2">
      <c r="A47" s="21">
        <v>9</v>
      </c>
      <c r="B47" s="48" t="s">
        <v>343</v>
      </c>
      <c r="C47" s="51">
        <v>5706970</v>
      </c>
      <c r="D47" s="51">
        <v>5558813</v>
      </c>
      <c r="E47" s="174">
        <v>5628494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344</v>
      </c>
      <c r="C49" s="175">
        <f>IF(C38=0,0,IF(C51=0,0,(C50/C51)/C38))</f>
        <v>0.73961635765277867</v>
      </c>
      <c r="D49" s="175">
        <f>IF(D38=0,0,IF(D51=0,0,(D50/D51)/D38))</f>
        <v>0.74510954377347438</v>
      </c>
      <c r="E49" s="175">
        <f>IF(E38=0,0,IF(E51=0,0,(E50/E51)/E38))</f>
        <v>0.69535053861230101</v>
      </c>
      <c r="F49" s="7"/>
    </row>
    <row r="50" spans="1:6" ht="24" customHeight="1" x14ac:dyDescent="0.25">
      <c r="A50" s="21">
        <v>11</v>
      </c>
      <c r="B50" s="48" t="s">
        <v>345</v>
      </c>
      <c r="C50" s="176">
        <v>30416739</v>
      </c>
      <c r="D50" s="176">
        <v>29188273</v>
      </c>
      <c r="E50" s="176">
        <v>29632816</v>
      </c>
      <c r="F50" s="11"/>
    </row>
    <row r="51" spans="1:6" ht="24" customHeight="1" x14ac:dyDescent="0.25">
      <c r="A51" s="21">
        <v>12</v>
      </c>
      <c r="B51" s="48" t="s">
        <v>346</v>
      </c>
      <c r="C51" s="176">
        <v>98012518</v>
      </c>
      <c r="D51" s="176">
        <v>84565457</v>
      </c>
      <c r="E51" s="176">
        <v>90191654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347</v>
      </c>
      <c r="C53" s="175">
        <f>IF(C38=0,0,IF(C55=0,0,(C54/C55)/C38))</f>
        <v>0.54472865628874245</v>
      </c>
      <c r="D53" s="175">
        <f>IF(D38=0,0,IF(D55=0,0,(D54/D55)/D38))</f>
        <v>0.56261073443695486</v>
      </c>
      <c r="E53" s="175">
        <f>IF(E38=0,0,IF(E55=0,0,(E54/E55)/E38))</f>
        <v>0.55957201052308991</v>
      </c>
      <c r="F53" s="13"/>
    </row>
    <row r="54" spans="1:6" ht="24" customHeight="1" x14ac:dyDescent="0.25">
      <c r="A54" s="21">
        <v>14</v>
      </c>
      <c r="B54" s="48" t="s">
        <v>348</v>
      </c>
      <c r="C54" s="176">
        <v>4005840</v>
      </c>
      <c r="D54" s="176">
        <v>5189560</v>
      </c>
      <c r="E54" s="176">
        <v>5177495</v>
      </c>
      <c r="F54" s="13"/>
    </row>
    <row r="55" spans="1:6" ht="24" customHeight="1" x14ac:dyDescent="0.25">
      <c r="A55" s="21">
        <v>15</v>
      </c>
      <c r="B55" s="48" t="s">
        <v>349</v>
      </c>
      <c r="C55" s="176">
        <v>17526241</v>
      </c>
      <c r="D55" s="176">
        <v>19912567</v>
      </c>
      <c r="E55" s="176">
        <v>19582175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350</v>
      </c>
      <c r="C57" s="53">
        <f>+C60*C38</f>
        <v>2952944.0848501977</v>
      </c>
      <c r="D57" s="53">
        <f>+D60*D38</f>
        <v>3612968.7675165981</v>
      </c>
      <c r="E57" s="53">
        <f>+E60*E38</f>
        <v>3412141.2869651634</v>
      </c>
      <c r="F57" s="13"/>
    </row>
    <row r="58" spans="1:6" ht="24" customHeight="1" x14ac:dyDescent="0.25">
      <c r="A58" s="21">
        <v>17</v>
      </c>
      <c r="B58" s="48" t="s">
        <v>351</v>
      </c>
      <c r="C58" s="51">
        <v>299029</v>
      </c>
      <c r="D58" s="51">
        <v>187766</v>
      </c>
      <c r="E58" s="52">
        <v>192533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6738669</v>
      </c>
      <c r="D59" s="51">
        <v>7611773</v>
      </c>
      <c r="E59" s="52">
        <v>7028914</v>
      </c>
      <c r="F59" s="28"/>
    </row>
    <row r="60" spans="1:6" ht="24" customHeight="1" x14ac:dyDescent="0.25">
      <c r="A60" s="21">
        <v>19</v>
      </c>
      <c r="B60" s="48" t="s">
        <v>352</v>
      </c>
      <c r="C60" s="51">
        <v>7037698</v>
      </c>
      <c r="D60" s="51">
        <v>7799539</v>
      </c>
      <c r="E60" s="52">
        <v>7221447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353</v>
      </c>
      <c r="C62" s="178">
        <f>IF(C63=0,0,+C57/C63)</f>
        <v>3.4317509715946257E-2</v>
      </c>
      <c r="D62" s="178">
        <f>IF(D63=0,0,+D57/D63)</f>
        <v>4.2213732598971591E-2</v>
      </c>
      <c r="E62" s="178">
        <f>IF(E63=0,0,+E57/E63)</f>
        <v>3.7625948661906668E-2</v>
      </c>
      <c r="F62" s="13"/>
    </row>
    <row r="63" spans="1:6" ht="24" customHeight="1" x14ac:dyDescent="0.25">
      <c r="A63" s="21">
        <v>21</v>
      </c>
      <c r="B63" s="45" t="s">
        <v>336</v>
      </c>
      <c r="C63" s="176">
        <v>86047738</v>
      </c>
      <c r="D63" s="176">
        <v>85587522</v>
      </c>
      <c r="E63" s="176">
        <v>90685854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354</v>
      </c>
      <c r="B65" s="41" t="s">
        <v>355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356</v>
      </c>
      <c r="C67" s="179">
        <f>IF(C69=0,0,C68/C69)</f>
        <v>0.99251619434708671</v>
      </c>
      <c r="D67" s="179">
        <f>IF(D69=0,0,D68/D69)</f>
        <v>1.0333783182393801</v>
      </c>
      <c r="E67" s="179">
        <f>IF(E69=0,0,E68/E69)</f>
        <v>1.0387615510251968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15564501</v>
      </c>
      <c r="D68" s="180">
        <v>16721077</v>
      </c>
      <c r="E68" s="180">
        <v>16822172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15681861</v>
      </c>
      <c r="D69" s="180">
        <v>16180983</v>
      </c>
      <c r="E69" s="180">
        <v>16194450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357</v>
      </c>
      <c r="C71" s="181">
        <f>IF((C77/365)=0,0,+C74/(C77/365))</f>
        <v>2.331878894918618</v>
      </c>
      <c r="D71" s="181">
        <f>IF((D77/365)=0,0,+D74/(D77/365))</f>
        <v>5.2306264333636481</v>
      </c>
      <c r="E71" s="181">
        <f>IF((E77/365)=0,0,+E74/(E77/365))</f>
        <v>2.6151241503140601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303667</v>
      </c>
      <c r="D72" s="182">
        <v>956229</v>
      </c>
      <c r="E72" s="182">
        <v>404540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223228</v>
      </c>
      <c r="D73" s="184">
        <v>224305</v>
      </c>
      <c r="E73" s="184">
        <v>225160</v>
      </c>
      <c r="F73" s="28"/>
    </row>
    <row r="74" spans="1:6" ht="24" customHeight="1" x14ac:dyDescent="0.25">
      <c r="A74" s="21">
        <v>7</v>
      </c>
      <c r="B74" s="48" t="s">
        <v>358</v>
      </c>
      <c r="C74" s="180">
        <f>+C72+C73</f>
        <v>526895</v>
      </c>
      <c r="D74" s="180">
        <f>+D72+D73</f>
        <v>1180534</v>
      </c>
      <c r="E74" s="180">
        <f>+E72+E73</f>
        <v>629700</v>
      </c>
      <c r="F74" s="28"/>
    </row>
    <row r="75" spans="1:6" ht="24" customHeight="1" x14ac:dyDescent="0.25">
      <c r="A75" s="21">
        <v>8</v>
      </c>
      <c r="B75" s="48" t="s">
        <v>336</v>
      </c>
      <c r="C75" s="180">
        <f>+C14</f>
        <v>86047738</v>
      </c>
      <c r="D75" s="180">
        <f>+D14</f>
        <v>85587522</v>
      </c>
      <c r="E75" s="180">
        <f>+E14</f>
        <v>90685854</v>
      </c>
      <c r="F75" s="28"/>
    </row>
    <row r="76" spans="1:6" ht="24" customHeight="1" x14ac:dyDescent="0.25">
      <c r="A76" s="21">
        <v>9</v>
      </c>
      <c r="B76" s="45" t="s">
        <v>359</v>
      </c>
      <c r="C76" s="180">
        <v>3574898</v>
      </c>
      <c r="D76" s="180">
        <v>3208305</v>
      </c>
      <c r="E76" s="180">
        <v>2796910</v>
      </c>
      <c r="F76" s="28"/>
    </row>
    <row r="77" spans="1:6" ht="24" customHeight="1" x14ac:dyDescent="0.25">
      <c r="A77" s="21">
        <v>10</v>
      </c>
      <c r="B77" s="45" t="s">
        <v>360</v>
      </c>
      <c r="C77" s="180">
        <f>+C75-C76</f>
        <v>82472840</v>
      </c>
      <c r="D77" s="180">
        <f>+D75-D76</f>
        <v>82379217</v>
      </c>
      <c r="E77" s="180">
        <f>+E75-E76</f>
        <v>87888944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361</v>
      </c>
      <c r="C79" s="179">
        <f>IF((C84/365)=0,0,+C83/(C84/365))</f>
        <v>48.250216816082265</v>
      </c>
      <c r="D79" s="179">
        <f>IF((D84/365)=0,0,+D83/(D84/365))</f>
        <v>48.438406842628844</v>
      </c>
      <c r="E79" s="179">
        <f>IF((E84/365)=0,0,+E83/(E84/365))</f>
        <v>49.261789710250405</v>
      </c>
      <c r="F79" s="28"/>
    </row>
    <row r="80" spans="1:6" ht="24" customHeight="1" x14ac:dyDescent="0.25">
      <c r="A80" s="21">
        <v>12</v>
      </c>
      <c r="B80" s="188" t="s">
        <v>362</v>
      </c>
      <c r="C80" s="189">
        <v>12226798</v>
      </c>
      <c r="D80" s="189">
        <v>12622341</v>
      </c>
      <c r="E80" s="189">
        <v>12293728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1885402</v>
      </c>
      <c r="D82" s="190">
        <v>2024212</v>
      </c>
      <c r="E82" s="190">
        <v>895803</v>
      </c>
      <c r="F82" s="28"/>
    </row>
    <row r="83" spans="1:6" ht="33.950000000000003" customHeight="1" x14ac:dyDescent="0.25">
      <c r="A83" s="21">
        <v>15</v>
      </c>
      <c r="B83" s="45" t="s">
        <v>363</v>
      </c>
      <c r="C83" s="191">
        <f>+C80+C81-C82</f>
        <v>10341396</v>
      </c>
      <c r="D83" s="191">
        <f>+D80+D81-D82</f>
        <v>10598129</v>
      </c>
      <c r="E83" s="191">
        <f>+E80+E81-E82</f>
        <v>11397925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78229898</v>
      </c>
      <c r="D84" s="191">
        <f>+D11</f>
        <v>79860535</v>
      </c>
      <c r="E84" s="191">
        <f>+E11</f>
        <v>84451715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364</v>
      </c>
      <c r="C86" s="179">
        <f>IF((C90/365)=0,0,+C87/(C90/365))</f>
        <v>69.403203102985188</v>
      </c>
      <c r="D86" s="179">
        <f>IF((D90/365)=0,0,+D87/(D90/365))</f>
        <v>71.693553423796203</v>
      </c>
      <c r="E86" s="179">
        <f>IF((E90/365)=0,0,+E87/(E90/365))</f>
        <v>67.255037789508535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15681861</v>
      </c>
      <c r="D87" s="51">
        <f>+D69</f>
        <v>16180983</v>
      </c>
      <c r="E87" s="51">
        <f>+E69</f>
        <v>16194450</v>
      </c>
      <c r="F87" s="28"/>
    </row>
    <row r="88" spans="1:6" ht="24" customHeight="1" x14ac:dyDescent="0.25">
      <c r="A88" s="21">
        <v>19</v>
      </c>
      <c r="B88" s="48" t="s">
        <v>336</v>
      </c>
      <c r="C88" s="51">
        <f t="shared" ref="C88:E89" si="0">+C75</f>
        <v>86047738</v>
      </c>
      <c r="D88" s="51">
        <f t="shared" si="0"/>
        <v>85587522</v>
      </c>
      <c r="E88" s="51">
        <f t="shared" si="0"/>
        <v>90685854</v>
      </c>
      <c r="F88" s="28"/>
    </row>
    <row r="89" spans="1:6" ht="24" customHeight="1" x14ac:dyDescent="0.25">
      <c r="A89" s="21">
        <v>20</v>
      </c>
      <c r="B89" s="48" t="s">
        <v>359</v>
      </c>
      <c r="C89" s="52">
        <f t="shared" si="0"/>
        <v>3574898</v>
      </c>
      <c r="D89" s="52">
        <f t="shared" si="0"/>
        <v>3208305</v>
      </c>
      <c r="E89" s="52">
        <f t="shared" si="0"/>
        <v>2796910</v>
      </c>
      <c r="F89" s="28"/>
    </row>
    <row r="90" spans="1:6" ht="24" customHeight="1" x14ac:dyDescent="0.25">
      <c r="A90" s="21">
        <v>21</v>
      </c>
      <c r="B90" s="48" t="s">
        <v>365</v>
      </c>
      <c r="C90" s="51">
        <f>+C88-C89</f>
        <v>82472840</v>
      </c>
      <c r="D90" s="51">
        <f>+D88-D89</f>
        <v>82379217</v>
      </c>
      <c r="E90" s="51">
        <f>+E88-E89</f>
        <v>87888944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366</v>
      </c>
      <c r="B92" s="41" t="s">
        <v>367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368</v>
      </c>
      <c r="C94" s="192">
        <f>IF(C96=0,0,(C95/C96)*100)</f>
        <v>37.081721044945439</v>
      </c>
      <c r="D94" s="192">
        <f>IF(D96=0,0,(D95/D96)*100)</f>
        <v>23.992588740665628</v>
      </c>
      <c r="E94" s="192">
        <f>IF(E96=0,0,(E95/E96)*100)</f>
        <v>12.486909331232047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26811974</v>
      </c>
      <c r="D95" s="51">
        <f>+D32</f>
        <v>15495219</v>
      </c>
      <c r="E95" s="51">
        <f>+E32</f>
        <v>7270463</v>
      </c>
      <c r="F95" s="28"/>
    </row>
    <row r="96" spans="1:6" ht="24" customHeight="1" x14ac:dyDescent="0.25">
      <c r="A96" s="21">
        <v>3</v>
      </c>
      <c r="B96" s="48" t="s">
        <v>43</v>
      </c>
      <c r="C96" s="51">
        <v>72305096</v>
      </c>
      <c r="D96" s="51">
        <v>64583356</v>
      </c>
      <c r="E96" s="51">
        <v>58224680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369</v>
      </c>
      <c r="C98" s="192">
        <f>IF(C104=0,0,(C101/C104)*100)</f>
        <v>-1.4310604867309413</v>
      </c>
      <c r="D98" s="192">
        <f>IF(D104=0,0,(D101/D104)*100)</f>
        <v>-12.850339003350598</v>
      </c>
      <c r="E98" s="192">
        <f>IF(E104=0,0,(E101/E104)*100)</f>
        <v>6.2437625235806093</v>
      </c>
      <c r="F98" s="28"/>
    </row>
    <row r="99" spans="1:6" ht="24" customHeight="1" x14ac:dyDescent="0.25">
      <c r="A99" s="21">
        <v>5</v>
      </c>
      <c r="B99" s="48" t="s">
        <v>370</v>
      </c>
      <c r="C99" s="51">
        <f>+C28</f>
        <v>-3826377</v>
      </c>
      <c r="D99" s="51">
        <f>+D28</f>
        <v>-5407814</v>
      </c>
      <c r="E99" s="51">
        <f>+E28</f>
        <v>-1785767</v>
      </c>
      <c r="F99" s="28"/>
    </row>
    <row r="100" spans="1:6" ht="24" customHeight="1" x14ac:dyDescent="0.25">
      <c r="A100" s="21">
        <v>6</v>
      </c>
      <c r="B100" s="48" t="s">
        <v>359</v>
      </c>
      <c r="C100" s="52">
        <f>+C76</f>
        <v>3574898</v>
      </c>
      <c r="D100" s="52">
        <f>+D76</f>
        <v>3208305</v>
      </c>
      <c r="E100" s="52">
        <f>+E76</f>
        <v>2796910</v>
      </c>
      <c r="F100" s="28"/>
    </row>
    <row r="101" spans="1:6" ht="24" customHeight="1" x14ac:dyDescent="0.25">
      <c r="A101" s="21">
        <v>7</v>
      </c>
      <c r="B101" s="48" t="s">
        <v>371</v>
      </c>
      <c r="C101" s="51">
        <f>+C99+C100</f>
        <v>-251479</v>
      </c>
      <c r="D101" s="51">
        <f>+D99+D100</f>
        <v>-2199509</v>
      </c>
      <c r="E101" s="51">
        <f>+E99+E100</f>
        <v>1011143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15681861</v>
      </c>
      <c r="D102" s="180">
        <f>+D69</f>
        <v>16180983</v>
      </c>
      <c r="E102" s="180">
        <f>+E69</f>
        <v>16194450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1891051</v>
      </c>
      <c r="D103" s="194">
        <v>935367</v>
      </c>
      <c r="E103" s="194">
        <v>0</v>
      </c>
      <c r="F103" s="28"/>
    </row>
    <row r="104" spans="1:6" ht="24" customHeight="1" x14ac:dyDescent="0.25">
      <c r="A104" s="21">
        <v>10</v>
      </c>
      <c r="B104" s="195" t="s">
        <v>372</v>
      </c>
      <c r="C104" s="180">
        <f>+C102+C103</f>
        <v>17572912</v>
      </c>
      <c r="D104" s="180">
        <f>+D102+D103</f>
        <v>17116350</v>
      </c>
      <c r="E104" s="180">
        <f>+E102+E103</f>
        <v>16194450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373</v>
      </c>
      <c r="C106" s="197">
        <f>IF(C109=0,0,(C107/C109)*100)</f>
        <v>6.588333459626643</v>
      </c>
      <c r="D106" s="197">
        <f>IF(D109=0,0,(D107/D109)*100)</f>
        <v>5.6928401701558302</v>
      </c>
      <c r="E106" s="197">
        <f>IF(E109=0,0,(E107/E109)*100)</f>
        <v>0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1891051</v>
      </c>
      <c r="D107" s="180">
        <f>+D103</f>
        <v>935367</v>
      </c>
      <c r="E107" s="180">
        <f>+E103</f>
        <v>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26811974</v>
      </c>
      <c r="D108" s="180">
        <f>+D32</f>
        <v>15495219</v>
      </c>
      <c r="E108" s="180">
        <f>+E32</f>
        <v>7270463</v>
      </c>
      <c r="F108" s="28"/>
    </row>
    <row r="109" spans="1:6" ht="24" customHeight="1" x14ac:dyDescent="0.25">
      <c r="A109" s="17">
        <v>14</v>
      </c>
      <c r="B109" s="48" t="s">
        <v>374</v>
      </c>
      <c r="C109" s="180">
        <f>+C107+C108</f>
        <v>28703025</v>
      </c>
      <c r="D109" s="180">
        <f>+D107+D108</f>
        <v>16430586</v>
      </c>
      <c r="E109" s="180">
        <f>+E107+E108</f>
        <v>7270463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375</v>
      </c>
      <c r="C111" s="197">
        <f>IF((+C113+C115)=0,0,((+C112+C113+C114)/(+C113+C115)))</f>
        <v>-1.926997315055418E-2</v>
      </c>
      <c r="D111" s="197">
        <f>IF((+D113+D115)=0,0,((+D112+D113+D114)/(+D113+D115)))</f>
        <v>-1.9145067122128152</v>
      </c>
      <c r="E111" s="197">
        <f>IF((+E113+E115)=0,0,((+E112+E113+E114)/(+E113+E115)))</f>
        <v>1.0524268907721903</v>
      </c>
    </row>
    <row r="112" spans="1:6" ht="24" customHeight="1" x14ac:dyDescent="0.25">
      <c r="A112" s="17">
        <v>16</v>
      </c>
      <c r="B112" s="48" t="s">
        <v>376</v>
      </c>
      <c r="C112" s="180">
        <f>+C17</f>
        <v>-3826377</v>
      </c>
      <c r="D112" s="180">
        <f>+D17</f>
        <v>-5407814</v>
      </c>
      <c r="E112" s="180">
        <f>+E17</f>
        <v>-1785767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230967</v>
      </c>
      <c r="D113" s="180">
        <v>168405</v>
      </c>
      <c r="E113" s="180">
        <v>102151</v>
      </c>
      <c r="F113" s="28"/>
    </row>
    <row r="114" spans="1:8" ht="24" customHeight="1" x14ac:dyDescent="0.25">
      <c r="A114" s="17">
        <v>18</v>
      </c>
      <c r="B114" s="48" t="s">
        <v>377</v>
      </c>
      <c r="C114" s="180">
        <v>3574898</v>
      </c>
      <c r="D114" s="180">
        <v>3208305</v>
      </c>
      <c r="E114" s="180">
        <v>2796910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833487</v>
      </c>
      <c r="D115" s="180">
        <v>892497</v>
      </c>
      <c r="E115" s="180">
        <v>955684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378</v>
      </c>
      <c r="B117" s="30" t="s">
        <v>379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380</v>
      </c>
      <c r="C119" s="197">
        <f>IF(+C121=0,0,(+C120)/(+C121))</f>
        <v>12.854887887710362</v>
      </c>
      <c r="D119" s="197">
        <f>IF(+D121=0,0,(+D120)/(+D121))</f>
        <v>14.750193326382623</v>
      </c>
      <c r="E119" s="197">
        <f>IF(+E121=0,0,(+E120)/(+E121))</f>
        <v>17.439651615532856</v>
      </c>
    </row>
    <row r="120" spans="1:8" ht="24" customHeight="1" x14ac:dyDescent="0.25">
      <c r="A120" s="17">
        <v>21</v>
      </c>
      <c r="B120" s="48" t="s">
        <v>381</v>
      </c>
      <c r="C120" s="180">
        <v>45954913</v>
      </c>
      <c r="D120" s="180">
        <v>47323119</v>
      </c>
      <c r="E120" s="180">
        <v>48777136</v>
      </c>
      <c r="F120" s="28"/>
    </row>
    <row r="121" spans="1:8" ht="24" customHeight="1" x14ac:dyDescent="0.25">
      <c r="A121" s="17">
        <v>22</v>
      </c>
      <c r="B121" s="48" t="s">
        <v>377</v>
      </c>
      <c r="C121" s="180">
        <v>3574898</v>
      </c>
      <c r="D121" s="180">
        <v>3208305</v>
      </c>
      <c r="E121" s="180">
        <v>2796910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382</v>
      </c>
      <c r="B123" s="30" t="s">
        <v>383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384</v>
      </c>
      <c r="C124" s="198">
        <v>17708</v>
      </c>
      <c r="D124" s="198">
        <v>17312</v>
      </c>
      <c r="E124" s="198">
        <v>14756</v>
      </c>
    </row>
    <row r="125" spans="1:8" ht="24" customHeight="1" x14ac:dyDescent="0.2">
      <c r="A125" s="44">
        <v>2</v>
      </c>
      <c r="B125" s="48" t="s">
        <v>385</v>
      </c>
      <c r="C125" s="198">
        <v>4540</v>
      </c>
      <c r="D125" s="198">
        <v>4374</v>
      </c>
      <c r="E125" s="198">
        <v>3580</v>
      </c>
    </row>
    <row r="126" spans="1:8" ht="24" customHeight="1" x14ac:dyDescent="0.2">
      <c r="A126" s="44">
        <v>3</v>
      </c>
      <c r="B126" s="48" t="s">
        <v>386</v>
      </c>
      <c r="C126" s="199">
        <f>IF(C125=0,0,C124/C125)</f>
        <v>3.9004405286343613</v>
      </c>
      <c r="D126" s="199">
        <f>IF(D125=0,0,D124/D125)</f>
        <v>3.9579332418838593</v>
      </c>
      <c r="E126" s="199">
        <f>IF(E125=0,0,E124/E125)</f>
        <v>4.1217877094972071</v>
      </c>
    </row>
    <row r="127" spans="1:8" ht="24" customHeight="1" x14ac:dyDescent="0.2">
      <c r="A127" s="44">
        <v>4</v>
      </c>
      <c r="B127" s="48" t="s">
        <v>387</v>
      </c>
      <c r="C127" s="198">
        <v>51</v>
      </c>
      <c r="D127" s="198">
        <v>49</v>
      </c>
      <c r="E127" s="198">
        <v>47</v>
      </c>
    </row>
    <row r="128" spans="1:8" ht="24" customHeight="1" x14ac:dyDescent="0.2">
      <c r="A128" s="44">
        <v>5</v>
      </c>
      <c r="B128" s="48" t="s">
        <v>388</v>
      </c>
      <c r="C128" s="198">
        <v>0</v>
      </c>
      <c r="D128" s="198">
        <v>118</v>
      </c>
      <c r="E128" s="198">
        <v>118</v>
      </c>
      <c r="G128" s="6"/>
      <c r="H128" s="12"/>
    </row>
    <row r="129" spans="1:8" ht="24" customHeight="1" x14ac:dyDescent="0.2">
      <c r="A129" s="44">
        <v>6</v>
      </c>
      <c r="B129" s="48" t="s">
        <v>389</v>
      </c>
      <c r="C129" s="198">
        <v>118</v>
      </c>
      <c r="D129" s="198">
        <v>118</v>
      </c>
      <c r="E129" s="198">
        <v>118</v>
      </c>
      <c r="G129" s="6"/>
      <c r="H129" s="12"/>
    </row>
    <row r="130" spans="1:8" ht="24" customHeight="1" x14ac:dyDescent="0.2">
      <c r="A130" s="44">
        <v>6</v>
      </c>
      <c r="B130" s="48" t="s">
        <v>390</v>
      </c>
      <c r="C130" s="171">
        <v>0.95120000000000005</v>
      </c>
      <c r="D130" s="171">
        <v>0.96789999999999998</v>
      </c>
      <c r="E130" s="171">
        <v>0.86009999999999998</v>
      </c>
    </row>
    <row r="131" spans="1:8" ht="24" customHeight="1" x14ac:dyDescent="0.2">
      <c r="A131" s="44">
        <v>7</v>
      </c>
      <c r="B131" s="48" t="s">
        <v>391</v>
      </c>
      <c r="C131" s="171">
        <v>0.41110000000000002</v>
      </c>
      <c r="D131" s="171">
        <v>0.40189999999999998</v>
      </c>
      <c r="E131" s="171">
        <v>0.34260000000000002</v>
      </c>
    </row>
    <row r="132" spans="1:8" ht="24" customHeight="1" x14ac:dyDescent="0.2">
      <c r="A132" s="44">
        <v>8</v>
      </c>
      <c r="B132" s="48" t="s">
        <v>392</v>
      </c>
      <c r="C132" s="199">
        <v>524</v>
      </c>
      <c r="D132" s="199">
        <v>505</v>
      </c>
      <c r="E132" s="199">
        <v>507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393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394</v>
      </c>
      <c r="C135" s="203">
        <f>IF(C149=0,0,C143/C149)</f>
        <v>0.40243273115881489</v>
      </c>
      <c r="D135" s="203">
        <f>IF(D149=0,0,D143/D149)</f>
        <v>0.3998146814203119</v>
      </c>
      <c r="E135" s="203">
        <f>IF(E149=0,0,E143/E149)</f>
        <v>0.38841889695653564</v>
      </c>
      <c r="G135" s="6"/>
    </row>
    <row r="136" spans="1:8" ht="20.100000000000001" customHeight="1" x14ac:dyDescent="0.2">
      <c r="A136" s="202">
        <v>2</v>
      </c>
      <c r="B136" s="195" t="s">
        <v>395</v>
      </c>
      <c r="C136" s="203">
        <f>IF(C149=0,0,C144/C149)</f>
        <v>0.47975705816790104</v>
      </c>
      <c r="D136" s="203">
        <f>IF(D149=0,0,D144/D149)</f>
        <v>0.45932033124983229</v>
      </c>
      <c r="E136" s="203">
        <f>IF(E149=0,0,E144/E149)</f>
        <v>0.47614097577303571</v>
      </c>
    </row>
    <row r="137" spans="1:8" ht="20.100000000000001" customHeight="1" x14ac:dyDescent="0.2">
      <c r="A137" s="202">
        <v>3</v>
      </c>
      <c r="B137" s="195" t="s">
        <v>396</v>
      </c>
      <c r="C137" s="203">
        <f>IF(C149=0,0,C145/C149)</f>
        <v>8.578840738385736E-2</v>
      </c>
      <c r="D137" s="203">
        <f>IF(D149=0,0,D145/D149)</f>
        <v>0.10815582620779167</v>
      </c>
      <c r="E137" s="203">
        <f>IF(E149=0,0,E145/E149)</f>
        <v>0.1033784779272187</v>
      </c>
      <c r="G137" s="6"/>
    </row>
    <row r="138" spans="1:8" ht="20.100000000000001" customHeight="1" x14ac:dyDescent="0.2">
      <c r="A138" s="202">
        <v>4</v>
      </c>
      <c r="B138" s="195" t="s">
        <v>397</v>
      </c>
      <c r="C138" s="203">
        <f>IF(C149=0,0,C146/C149)</f>
        <v>2.2982665566290222E-3</v>
      </c>
      <c r="D138" s="203">
        <f>IF(D149=0,0,D146/D149)</f>
        <v>7.5291410058270605E-4</v>
      </c>
      <c r="E138" s="203">
        <f>IF(E149=0,0,E146/E149)</f>
        <v>1.1813242720635374E-3</v>
      </c>
      <c r="G138" s="6"/>
    </row>
    <row r="139" spans="1:8" ht="20.100000000000001" customHeight="1" x14ac:dyDescent="0.2">
      <c r="A139" s="202">
        <v>5</v>
      </c>
      <c r="B139" s="195" t="s">
        <v>398</v>
      </c>
      <c r="C139" s="203">
        <f>IF(C149=0,0,C147/C149)</f>
        <v>2.7934790311707595E-2</v>
      </c>
      <c r="D139" s="203">
        <f>IF(D149=0,0,D147/D149)</f>
        <v>3.0192893399912379E-2</v>
      </c>
      <c r="E139" s="203">
        <f>IF(E149=0,0,E147/E149)</f>
        <v>2.9714020160808638E-2</v>
      </c>
    </row>
    <row r="140" spans="1:8" ht="20.100000000000001" customHeight="1" x14ac:dyDescent="0.2">
      <c r="A140" s="202">
        <v>6</v>
      </c>
      <c r="B140" s="195" t="s">
        <v>399</v>
      </c>
      <c r="C140" s="203">
        <f>IF(C149=0,0,C148/C149)</f>
        <v>1.7887464210900974E-3</v>
      </c>
      <c r="D140" s="203">
        <f>IF(D149=0,0,D148/D149)</f>
        <v>1.7633536215690209E-3</v>
      </c>
      <c r="E140" s="203">
        <f>IF(E149=0,0,E148/E149)</f>
        <v>1.1663049103377364E-3</v>
      </c>
    </row>
    <row r="141" spans="1:8" ht="20.100000000000001" customHeight="1" x14ac:dyDescent="0.2">
      <c r="A141" s="202">
        <v>7</v>
      </c>
      <c r="B141" s="195" t="s">
        <v>400</v>
      </c>
      <c r="C141" s="203">
        <f>SUM(C135:C140)</f>
        <v>1</v>
      </c>
      <c r="D141" s="203">
        <f>SUM(D135:D140)</f>
        <v>1</v>
      </c>
      <c r="E141" s="203">
        <f>SUM(E135:E140)</f>
        <v>0.99999999999999989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401</v>
      </c>
      <c r="C143" s="204">
        <f>+C46-C147</f>
        <v>82215456</v>
      </c>
      <c r="D143" s="205">
        <f>+D46-D147</f>
        <v>73609873</v>
      </c>
      <c r="E143" s="205">
        <f>+E46-E147</f>
        <v>73575148</v>
      </c>
    </row>
    <row r="144" spans="1:8" ht="20.100000000000001" customHeight="1" x14ac:dyDescent="0.2">
      <c r="A144" s="202">
        <v>9</v>
      </c>
      <c r="B144" s="201" t="s">
        <v>402</v>
      </c>
      <c r="C144" s="206">
        <f>+C51</f>
        <v>98012518</v>
      </c>
      <c r="D144" s="205">
        <f>+D51</f>
        <v>84565457</v>
      </c>
      <c r="E144" s="205">
        <f>+E51</f>
        <v>90191654</v>
      </c>
    </row>
    <row r="145" spans="1:7" ht="20.100000000000001" customHeight="1" x14ac:dyDescent="0.2">
      <c r="A145" s="202">
        <v>10</v>
      </c>
      <c r="B145" s="201" t="s">
        <v>403</v>
      </c>
      <c r="C145" s="206">
        <f>+C55</f>
        <v>17526241</v>
      </c>
      <c r="D145" s="205">
        <f>+D55</f>
        <v>19912567</v>
      </c>
      <c r="E145" s="205">
        <f>+E55</f>
        <v>19582175</v>
      </c>
    </row>
    <row r="146" spans="1:7" ht="20.100000000000001" customHeight="1" x14ac:dyDescent="0.2">
      <c r="A146" s="202">
        <v>11</v>
      </c>
      <c r="B146" s="201" t="s">
        <v>404</v>
      </c>
      <c r="C146" s="204">
        <v>469527</v>
      </c>
      <c r="D146" s="205">
        <v>138619</v>
      </c>
      <c r="E146" s="205">
        <v>223769</v>
      </c>
    </row>
    <row r="147" spans="1:7" ht="20.100000000000001" customHeight="1" x14ac:dyDescent="0.2">
      <c r="A147" s="202">
        <v>12</v>
      </c>
      <c r="B147" s="201" t="s">
        <v>405</v>
      </c>
      <c r="C147" s="206">
        <f>+C47</f>
        <v>5706970</v>
      </c>
      <c r="D147" s="205">
        <f>+D47</f>
        <v>5558813</v>
      </c>
      <c r="E147" s="205">
        <f>+E47</f>
        <v>5628494</v>
      </c>
    </row>
    <row r="148" spans="1:7" ht="20.100000000000001" customHeight="1" x14ac:dyDescent="0.2">
      <c r="A148" s="202">
        <v>13</v>
      </c>
      <c r="B148" s="201" t="s">
        <v>406</v>
      </c>
      <c r="C148" s="206">
        <v>365434</v>
      </c>
      <c r="D148" s="205">
        <v>324651</v>
      </c>
      <c r="E148" s="205">
        <v>220924</v>
      </c>
    </row>
    <row r="149" spans="1:7" ht="20.100000000000001" customHeight="1" x14ac:dyDescent="0.2">
      <c r="A149" s="202">
        <v>14</v>
      </c>
      <c r="B149" s="201" t="s">
        <v>407</v>
      </c>
      <c r="C149" s="204">
        <f>SUM(C143:C148)</f>
        <v>204296146</v>
      </c>
      <c r="D149" s="205">
        <f>SUM(D143:D148)</f>
        <v>184109980</v>
      </c>
      <c r="E149" s="205">
        <f>SUM(E143:E148)</f>
        <v>189422164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408</v>
      </c>
      <c r="B151" s="30" t="s">
        <v>409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410</v>
      </c>
      <c r="C152" s="203">
        <f>IF(C166=0,0,C160/C166)</f>
        <v>0.50153662979215707</v>
      </c>
      <c r="D152" s="203">
        <f>IF(D166=0,0,D160/D166)</f>
        <v>0.49707974137744559</v>
      </c>
      <c r="E152" s="203">
        <f>IF(E166=0,0,E160/E166)</f>
        <v>0.50048771115256596</v>
      </c>
    </row>
    <row r="153" spans="1:7" ht="20.100000000000001" customHeight="1" x14ac:dyDescent="0.2">
      <c r="A153" s="202">
        <v>2</v>
      </c>
      <c r="B153" s="195" t="s">
        <v>411</v>
      </c>
      <c r="C153" s="203">
        <f>IF(C166=0,0,C161/C166)</f>
        <v>0.43414175617149714</v>
      </c>
      <c r="D153" s="203">
        <f>IF(D166=0,0,D161/D166)</f>
        <v>0.42091249595429986</v>
      </c>
      <c r="E153" s="203">
        <f>IF(E166=0,0,E161/E166)</f>
        <v>0.42068623290253271</v>
      </c>
    </row>
    <row r="154" spans="1:7" ht="20.100000000000001" customHeight="1" x14ac:dyDescent="0.2">
      <c r="A154" s="202">
        <v>3</v>
      </c>
      <c r="B154" s="195" t="s">
        <v>412</v>
      </c>
      <c r="C154" s="203">
        <f>IF(C166=0,0,C162/C166)</f>
        <v>5.7175833758577148E-2</v>
      </c>
      <c r="D154" s="203">
        <f>IF(D166=0,0,D162/D166)</f>
        <v>7.4836584285222912E-2</v>
      </c>
      <c r="E154" s="203">
        <f>IF(E166=0,0,E162/E166)</f>
        <v>7.3502999762887822E-2</v>
      </c>
    </row>
    <row r="155" spans="1:7" ht="20.100000000000001" customHeight="1" x14ac:dyDescent="0.2">
      <c r="A155" s="202">
        <v>4</v>
      </c>
      <c r="B155" s="195" t="s">
        <v>413</v>
      </c>
      <c r="C155" s="203">
        <f>IF(C166=0,0,C163/C166)</f>
        <v>8.81393686782212E-4</v>
      </c>
      <c r="D155" s="203">
        <f>IF(D166=0,0,D163/D166)</f>
        <v>1.2369560599036461E-3</v>
      </c>
      <c r="E155" s="203">
        <f>IF(E166=0,0,E163/E166)</f>
        <v>7.66263301500411E-4</v>
      </c>
      <c r="G155" s="6"/>
    </row>
    <row r="156" spans="1:7" ht="20.100000000000001" customHeight="1" x14ac:dyDescent="0.2">
      <c r="A156" s="202">
        <v>5</v>
      </c>
      <c r="B156" s="195" t="s">
        <v>414</v>
      </c>
      <c r="C156" s="203">
        <f>IF(C166=0,0,C164/C166)</f>
        <v>4.899505247997738E-3</v>
      </c>
      <c r="D156" s="203">
        <f>IF(D166=0,0,D164/D166)</f>
        <v>4.0523768989554699E-3</v>
      </c>
      <c r="E156" s="203">
        <f>IF(E166=0,0,E164/E166)</f>
        <v>3.5458080080768622E-3</v>
      </c>
    </row>
    <row r="157" spans="1:7" ht="20.100000000000001" customHeight="1" x14ac:dyDescent="0.2">
      <c r="A157" s="202">
        <v>6</v>
      </c>
      <c r="B157" s="195" t="s">
        <v>415</v>
      </c>
      <c r="C157" s="203">
        <f>IF(C166=0,0,C165/C166)</f>
        <v>1.364881342988661E-3</v>
      </c>
      <c r="D157" s="203">
        <f>IF(D166=0,0,D165/D166)</f>
        <v>1.8818454241725183E-3</v>
      </c>
      <c r="E157" s="203">
        <f>IF(E166=0,0,E165/E166)</f>
        <v>1.0109848724362902E-3</v>
      </c>
    </row>
    <row r="158" spans="1:7" ht="20.100000000000001" customHeight="1" x14ac:dyDescent="0.2">
      <c r="A158" s="202">
        <v>7</v>
      </c>
      <c r="B158" s="195" t="s">
        <v>416</v>
      </c>
      <c r="C158" s="203">
        <f>SUM(C152:C157)</f>
        <v>0.99999999999999989</v>
      </c>
      <c r="D158" s="203">
        <f>SUM(D152:D157)</f>
        <v>0.99999999999999989</v>
      </c>
      <c r="E158" s="203">
        <f>SUM(E152:E157)</f>
        <v>1.0000000000000002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417</v>
      </c>
      <c r="C160" s="207">
        <f>+C44-C164</f>
        <v>35138543</v>
      </c>
      <c r="D160" s="208">
        <f>+D44-D164</f>
        <v>34470108</v>
      </c>
      <c r="E160" s="208">
        <f>+E44-E164</f>
        <v>35253971</v>
      </c>
    </row>
    <row r="161" spans="1:6" ht="20.100000000000001" customHeight="1" x14ac:dyDescent="0.2">
      <c r="A161" s="202">
        <v>9</v>
      </c>
      <c r="B161" s="201" t="s">
        <v>418</v>
      </c>
      <c r="C161" s="209">
        <f>+C50</f>
        <v>30416739</v>
      </c>
      <c r="D161" s="208">
        <f>+D50</f>
        <v>29188273</v>
      </c>
      <c r="E161" s="208">
        <f>+E50</f>
        <v>29632816</v>
      </c>
    </row>
    <row r="162" spans="1:6" ht="20.100000000000001" customHeight="1" x14ac:dyDescent="0.2">
      <c r="A162" s="202">
        <v>10</v>
      </c>
      <c r="B162" s="201" t="s">
        <v>419</v>
      </c>
      <c r="C162" s="209">
        <f>+C54</f>
        <v>4005840</v>
      </c>
      <c r="D162" s="208">
        <f>+D54</f>
        <v>5189560</v>
      </c>
      <c r="E162" s="208">
        <f>+E54</f>
        <v>5177495</v>
      </c>
    </row>
    <row r="163" spans="1:6" ht="20.100000000000001" customHeight="1" x14ac:dyDescent="0.2">
      <c r="A163" s="202">
        <v>11</v>
      </c>
      <c r="B163" s="201" t="s">
        <v>420</v>
      </c>
      <c r="C163" s="207">
        <v>61752</v>
      </c>
      <c r="D163" s="208">
        <v>85777</v>
      </c>
      <c r="E163" s="208">
        <v>53975</v>
      </c>
    </row>
    <row r="164" spans="1:6" ht="20.100000000000001" customHeight="1" x14ac:dyDescent="0.2">
      <c r="A164" s="202">
        <v>12</v>
      </c>
      <c r="B164" s="201" t="s">
        <v>421</v>
      </c>
      <c r="C164" s="209">
        <f>+C45</f>
        <v>343268</v>
      </c>
      <c r="D164" s="208">
        <f>+D45</f>
        <v>281013</v>
      </c>
      <c r="E164" s="208">
        <f>+E45</f>
        <v>249764</v>
      </c>
    </row>
    <row r="165" spans="1:6" ht="20.100000000000001" customHeight="1" x14ac:dyDescent="0.2">
      <c r="A165" s="202">
        <v>13</v>
      </c>
      <c r="B165" s="201" t="s">
        <v>422</v>
      </c>
      <c r="C165" s="209">
        <v>95626</v>
      </c>
      <c r="D165" s="208">
        <v>130497</v>
      </c>
      <c r="E165" s="208">
        <v>71213</v>
      </c>
    </row>
    <row r="166" spans="1:6" ht="20.100000000000001" customHeight="1" x14ac:dyDescent="0.2">
      <c r="A166" s="202">
        <v>14</v>
      </c>
      <c r="B166" s="201" t="s">
        <v>423</v>
      </c>
      <c r="C166" s="207">
        <f>SUM(C160:C165)</f>
        <v>70061768</v>
      </c>
      <c r="D166" s="208">
        <f>SUM(D160:D165)</f>
        <v>69345228</v>
      </c>
      <c r="E166" s="208">
        <f>SUM(E160:E165)</f>
        <v>70439234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424</v>
      </c>
      <c r="B168" s="30" t="s">
        <v>385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425</v>
      </c>
      <c r="C169" s="198">
        <v>1753</v>
      </c>
      <c r="D169" s="198">
        <v>1797</v>
      </c>
      <c r="E169" s="198">
        <v>1240</v>
      </c>
    </row>
    <row r="170" spans="1:6" ht="20.100000000000001" customHeight="1" x14ac:dyDescent="0.2">
      <c r="A170" s="202">
        <v>2</v>
      </c>
      <c r="B170" s="201" t="s">
        <v>426</v>
      </c>
      <c r="C170" s="198">
        <v>2362</v>
      </c>
      <c r="D170" s="198">
        <v>2050</v>
      </c>
      <c r="E170" s="198">
        <v>1986</v>
      </c>
    </row>
    <row r="171" spans="1:6" ht="20.100000000000001" customHeight="1" x14ac:dyDescent="0.2">
      <c r="A171" s="202">
        <v>3</v>
      </c>
      <c r="B171" s="201" t="s">
        <v>427</v>
      </c>
      <c r="C171" s="198">
        <v>413</v>
      </c>
      <c r="D171" s="198">
        <v>519</v>
      </c>
      <c r="E171" s="198">
        <v>351</v>
      </c>
    </row>
    <row r="172" spans="1:6" ht="20.100000000000001" customHeight="1" x14ac:dyDescent="0.2">
      <c r="A172" s="202">
        <v>4</v>
      </c>
      <c r="B172" s="201" t="s">
        <v>428</v>
      </c>
      <c r="C172" s="198">
        <v>406</v>
      </c>
      <c r="D172" s="198">
        <v>517</v>
      </c>
      <c r="E172" s="198">
        <v>349</v>
      </c>
    </row>
    <row r="173" spans="1:6" ht="20.100000000000001" customHeight="1" x14ac:dyDescent="0.2">
      <c r="A173" s="202">
        <v>5</v>
      </c>
      <c r="B173" s="201" t="s">
        <v>429</v>
      </c>
      <c r="C173" s="198">
        <v>7</v>
      </c>
      <c r="D173" s="198">
        <v>2</v>
      </c>
      <c r="E173" s="198">
        <v>2</v>
      </c>
    </row>
    <row r="174" spans="1:6" ht="20.100000000000001" customHeight="1" x14ac:dyDescent="0.2">
      <c r="A174" s="202">
        <v>6</v>
      </c>
      <c r="B174" s="201" t="s">
        <v>430</v>
      </c>
      <c r="C174" s="198">
        <v>12</v>
      </c>
      <c r="D174" s="198">
        <v>8</v>
      </c>
      <c r="E174" s="198">
        <v>3</v>
      </c>
    </row>
    <row r="175" spans="1:6" ht="20.100000000000001" customHeight="1" x14ac:dyDescent="0.2">
      <c r="A175" s="202">
        <v>7</v>
      </c>
      <c r="B175" s="201" t="s">
        <v>431</v>
      </c>
      <c r="C175" s="198">
        <v>79</v>
      </c>
      <c r="D175" s="198">
        <v>78</v>
      </c>
      <c r="E175" s="198">
        <v>63</v>
      </c>
    </row>
    <row r="176" spans="1:6" ht="20.100000000000001" customHeight="1" x14ac:dyDescent="0.2">
      <c r="A176" s="202">
        <v>8</v>
      </c>
      <c r="B176" s="201" t="s">
        <v>432</v>
      </c>
      <c r="C176" s="198">
        <f>+C169+C170+C171+C174</f>
        <v>4540</v>
      </c>
      <c r="D176" s="198">
        <f>+D169+D170+D171+D174</f>
        <v>4374</v>
      </c>
      <c r="E176" s="198">
        <f>+E169+E170+E171+E174</f>
        <v>3580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433</v>
      </c>
      <c r="B178" s="30" t="s">
        <v>434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425</v>
      </c>
      <c r="C179" s="210">
        <v>1.13964</v>
      </c>
      <c r="D179" s="210">
        <v>1.1516599999999999</v>
      </c>
      <c r="E179" s="210">
        <v>1.3326</v>
      </c>
    </row>
    <row r="180" spans="1:6" ht="20.100000000000001" customHeight="1" x14ac:dyDescent="0.2">
      <c r="A180" s="202">
        <v>2</v>
      </c>
      <c r="B180" s="201" t="s">
        <v>426</v>
      </c>
      <c r="C180" s="210">
        <v>1.5058</v>
      </c>
      <c r="D180" s="210">
        <v>1.5190999999999999</v>
      </c>
      <c r="E180" s="210">
        <v>1.4881899999999999</v>
      </c>
    </row>
    <row r="181" spans="1:6" ht="20.100000000000001" customHeight="1" x14ac:dyDescent="0.2">
      <c r="A181" s="202">
        <v>3</v>
      </c>
      <c r="B181" s="201" t="s">
        <v>427</v>
      </c>
      <c r="C181" s="210">
        <v>0.90883800000000003</v>
      </c>
      <c r="D181" s="210">
        <v>0.94978899999999999</v>
      </c>
      <c r="E181" s="210">
        <v>0.96735400000000005</v>
      </c>
    </row>
    <row r="182" spans="1:6" ht="20.100000000000001" customHeight="1" x14ac:dyDescent="0.2">
      <c r="A182" s="202">
        <v>4</v>
      </c>
      <c r="B182" s="201" t="s">
        <v>428</v>
      </c>
      <c r="C182" s="210">
        <v>0.90485000000000004</v>
      </c>
      <c r="D182" s="210">
        <v>0.95099999999999996</v>
      </c>
      <c r="E182" s="210">
        <v>0.96408000000000005</v>
      </c>
    </row>
    <row r="183" spans="1:6" ht="20.100000000000001" customHeight="1" x14ac:dyDescent="0.2">
      <c r="A183" s="202">
        <v>5</v>
      </c>
      <c r="B183" s="201" t="s">
        <v>429</v>
      </c>
      <c r="C183" s="210">
        <v>1.14018</v>
      </c>
      <c r="D183" s="210">
        <v>0.63690000000000002</v>
      </c>
      <c r="E183" s="210">
        <v>1.5387</v>
      </c>
    </row>
    <row r="184" spans="1:6" ht="20.100000000000001" customHeight="1" x14ac:dyDescent="0.2">
      <c r="A184" s="202">
        <v>6</v>
      </c>
      <c r="B184" s="201" t="s">
        <v>430</v>
      </c>
      <c r="C184" s="210">
        <v>0.71243999999999996</v>
      </c>
      <c r="D184" s="210">
        <v>0.89710000000000001</v>
      </c>
      <c r="E184" s="210">
        <v>0.57979999999999998</v>
      </c>
    </row>
    <row r="185" spans="1:6" ht="20.100000000000001" customHeight="1" x14ac:dyDescent="0.2">
      <c r="A185" s="202">
        <v>7</v>
      </c>
      <c r="B185" s="201" t="s">
        <v>431</v>
      </c>
      <c r="C185" s="210">
        <v>1.0085500000000001</v>
      </c>
      <c r="D185" s="210">
        <v>1.2761</v>
      </c>
      <c r="E185" s="210">
        <v>1.3215399999999999</v>
      </c>
    </row>
    <row r="186" spans="1:6" ht="20.100000000000001" customHeight="1" x14ac:dyDescent="0.2">
      <c r="A186" s="202">
        <v>8</v>
      </c>
      <c r="B186" s="201" t="s">
        <v>435</v>
      </c>
      <c r="C186" s="210">
        <v>1.3080149999999999</v>
      </c>
      <c r="D186" s="210">
        <v>1.2994520000000001</v>
      </c>
      <c r="E186" s="210">
        <v>1.3824719999999999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436</v>
      </c>
      <c r="B188" s="30" t="s">
        <v>437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438</v>
      </c>
      <c r="C189" s="198">
        <v>3143</v>
      </c>
      <c r="D189" s="198">
        <v>3152</v>
      </c>
      <c r="E189" s="198">
        <v>3025</v>
      </c>
    </row>
    <row r="190" spans="1:6" ht="20.100000000000001" customHeight="1" x14ac:dyDescent="0.2">
      <c r="A190" s="202">
        <v>2</v>
      </c>
      <c r="B190" s="201" t="s">
        <v>439</v>
      </c>
      <c r="C190" s="198">
        <v>35049</v>
      </c>
      <c r="D190" s="198">
        <v>34292</v>
      </c>
      <c r="E190" s="198">
        <v>33427</v>
      </c>
    </row>
    <row r="191" spans="1:6" ht="20.100000000000001" customHeight="1" x14ac:dyDescent="0.2">
      <c r="A191" s="202">
        <v>3</v>
      </c>
      <c r="B191" s="201" t="s">
        <v>440</v>
      </c>
      <c r="C191" s="198">
        <f>+C190+C189</f>
        <v>38192</v>
      </c>
      <c r="D191" s="198">
        <f>+D190+D189</f>
        <v>37444</v>
      </c>
      <c r="E191" s="198">
        <f>+E190+E189</f>
        <v>36452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FILING&amp;RMILFORD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441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445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1160513</v>
      </c>
      <c r="D14" s="237">
        <v>1244014</v>
      </c>
      <c r="E14" s="237">
        <f t="shared" ref="E14:E24" si="0">D14-C14</f>
        <v>83501</v>
      </c>
      <c r="F14" s="238">
        <f t="shared" ref="F14:F24" si="1">IF(C14=0,0,E14/C14)</f>
        <v>7.1951800626102416E-2</v>
      </c>
    </row>
    <row r="15" spans="1:7" ht="20.25" customHeight="1" x14ac:dyDescent="0.3">
      <c r="A15" s="235">
        <v>2</v>
      </c>
      <c r="B15" s="236" t="s">
        <v>447</v>
      </c>
      <c r="C15" s="237">
        <v>802035</v>
      </c>
      <c r="D15" s="237">
        <v>464782</v>
      </c>
      <c r="E15" s="237">
        <f t="shared" si="0"/>
        <v>-337253</v>
      </c>
      <c r="F15" s="238">
        <f t="shared" si="1"/>
        <v>-0.42049661174387654</v>
      </c>
    </row>
    <row r="16" spans="1:7" ht="20.25" customHeight="1" x14ac:dyDescent="0.3">
      <c r="A16" s="235">
        <v>3</v>
      </c>
      <c r="B16" s="236" t="s">
        <v>448</v>
      </c>
      <c r="C16" s="237">
        <v>698544</v>
      </c>
      <c r="D16" s="237">
        <v>875511</v>
      </c>
      <c r="E16" s="237">
        <f t="shared" si="0"/>
        <v>176967</v>
      </c>
      <c r="F16" s="238">
        <f t="shared" si="1"/>
        <v>0.25333694083694086</v>
      </c>
    </row>
    <row r="17" spans="1:6" ht="20.25" customHeight="1" x14ac:dyDescent="0.3">
      <c r="A17" s="235">
        <v>4</v>
      </c>
      <c r="B17" s="236" t="s">
        <v>449</v>
      </c>
      <c r="C17" s="237">
        <v>387916</v>
      </c>
      <c r="D17" s="237">
        <v>288889</v>
      </c>
      <c r="E17" s="237">
        <f t="shared" si="0"/>
        <v>-99027</v>
      </c>
      <c r="F17" s="238">
        <f t="shared" si="1"/>
        <v>-0.25527949349859247</v>
      </c>
    </row>
    <row r="18" spans="1:6" ht="20.25" customHeight="1" x14ac:dyDescent="0.3">
      <c r="A18" s="235">
        <v>5</v>
      </c>
      <c r="B18" s="236" t="s">
        <v>385</v>
      </c>
      <c r="C18" s="239">
        <v>54</v>
      </c>
      <c r="D18" s="239">
        <v>48</v>
      </c>
      <c r="E18" s="239">
        <f t="shared" si="0"/>
        <v>-6</v>
      </c>
      <c r="F18" s="238">
        <f t="shared" si="1"/>
        <v>-0.1111111111111111</v>
      </c>
    </row>
    <row r="19" spans="1:6" ht="20.25" customHeight="1" x14ac:dyDescent="0.3">
      <c r="A19" s="235">
        <v>6</v>
      </c>
      <c r="B19" s="236" t="s">
        <v>384</v>
      </c>
      <c r="C19" s="239">
        <v>213</v>
      </c>
      <c r="D19" s="239">
        <v>173</v>
      </c>
      <c r="E19" s="239">
        <f t="shared" si="0"/>
        <v>-40</v>
      </c>
      <c r="F19" s="238">
        <f t="shared" si="1"/>
        <v>-0.18779342723004694</v>
      </c>
    </row>
    <row r="20" spans="1:6" ht="20.25" customHeight="1" x14ac:dyDescent="0.3">
      <c r="A20" s="235">
        <v>7</v>
      </c>
      <c r="B20" s="236" t="s">
        <v>450</v>
      </c>
      <c r="C20" s="239">
        <v>175</v>
      </c>
      <c r="D20" s="239">
        <v>219</v>
      </c>
      <c r="E20" s="239">
        <f t="shared" si="0"/>
        <v>44</v>
      </c>
      <c r="F20" s="238">
        <f t="shared" si="1"/>
        <v>0.25142857142857145</v>
      </c>
    </row>
    <row r="21" spans="1:6" ht="20.25" customHeight="1" x14ac:dyDescent="0.3">
      <c r="A21" s="235">
        <v>8</v>
      </c>
      <c r="B21" s="236" t="s">
        <v>451</v>
      </c>
      <c r="C21" s="239">
        <v>121</v>
      </c>
      <c r="D21" s="239">
        <v>146</v>
      </c>
      <c r="E21" s="239">
        <f t="shared" si="0"/>
        <v>25</v>
      </c>
      <c r="F21" s="238">
        <f t="shared" si="1"/>
        <v>0.20661157024793389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20.25" customHeight="1" x14ac:dyDescent="0.3">
      <c r="A23" s="241"/>
      <c r="B23" s="242" t="s">
        <v>453</v>
      </c>
      <c r="C23" s="243">
        <f>+C14+C16</f>
        <v>1859057</v>
      </c>
      <c r="D23" s="243">
        <f>+D14+D16</f>
        <v>2119525</v>
      </c>
      <c r="E23" s="243">
        <f t="shared" si="0"/>
        <v>260468</v>
      </c>
      <c r="F23" s="244">
        <f t="shared" si="1"/>
        <v>0.14010759218248822</v>
      </c>
    </row>
    <row r="24" spans="1:6" s="240" customFormat="1" ht="20.25" customHeight="1" x14ac:dyDescent="0.3">
      <c r="A24" s="241"/>
      <c r="B24" s="242" t="s">
        <v>454</v>
      </c>
      <c r="C24" s="243">
        <f>+C15+C17</f>
        <v>1189951</v>
      </c>
      <c r="D24" s="243">
        <f>+D15+D17</f>
        <v>753671</v>
      </c>
      <c r="E24" s="243">
        <f t="shared" si="0"/>
        <v>-436280</v>
      </c>
      <c r="F24" s="244">
        <f t="shared" si="1"/>
        <v>-0.36663694555490101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455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446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447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448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449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385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384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450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451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452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453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454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456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446</v>
      </c>
      <c r="C40" s="237">
        <v>1884775</v>
      </c>
      <c r="D40" s="237">
        <v>3598093</v>
      </c>
      <c r="E40" s="237">
        <f t="shared" ref="E40:E50" si="4">D40-C40</f>
        <v>1713318</v>
      </c>
      <c r="F40" s="238">
        <f t="shared" ref="F40:F50" si="5">IF(C40=0,0,E40/C40)</f>
        <v>0.90903052088445568</v>
      </c>
    </row>
    <row r="41" spans="1:6" ht="20.25" customHeight="1" x14ac:dyDescent="0.3">
      <c r="A41" s="235">
        <v>2</v>
      </c>
      <c r="B41" s="236" t="s">
        <v>447</v>
      </c>
      <c r="C41" s="237">
        <v>1050722</v>
      </c>
      <c r="D41" s="237">
        <v>1237330</v>
      </c>
      <c r="E41" s="237">
        <f t="shared" si="4"/>
        <v>186608</v>
      </c>
      <c r="F41" s="238">
        <f t="shared" si="5"/>
        <v>0.17759978376773305</v>
      </c>
    </row>
    <row r="42" spans="1:6" ht="20.25" customHeight="1" x14ac:dyDescent="0.3">
      <c r="A42" s="235">
        <v>3</v>
      </c>
      <c r="B42" s="236" t="s">
        <v>448</v>
      </c>
      <c r="C42" s="237">
        <v>1743769</v>
      </c>
      <c r="D42" s="237">
        <v>2556394</v>
      </c>
      <c r="E42" s="237">
        <f t="shared" si="4"/>
        <v>812625</v>
      </c>
      <c r="F42" s="238">
        <f t="shared" si="5"/>
        <v>0.46601642763462364</v>
      </c>
    </row>
    <row r="43" spans="1:6" ht="20.25" customHeight="1" x14ac:dyDescent="0.3">
      <c r="A43" s="235">
        <v>4</v>
      </c>
      <c r="B43" s="236" t="s">
        <v>449</v>
      </c>
      <c r="C43" s="237">
        <v>845514</v>
      </c>
      <c r="D43" s="237">
        <v>736258</v>
      </c>
      <c r="E43" s="237">
        <f t="shared" si="4"/>
        <v>-109256</v>
      </c>
      <c r="F43" s="238">
        <f t="shared" si="5"/>
        <v>-0.12921843990755918</v>
      </c>
    </row>
    <row r="44" spans="1:6" ht="20.25" customHeight="1" x14ac:dyDescent="0.3">
      <c r="A44" s="235">
        <v>5</v>
      </c>
      <c r="B44" s="236" t="s">
        <v>385</v>
      </c>
      <c r="C44" s="239">
        <v>73</v>
      </c>
      <c r="D44" s="239">
        <v>123</v>
      </c>
      <c r="E44" s="239">
        <f t="shared" si="4"/>
        <v>50</v>
      </c>
      <c r="F44" s="238">
        <f t="shared" si="5"/>
        <v>0.68493150684931503</v>
      </c>
    </row>
    <row r="45" spans="1:6" ht="20.25" customHeight="1" x14ac:dyDescent="0.3">
      <c r="A45" s="235">
        <v>6</v>
      </c>
      <c r="B45" s="236" t="s">
        <v>384</v>
      </c>
      <c r="C45" s="239">
        <v>322</v>
      </c>
      <c r="D45" s="239">
        <v>501</v>
      </c>
      <c r="E45" s="239">
        <f t="shared" si="4"/>
        <v>179</v>
      </c>
      <c r="F45" s="238">
        <f t="shared" si="5"/>
        <v>0.55590062111801242</v>
      </c>
    </row>
    <row r="46" spans="1:6" ht="20.25" customHeight="1" x14ac:dyDescent="0.3">
      <c r="A46" s="235">
        <v>7</v>
      </c>
      <c r="B46" s="236" t="s">
        <v>450</v>
      </c>
      <c r="C46" s="239">
        <v>425</v>
      </c>
      <c r="D46" s="239">
        <v>612</v>
      </c>
      <c r="E46" s="239">
        <f t="shared" si="4"/>
        <v>187</v>
      </c>
      <c r="F46" s="238">
        <f t="shared" si="5"/>
        <v>0.44</v>
      </c>
    </row>
    <row r="47" spans="1:6" ht="20.25" customHeight="1" x14ac:dyDescent="0.3">
      <c r="A47" s="235">
        <v>8</v>
      </c>
      <c r="B47" s="236" t="s">
        <v>451</v>
      </c>
      <c r="C47" s="239">
        <v>267</v>
      </c>
      <c r="D47" s="239">
        <v>381</v>
      </c>
      <c r="E47" s="239">
        <f t="shared" si="4"/>
        <v>114</v>
      </c>
      <c r="F47" s="238">
        <f t="shared" si="5"/>
        <v>0.42696629213483145</v>
      </c>
    </row>
    <row r="48" spans="1:6" ht="20.25" customHeight="1" x14ac:dyDescent="0.3">
      <c r="A48" s="235">
        <v>9</v>
      </c>
      <c r="B48" s="236" t="s">
        <v>452</v>
      </c>
      <c r="C48" s="239">
        <v>0</v>
      </c>
      <c r="D48" s="239">
        <v>0</v>
      </c>
      <c r="E48" s="239">
        <f t="shared" si="4"/>
        <v>0</v>
      </c>
      <c r="F48" s="238">
        <f t="shared" si="5"/>
        <v>0</v>
      </c>
    </row>
    <row r="49" spans="1:6" s="240" customFormat="1" ht="20.25" customHeight="1" x14ac:dyDescent="0.3">
      <c r="A49" s="241"/>
      <c r="B49" s="242" t="s">
        <v>453</v>
      </c>
      <c r="C49" s="243">
        <f>+C40+C42</f>
        <v>3628544</v>
      </c>
      <c r="D49" s="243">
        <f>+D40+D42</f>
        <v>6154487</v>
      </c>
      <c r="E49" s="243">
        <f t="shared" si="4"/>
        <v>2525943</v>
      </c>
      <c r="F49" s="244">
        <f t="shared" si="5"/>
        <v>0.69613128571680538</v>
      </c>
    </row>
    <row r="50" spans="1:6" s="240" customFormat="1" ht="20.25" customHeight="1" x14ac:dyDescent="0.3">
      <c r="A50" s="241"/>
      <c r="B50" s="242" t="s">
        <v>454</v>
      </c>
      <c r="C50" s="243">
        <f>+C41+C43</f>
        <v>1896236</v>
      </c>
      <c r="D50" s="243">
        <f>+D41+D43</f>
        <v>1973588</v>
      </c>
      <c r="E50" s="243">
        <f t="shared" si="4"/>
        <v>77352</v>
      </c>
      <c r="F50" s="244">
        <f t="shared" si="5"/>
        <v>4.0792390820551874E-2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457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446</v>
      </c>
      <c r="C53" s="237">
        <v>3281849</v>
      </c>
      <c r="D53" s="237">
        <v>0</v>
      </c>
      <c r="E53" s="237">
        <f t="shared" ref="E53:E63" si="6">D53-C53</f>
        <v>-3281849</v>
      </c>
      <c r="F53" s="238">
        <f t="shared" ref="F53:F63" si="7">IF(C53=0,0,E53/C53)</f>
        <v>-1</v>
      </c>
    </row>
    <row r="54" spans="1:6" ht="20.25" customHeight="1" x14ac:dyDescent="0.3">
      <c r="A54" s="235">
        <v>2</v>
      </c>
      <c r="B54" s="236" t="s">
        <v>447</v>
      </c>
      <c r="C54" s="237">
        <v>2004655</v>
      </c>
      <c r="D54" s="237">
        <v>0</v>
      </c>
      <c r="E54" s="237">
        <f t="shared" si="6"/>
        <v>-2004655</v>
      </c>
      <c r="F54" s="238">
        <f t="shared" si="7"/>
        <v>-1</v>
      </c>
    </row>
    <row r="55" spans="1:6" ht="20.25" customHeight="1" x14ac:dyDescent="0.3">
      <c r="A55" s="235">
        <v>3</v>
      </c>
      <c r="B55" s="236" t="s">
        <v>448</v>
      </c>
      <c r="C55" s="237">
        <v>1442431</v>
      </c>
      <c r="D55" s="237">
        <v>0</v>
      </c>
      <c r="E55" s="237">
        <f t="shared" si="6"/>
        <v>-1442431</v>
      </c>
      <c r="F55" s="238">
        <f t="shared" si="7"/>
        <v>-1</v>
      </c>
    </row>
    <row r="56" spans="1:6" ht="20.25" customHeight="1" x14ac:dyDescent="0.3">
      <c r="A56" s="235">
        <v>4</v>
      </c>
      <c r="B56" s="236" t="s">
        <v>449</v>
      </c>
      <c r="C56" s="237">
        <v>709710</v>
      </c>
      <c r="D56" s="237">
        <v>0</v>
      </c>
      <c r="E56" s="237">
        <f t="shared" si="6"/>
        <v>-709710</v>
      </c>
      <c r="F56" s="238">
        <f t="shared" si="7"/>
        <v>-1</v>
      </c>
    </row>
    <row r="57" spans="1:6" ht="20.25" customHeight="1" x14ac:dyDescent="0.3">
      <c r="A57" s="235">
        <v>5</v>
      </c>
      <c r="B57" s="236" t="s">
        <v>385</v>
      </c>
      <c r="C57" s="239">
        <v>118</v>
      </c>
      <c r="D57" s="239">
        <v>0</v>
      </c>
      <c r="E57" s="239">
        <f t="shared" si="6"/>
        <v>-118</v>
      </c>
      <c r="F57" s="238">
        <f t="shared" si="7"/>
        <v>-1</v>
      </c>
    </row>
    <row r="58" spans="1:6" ht="20.25" customHeight="1" x14ac:dyDescent="0.3">
      <c r="A58" s="235">
        <v>6</v>
      </c>
      <c r="B58" s="236" t="s">
        <v>384</v>
      </c>
      <c r="C58" s="239">
        <v>604</v>
      </c>
      <c r="D58" s="239">
        <v>0</v>
      </c>
      <c r="E58" s="239">
        <f t="shared" si="6"/>
        <v>-604</v>
      </c>
      <c r="F58" s="238">
        <f t="shared" si="7"/>
        <v>-1</v>
      </c>
    </row>
    <row r="59" spans="1:6" ht="20.25" customHeight="1" x14ac:dyDescent="0.3">
      <c r="A59" s="235">
        <v>7</v>
      </c>
      <c r="B59" s="236" t="s">
        <v>450</v>
      </c>
      <c r="C59" s="239">
        <v>1050</v>
      </c>
      <c r="D59" s="239">
        <v>0</v>
      </c>
      <c r="E59" s="239">
        <f t="shared" si="6"/>
        <v>-1050</v>
      </c>
      <c r="F59" s="238">
        <f t="shared" si="7"/>
        <v>-1</v>
      </c>
    </row>
    <row r="60" spans="1:6" ht="20.25" customHeight="1" x14ac:dyDescent="0.3">
      <c r="A60" s="235">
        <v>8</v>
      </c>
      <c r="B60" s="236" t="s">
        <v>451</v>
      </c>
      <c r="C60" s="239">
        <v>235</v>
      </c>
      <c r="D60" s="239">
        <v>0</v>
      </c>
      <c r="E60" s="239">
        <f t="shared" si="6"/>
        <v>-235</v>
      </c>
      <c r="F60" s="238">
        <f t="shared" si="7"/>
        <v>-1</v>
      </c>
    </row>
    <row r="61" spans="1:6" ht="20.25" customHeight="1" x14ac:dyDescent="0.3">
      <c r="A61" s="235">
        <v>9</v>
      </c>
      <c r="B61" s="236" t="s">
        <v>452</v>
      </c>
      <c r="C61" s="239">
        <v>0</v>
      </c>
      <c r="D61" s="239">
        <v>0</v>
      </c>
      <c r="E61" s="239">
        <f t="shared" si="6"/>
        <v>0</v>
      </c>
      <c r="F61" s="238">
        <f t="shared" si="7"/>
        <v>0</v>
      </c>
    </row>
    <row r="62" spans="1:6" s="240" customFormat="1" ht="20.25" customHeight="1" x14ac:dyDescent="0.3">
      <c r="A62" s="241"/>
      <c r="B62" s="242" t="s">
        <v>453</v>
      </c>
      <c r="C62" s="243">
        <f>+C53+C55</f>
        <v>4724280</v>
      </c>
      <c r="D62" s="243">
        <f>+D53+D55</f>
        <v>0</v>
      </c>
      <c r="E62" s="243">
        <f t="shared" si="6"/>
        <v>-4724280</v>
      </c>
      <c r="F62" s="244">
        <f t="shared" si="7"/>
        <v>-1</v>
      </c>
    </row>
    <row r="63" spans="1:6" s="240" customFormat="1" ht="20.25" customHeight="1" x14ac:dyDescent="0.3">
      <c r="A63" s="241"/>
      <c r="B63" s="242" t="s">
        <v>454</v>
      </c>
      <c r="C63" s="243">
        <f>+C54+C56</f>
        <v>2714365</v>
      </c>
      <c r="D63" s="243">
        <f>+D54+D56</f>
        <v>0</v>
      </c>
      <c r="E63" s="243">
        <f t="shared" si="6"/>
        <v>-2714365</v>
      </c>
      <c r="F63" s="244">
        <f t="shared" si="7"/>
        <v>-1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458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446</v>
      </c>
      <c r="C66" s="237">
        <v>92733</v>
      </c>
      <c r="D66" s="237">
        <v>212774</v>
      </c>
      <c r="E66" s="237">
        <f t="shared" ref="E66:E76" si="8">D66-C66</f>
        <v>120041</v>
      </c>
      <c r="F66" s="238">
        <f t="shared" ref="F66:F76" si="9">IF(C66=0,0,E66/C66)</f>
        <v>1.2944798507543163</v>
      </c>
    </row>
    <row r="67" spans="1:6" ht="20.25" customHeight="1" x14ac:dyDescent="0.3">
      <c r="A67" s="235">
        <v>2</v>
      </c>
      <c r="B67" s="236" t="s">
        <v>447</v>
      </c>
      <c r="C67" s="237">
        <v>19366</v>
      </c>
      <c r="D67" s="237">
        <v>80064</v>
      </c>
      <c r="E67" s="237">
        <f t="shared" si="8"/>
        <v>60698</v>
      </c>
      <c r="F67" s="238">
        <f t="shared" si="9"/>
        <v>3.1342559124238356</v>
      </c>
    </row>
    <row r="68" spans="1:6" ht="20.25" customHeight="1" x14ac:dyDescent="0.3">
      <c r="A68" s="235">
        <v>3</v>
      </c>
      <c r="B68" s="236" t="s">
        <v>448</v>
      </c>
      <c r="C68" s="237">
        <v>26702</v>
      </c>
      <c r="D68" s="237">
        <v>174895</v>
      </c>
      <c r="E68" s="237">
        <f t="shared" si="8"/>
        <v>148193</v>
      </c>
      <c r="F68" s="238">
        <f t="shared" si="9"/>
        <v>5.5498839038274284</v>
      </c>
    </row>
    <row r="69" spans="1:6" ht="20.25" customHeight="1" x14ac:dyDescent="0.3">
      <c r="A69" s="235">
        <v>4</v>
      </c>
      <c r="B69" s="236" t="s">
        <v>449</v>
      </c>
      <c r="C69" s="237">
        <v>11427</v>
      </c>
      <c r="D69" s="237">
        <v>46088</v>
      </c>
      <c r="E69" s="237">
        <f t="shared" si="8"/>
        <v>34661</v>
      </c>
      <c r="F69" s="238">
        <f t="shared" si="9"/>
        <v>3.0332545725037194</v>
      </c>
    </row>
    <row r="70" spans="1:6" ht="20.25" customHeight="1" x14ac:dyDescent="0.3">
      <c r="A70" s="235">
        <v>5</v>
      </c>
      <c r="B70" s="236" t="s">
        <v>385</v>
      </c>
      <c r="C70" s="239">
        <v>4</v>
      </c>
      <c r="D70" s="239">
        <v>7</v>
      </c>
      <c r="E70" s="239">
        <f t="shared" si="8"/>
        <v>3</v>
      </c>
      <c r="F70" s="238">
        <f t="shared" si="9"/>
        <v>0.75</v>
      </c>
    </row>
    <row r="71" spans="1:6" ht="20.25" customHeight="1" x14ac:dyDescent="0.3">
      <c r="A71" s="235">
        <v>6</v>
      </c>
      <c r="B71" s="236" t="s">
        <v>384</v>
      </c>
      <c r="C71" s="239">
        <v>9</v>
      </c>
      <c r="D71" s="239">
        <v>30</v>
      </c>
      <c r="E71" s="239">
        <f t="shared" si="8"/>
        <v>21</v>
      </c>
      <c r="F71" s="238">
        <f t="shared" si="9"/>
        <v>2.3333333333333335</v>
      </c>
    </row>
    <row r="72" spans="1:6" ht="20.25" customHeight="1" x14ac:dyDescent="0.3">
      <c r="A72" s="235">
        <v>7</v>
      </c>
      <c r="B72" s="236" t="s">
        <v>450</v>
      </c>
      <c r="C72" s="239">
        <v>6</v>
      </c>
      <c r="D72" s="239">
        <v>21</v>
      </c>
      <c r="E72" s="239">
        <f t="shared" si="8"/>
        <v>15</v>
      </c>
      <c r="F72" s="238">
        <f t="shared" si="9"/>
        <v>2.5</v>
      </c>
    </row>
    <row r="73" spans="1:6" ht="20.25" customHeight="1" x14ac:dyDescent="0.3">
      <c r="A73" s="235">
        <v>8</v>
      </c>
      <c r="B73" s="236" t="s">
        <v>451</v>
      </c>
      <c r="C73" s="239">
        <v>19</v>
      </c>
      <c r="D73" s="239">
        <v>33</v>
      </c>
      <c r="E73" s="239">
        <f t="shared" si="8"/>
        <v>14</v>
      </c>
      <c r="F73" s="238">
        <f t="shared" si="9"/>
        <v>0.73684210526315785</v>
      </c>
    </row>
    <row r="74" spans="1:6" ht="20.25" customHeight="1" x14ac:dyDescent="0.3">
      <c r="A74" s="235">
        <v>9</v>
      </c>
      <c r="B74" s="236" t="s">
        <v>452</v>
      </c>
      <c r="C74" s="239">
        <v>0</v>
      </c>
      <c r="D74" s="239">
        <v>0</v>
      </c>
      <c r="E74" s="239">
        <f t="shared" si="8"/>
        <v>0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453</v>
      </c>
      <c r="C75" s="243">
        <f>+C66+C68</f>
        <v>119435</v>
      </c>
      <c r="D75" s="243">
        <f>+D66+D68</f>
        <v>387669</v>
      </c>
      <c r="E75" s="243">
        <f t="shared" si="8"/>
        <v>268234</v>
      </c>
      <c r="F75" s="244">
        <f t="shared" si="9"/>
        <v>2.2458575794365134</v>
      </c>
    </row>
    <row r="76" spans="1:6" s="240" customFormat="1" ht="20.25" customHeight="1" x14ac:dyDescent="0.3">
      <c r="A76" s="241"/>
      <c r="B76" s="242" t="s">
        <v>454</v>
      </c>
      <c r="C76" s="243">
        <f>+C67+C69</f>
        <v>30793</v>
      </c>
      <c r="D76" s="243">
        <f>+D67+D69</f>
        <v>126152</v>
      </c>
      <c r="E76" s="243">
        <f t="shared" si="8"/>
        <v>95359</v>
      </c>
      <c r="F76" s="244">
        <f t="shared" si="9"/>
        <v>3.0967752411262301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459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446</v>
      </c>
      <c r="C79" s="237">
        <v>894667</v>
      </c>
      <c r="D79" s="237">
        <v>259401</v>
      </c>
      <c r="E79" s="237">
        <f t="shared" ref="E79:E89" si="10">D79-C79</f>
        <v>-635266</v>
      </c>
      <c r="F79" s="238">
        <f t="shared" ref="F79:F89" si="11">IF(C79=0,0,E79/C79)</f>
        <v>-0.71005860280976052</v>
      </c>
    </row>
    <row r="80" spans="1:6" ht="20.25" customHeight="1" x14ac:dyDescent="0.3">
      <c r="A80" s="235">
        <v>2</v>
      </c>
      <c r="B80" s="236" t="s">
        <v>447</v>
      </c>
      <c r="C80" s="237">
        <v>598338</v>
      </c>
      <c r="D80" s="237">
        <v>93515</v>
      </c>
      <c r="E80" s="237">
        <f t="shared" si="10"/>
        <v>-504823</v>
      </c>
      <c r="F80" s="238">
        <f t="shared" si="11"/>
        <v>-0.84370873987612349</v>
      </c>
    </row>
    <row r="81" spans="1:6" ht="20.25" customHeight="1" x14ac:dyDescent="0.3">
      <c r="A81" s="235">
        <v>3</v>
      </c>
      <c r="B81" s="236" t="s">
        <v>448</v>
      </c>
      <c r="C81" s="237">
        <v>495154</v>
      </c>
      <c r="D81" s="237">
        <v>143517</v>
      </c>
      <c r="E81" s="237">
        <f t="shared" si="10"/>
        <v>-351637</v>
      </c>
      <c r="F81" s="238">
        <f t="shared" si="11"/>
        <v>-0.71015684009419289</v>
      </c>
    </row>
    <row r="82" spans="1:6" ht="20.25" customHeight="1" x14ac:dyDescent="0.3">
      <c r="A82" s="235">
        <v>4</v>
      </c>
      <c r="B82" s="236" t="s">
        <v>449</v>
      </c>
      <c r="C82" s="237">
        <v>224852</v>
      </c>
      <c r="D82" s="237">
        <v>43145</v>
      </c>
      <c r="E82" s="237">
        <f t="shared" si="10"/>
        <v>-181707</v>
      </c>
      <c r="F82" s="238">
        <f t="shared" si="11"/>
        <v>-0.80811822887944074</v>
      </c>
    </row>
    <row r="83" spans="1:6" ht="20.25" customHeight="1" x14ac:dyDescent="0.3">
      <c r="A83" s="235">
        <v>5</v>
      </c>
      <c r="B83" s="236" t="s">
        <v>385</v>
      </c>
      <c r="C83" s="239">
        <v>36</v>
      </c>
      <c r="D83" s="239">
        <v>7</v>
      </c>
      <c r="E83" s="239">
        <f t="shared" si="10"/>
        <v>-29</v>
      </c>
      <c r="F83" s="238">
        <f t="shared" si="11"/>
        <v>-0.80555555555555558</v>
      </c>
    </row>
    <row r="84" spans="1:6" ht="20.25" customHeight="1" x14ac:dyDescent="0.3">
      <c r="A84" s="235">
        <v>6</v>
      </c>
      <c r="B84" s="236" t="s">
        <v>384</v>
      </c>
      <c r="C84" s="239">
        <v>153</v>
      </c>
      <c r="D84" s="239">
        <v>41</v>
      </c>
      <c r="E84" s="239">
        <f t="shared" si="10"/>
        <v>-112</v>
      </c>
      <c r="F84" s="238">
        <f t="shared" si="11"/>
        <v>-0.73202614379084963</v>
      </c>
    </row>
    <row r="85" spans="1:6" ht="20.25" customHeight="1" x14ac:dyDescent="0.3">
      <c r="A85" s="235">
        <v>7</v>
      </c>
      <c r="B85" s="236" t="s">
        <v>450</v>
      </c>
      <c r="C85" s="239">
        <v>145</v>
      </c>
      <c r="D85" s="239">
        <v>31</v>
      </c>
      <c r="E85" s="239">
        <f t="shared" si="10"/>
        <v>-114</v>
      </c>
      <c r="F85" s="238">
        <f t="shared" si="11"/>
        <v>-0.78620689655172415</v>
      </c>
    </row>
    <row r="86" spans="1:6" ht="20.25" customHeight="1" x14ac:dyDescent="0.3">
      <c r="A86" s="235">
        <v>8</v>
      </c>
      <c r="B86" s="236" t="s">
        <v>451</v>
      </c>
      <c r="C86" s="239">
        <v>85</v>
      </c>
      <c r="D86" s="239">
        <v>29</v>
      </c>
      <c r="E86" s="239">
        <f t="shared" si="10"/>
        <v>-56</v>
      </c>
      <c r="F86" s="238">
        <f t="shared" si="11"/>
        <v>-0.6588235294117647</v>
      </c>
    </row>
    <row r="87" spans="1:6" ht="20.25" customHeight="1" x14ac:dyDescent="0.3">
      <c r="A87" s="235">
        <v>9</v>
      </c>
      <c r="B87" s="236" t="s">
        <v>452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453</v>
      </c>
      <c r="C88" s="243">
        <f>+C79+C81</f>
        <v>1389821</v>
      </c>
      <c r="D88" s="243">
        <f>+D79+D81</f>
        <v>402918</v>
      </c>
      <c r="E88" s="243">
        <f t="shared" si="10"/>
        <v>-986903</v>
      </c>
      <c r="F88" s="244">
        <f t="shared" si="11"/>
        <v>-0.71009360198183791</v>
      </c>
    </row>
    <row r="89" spans="1:6" s="240" customFormat="1" ht="20.25" customHeight="1" x14ac:dyDescent="0.3">
      <c r="A89" s="241"/>
      <c r="B89" s="242" t="s">
        <v>454</v>
      </c>
      <c r="C89" s="243">
        <f>+C80+C82</f>
        <v>823190</v>
      </c>
      <c r="D89" s="243">
        <f>+D80+D82</f>
        <v>136660</v>
      </c>
      <c r="E89" s="243">
        <f t="shared" si="10"/>
        <v>-686530</v>
      </c>
      <c r="F89" s="244">
        <f t="shared" si="11"/>
        <v>-0.83398729333446708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460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446</v>
      </c>
      <c r="C92" s="237">
        <v>5388678</v>
      </c>
      <c r="D92" s="237">
        <v>9507989</v>
      </c>
      <c r="E92" s="237">
        <f t="shared" ref="E92:E102" si="12">D92-C92</f>
        <v>4119311</v>
      </c>
      <c r="F92" s="238">
        <f t="shared" ref="F92:F102" si="13">IF(C92=0,0,E92/C92)</f>
        <v>0.76443814234214769</v>
      </c>
    </row>
    <row r="93" spans="1:6" ht="20.25" customHeight="1" x14ac:dyDescent="0.3">
      <c r="A93" s="235">
        <v>2</v>
      </c>
      <c r="B93" s="236" t="s">
        <v>447</v>
      </c>
      <c r="C93" s="237">
        <v>3025234</v>
      </c>
      <c r="D93" s="237">
        <v>2957931</v>
      </c>
      <c r="E93" s="237">
        <f t="shared" si="12"/>
        <v>-67303</v>
      </c>
      <c r="F93" s="238">
        <f t="shared" si="13"/>
        <v>-2.2247204679043009E-2</v>
      </c>
    </row>
    <row r="94" spans="1:6" ht="20.25" customHeight="1" x14ac:dyDescent="0.3">
      <c r="A94" s="235">
        <v>3</v>
      </c>
      <c r="B94" s="236" t="s">
        <v>448</v>
      </c>
      <c r="C94" s="237">
        <v>2800723</v>
      </c>
      <c r="D94" s="237">
        <v>4573338</v>
      </c>
      <c r="E94" s="237">
        <f t="shared" si="12"/>
        <v>1772615</v>
      </c>
      <c r="F94" s="238">
        <f t="shared" si="13"/>
        <v>0.63291335844351615</v>
      </c>
    </row>
    <row r="95" spans="1:6" ht="20.25" customHeight="1" x14ac:dyDescent="0.3">
      <c r="A95" s="235">
        <v>4</v>
      </c>
      <c r="B95" s="236" t="s">
        <v>449</v>
      </c>
      <c r="C95" s="237">
        <v>1212825</v>
      </c>
      <c r="D95" s="237">
        <v>1209763</v>
      </c>
      <c r="E95" s="237">
        <f t="shared" si="12"/>
        <v>-3062</v>
      </c>
      <c r="F95" s="238">
        <f t="shared" si="13"/>
        <v>-2.5246841052913652E-3</v>
      </c>
    </row>
    <row r="96" spans="1:6" ht="20.25" customHeight="1" x14ac:dyDescent="0.3">
      <c r="A96" s="235">
        <v>5</v>
      </c>
      <c r="B96" s="236" t="s">
        <v>385</v>
      </c>
      <c r="C96" s="239">
        <v>155</v>
      </c>
      <c r="D96" s="239">
        <v>304</v>
      </c>
      <c r="E96" s="239">
        <f t="shared" si="12"/>
        <v>149</v>
      </c>
      <c r="F96" s="238">
        <f t="shared" si="13"/>
        <v>0.96129032258064517</v>
      </c>
    </row>
    <row r="97" spans="1:6" ht="20.25" customHeight="1" x14ac:dyDescent="0.3">
      <c r="A97" s="235">
        <v>6</v>
      </c>
      <c r="B97" s="236" t="s">
        <v>384</v>
      </c>
      <c r="C97" s="239">
        <v>662</v>
      </c>
      <c r="D97" s="239">
        <v>1495</v>
      </c>
      <c r="E97" s="239">
        <f t="shared" si="12"/>
        <v>833</v>
      </c>
      <c r="F97" s="238">
        <f t="shared" si="13"/>
        <v>1.2583081570996979</v>
      </c>
    </row>
    <row r="98" spans="1:6" ht="20.25" customHeight="1" x14ac:dyDescent="0.3">
      <c r="A98" s="235">
        <v>7</v>
      </c>
      <c r="B98" s="236" t="s">
        <v>450</v>
      </c>
      <c r="C98" s="239">
        <v>1817</v>
      </c>
      <c r="D98" s="239">
        <v>1416</v>
      </c>
      <c r="E98" s="239">
        <f t="shared" si="12"/>
        <v>-401</v>
      </c>
      <c r="F98" s="238">
        <f t="shared" si="13"/>
        <v>-0.22069345074298294</v>
      </c>
    </row>
    <row r="99" spans="1:6" ht="20.25" customHeight="1" x14ac:dyDescent="0.3">
      <c r="A99" s="235">
        <v>8</v>
      </c>
      <c r="B99" s="236" t="s">
        <v>451</v>
      </c>
      <c r="C99" s="239">
        <v>532</v>
      </c>
      <c r="D99" s="239">
        <v>768</v>
      </c>
      <c r="E99" s="239">
        <f t="shared" si="12"/>
        <v>236</v>
      </c>
      <c r="F99" s="238">
        <f t="shared" si="13"/>
        <v>0.44360902255639095</v>
      </c>
    </row>
    <row r="100" spans="1:6" ht="20.25" customHeight="1" x14ac:dyDescent="0.3">
      <c r="A100" s="235">
        <v>9</v>
      </c>
      <c r="B100" s="236" t="s">
        <v>452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453</v>
      </c>
      <c r="C101" s="243">
        <f>+C92+C94</f>
        <v>8189401</v>
      </c>
      <c r="D101" s="243">
        <f>+D92+D94</f>
        <v>14081327</v>
      </c>
      <c r="E101" s="243">
        <f t="shared" si="12"/>
        <v>5891926</v>
      </c>
      <c r="F101" s="244">
        <f t="shared" si="13"/>
        <v>0.71945750366846117</v>
      </c>
    </row>
    <row r="102" spans="1:6" s="240" customFormat="1" ht="20.25" customHeight="1" x14ac:dyDescent="0.3">
      <c r="A102" s="241"/>
      <c r="B102" s="242" t="s">
        <v>454</v>
      </c>
      <c r="C102" s="243">
        <f>+C93+C95</f>
        <v>4238059</v>
      </c>
      <c r="D102" s="243">
        <f>+D93+D95</f>
        <v>4167694</v>
      </c>
      <c r="E102" s="243">
        <f t="shared" si="12"/>
        <v>-70365</v>
      </c>
      <c r="F102" s="244">
        <f t="shared" si="13"/>
        <v>-1.6603119494089158E-2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461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446</v>
      </c>
      <c r="C105" s="237">
        <v>170575</v>
      </c>
      <c r="D105" s="237">
        <v>81598</v>
      </c>
      <c r="E105" s="237">
        <f t="shared" ref="E105:E115" si="14">D105-C105</f>
        <v>-88977</v>
      </c>
      <c r="F105" s="238">
        <f t="shared" ref="F105:F115" si="15">IF(C105=0,0,E105/C105)</f>
        <v>-0.52162978162098783</v>
      </c>
    </row>
    <row r="106" spans="1:6" ht="20.25" customHeight="1" x14ac:dyDescent="0.3">
      <c r="A106" s="235">
        <v>2</v>
      </c>
      <c r="B106" s="236" t="s">
        <v>447</v>
      </c>
      <c r="C106" s="237">
        <v>42273</v>
      </c>
      <c r="D106" s="237">
        <v>33736</v>
      </c>
      <c r="E106" s="237">
        <f t="shared" si="14"/>
        <v>-8537</v>
      </c>
      <c r="F106" s="238">
        <f t="shared" si="15"/>
        <v>-0.20194923473611998</v>
      </c>
    </row>
    <row r="107" spans="1:6" ht="20.25" customHeight="1" x14ac:dyDescent="0.3">
      <c r="A107" s="235">
        <v>3</v>
      </c>
      <c r="B107" s="236" t="s">
        <v>448</v>
      </c>
      <c r="C107" s="237">
        <v>113104</v>
      </c>
      <c r="D107" s="237">
        <v>94221</v>
      </c>
      <c r="E107" s="237">
        <f t="shared" si="14"/>
        <v>-18883</v>
      </c>
      <c r="F107" s="238">
        <f t="shared" si="15"/>
        <v>-0.16695253925590606</v>
      </c>
    </row>
    <row r="108" spans="1:6" ht="20.25" customHeight="1" x14ac:dyDescent="0.3">
      <c r="A108" s="235">
        <v>4</v>
      </c>
      <c r="B108" s="236" t="s">
        <v>449</v>
      </c>
      <c r="C108" s="237">
        <v>67608</v>
      </c>
      <c r="D108" s="237">
        <v>22998</v>
      </c>
      <c r="E108" s="237">
        <f t="shared" si="14"/>
        <v>-44610</v>
      </c>
      <c r="F108" s="238">
        <f t="shared" si="15"/>
        <v>-0.6598331558395456</v>
      </c>
    </row>
    <row r="109" spans="1:6" ht="20.25" customHeight="1" x14ac:dyDescent="0.3">
      <c r="A109" s="235">
        <v>5</v>
      </c>
      <c r="B109" s="236" t="s">
        <v>385</v>
      </c>
      <c r="C109" s="239">
        <v>5</v>
      </c>
      <c r="D109" s="239">
        <v>3</v>
      </c>
      <c r="E109" s="239">
        <f t="shared" si="14"/>
        <v>-2</v>
      </c>
      <c r="F109" s="238">
        <f t="shared" si="15"/>
        <v>-0.4</v>
      </c>
    </row>
    <row r="110" spans="1:6" ht="20.25" customHeight="1" x14ac:dyDescent="0.3">
      <c r="A110" s="235">
        <v>6</v>
      </c>
      <c r="B110" s="236" t="s">
        <v>384</v>
      </c>
      <c r="C110" s="239">
        <v>39</v>
      </c>
      <c r="D110" s="239">
        <v>17</v>
      </c>
      <c r="E110" s="239">
        <f t="shared" si="14"/>
        <v>-22</v>
      </c>
      <c r="F110" s="238">
        <f t="shared" si="15"/>
        <v>-0.5641025641025641</v>
      </c>
    </row>
    <row r="111" spans="1:6" ht="20.25" customHeight="1" x14ac:dyDescent="0.3">
      <c r="A111" s="235">
        <v>7</v>
      </c>
      <c r="B111" s="236" t="s">
        <v>450</v>
      </c>
      <c r="C111" s="239">
        <v>31</v>
      </c>
      <c r="D111" s="239">
        <v>39</v>
      </c>
      <c r="E111" s="239">
        <f t="shared" si="14"/>
        <v>8</v>
      </c>
      <c r="F111" s="238">
        <f t="shared" si="15"/>
        <v>0.25806451612903225</v>
      </c>
    </row>
    <row r="112" spans="1:6" ht="20.25" customHeight="1" x14ac:dyDescent="0.3">
      <c r="A112" s="235">
        <v>8</v>
      </c>
      <c r="B112" s="236" t="s">
        <v>451</v>
      </c>
      <c r="C112" s="239">
        <v>21</v>
      </c>
      <c r="D112" s="239">
        <v>37</v>
      </c>
      <c r="E112" s="239">
        <f t="shared" si="14"/>
        <v>16</v>
      </c>
      <c r="F112" s="238">
        <f t="shared" si="15"/>
        <v>0.76190476190476186</v>
      </c>
    </row>
    <row r="113" spans="1:6" ht="20.25" customHeight="1" x14ac:dyDescent="0.3">
      <c r="A113" s="235">
        <v>9</v>
      </c>
      <c r="B113" s="236" t="s">
        <v>452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453</v>
      </c>
      <c r="C114" s="243">
        <f>+C105+C107</f>
        <v>283679</v>
      </c>
      <c r="D114" s="243">
        <f>+D105+D107</f>
        <v>175819</v>
      </c>
      <c r="E114" s="243">
        <f t="shared" si="14"/>
        <v>-107860</v>
      </c>
      <c r="F114" s="244">
        <f t="shared" si="15"/>
        <v>-0.38021848638778338</v>
      </c>
    </row>
    <row r="115" spans="1:6" s="240" customFormat="1" ht="20.25" customHeight="1" x14ac:dyDescent="0.3">
      <c r="A115" s="241"/>
      <c r="B115" s="242" t="s">
        <v>454</v>
      </c>
      <c r="C115" s="243">
        <f>+C106+C108</f>
        <v>109881</v>
      </c>
      <c r="D115" s="243">
        <f>+D106+D108</f>
        <v>56734</v>
      </c>
      <c r="E115" s="243">
        <f t="shared" si="14"/>
        <v>-53147</v>
      </c>
      <c r="F115" s="244">
        <f t="shared" si="15"/>
        <v>-0.48367779688936213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462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446</v>
      </c>
      <c r="C118" s="237">
        <v>841066</v>
      </c>
      <c r="D118" s="237">
        <v>1185389</v>
      </c>
      <c r="E118" s="237">
        <f t="shared" ref="E118:E128" si="16">D118-C118</f>
        <v>344323</v>
      </c>
      <c r="F118" s="238">
        <f t="shared" ref="F118:F128" si="17">IF(C118=0,0,E118/C118)</f>
        <v>0.40938879945212386</v>
      </c>
    </row>
    <row r="119" spans="1:6" ht="20.25" customHeight="1" x14ac:dyDescent="0.3">
      <c r="A119" s="235">
        <v>2</v>
      </c>
      <c r="B119" s="236" t="s">
        <v>447</v>
      </c>
      <c r="C119" s="237">
        <v>392332</v>
      </c>
      <c r="D119" s="237">
        <v>454596</v>
      </c>
      <c r="E119" s="237">
        <f t="shared" si="16"/>
        <v>62264</v>
      </c>
      <c r="F119" s="238">
        <f t="shared" si="17"/>
        <v>0.15870232354230601</v>
      </c>
    </row>
    <row r="120" spans="1:6" ht="20.25" customHeight="1" x14ac:dyDescent="0.3">
      <c r="A120" s="235">
        <v>3</v>
      </c>
      <c r="B120" s="236" t="s">
        <v>448</v>
      </c>
      <c r="C120" s="237">
        <v>228902</v>
      </c>
      <c r="D120" s="237">
        <v>607942</v>
      </c>
      <c r="E120" s="237">
        <f t="shared" si="16"/>
        <v>379040</v>
      </c>
      <c r="F120" s="238">
        <f t="shared" si="17"/>
        <v>1.6559051471808897</v>
      </c>
    </row>
    <row r="121" spans="1:6" ht="20.25" customHeight="1" x14ac:dyDescent="0.3">
      <c r="A121" s="235">
        <v>4</v>
      </c>
      <c r="B121" s="236" t="s">
        <v>449</v>
      </c>
      <c r="C121" s="237">
        <v>131592</v>
      </c>
      <c r="D121" s="237">
        <v>187460</v>
      </c>
      <c r="E121" s="237">
        <f t="shared" si="16"/>
        <v>55868</v>
      </c>
      <c r="F121" s="238">
        <f t="shared" si="17"/>
        <v>0.42455468417532982</v>
      </c>
    </row>
    <row r="122" spans="1:6" ht="20.25" customHeight="1" x14ac:dyDescent="0.3">
      <c r="A122" s="235">
        <v>5</v>
      </c>
      <c r="B122" s="236" t="s">
        <v>385</v>
      </c>
      <c r="C122" s="239">
        <v>21</v>
      </c>
      <c r="D122" s="239">
        <v>48</v>
      </c>
      <c r="E122" s="239">
        <f t="shared" si="16"/>
        <v>27</v>
      </c>
      <c r="F122" s="238">
        <f t="shared" si="17"/>
        <v>1.2857142857142858</v>
      </c>
    </row>
    <row r="123" spans="1:6" ht="20.25" customHeight="1" x14ac:dyDescent="0.3">
      <c r="A123" s="235">
        <v>6</v>
      </c>
      <c r="B123" s="236" t="s">
        <v>384</v>
      </c>
      <c r="C123" s="239">
        <v>141</v>
      </c>
      <c r="D123" s="239">
        <v>174</v>
      </c>
      <c r="E123" s="239">
        <f t="shared" si="16"/>
        <v>33</v>
      </c>
      <c r="F123" s="238">
        <f t="shared" si="17"/>
        <v>0.23404255319148937</v>
      </c>
    </row>
    <row r="124" spans="1:6" ht="20.25" customHeight="1" x14ac:dyDescent="0.3">
      <c r="A124" s="235">
        <v>7</v>
      </c>
      <c r="B124" s="236" t="s">
        <v>450</v>
      </c>
      <c r="C124" s="239">
        <v>67</v>
      </c>
      <c r="D124" s="239">
        <v>198</v>
      </c>
      <c r="E124" s="239">
        <f t="shared" si="16"/>
        <v>131</v>
      </c>
      <c r="F124" s="238">
        <f t="shared" si="17"/>
        <v>1.955223880597015</v>
      </c>
    </row>
    <row r="125" spans="1:6" ht="20.25" customHeight="1" x14ac:dyDescent="0.3">
      <c r="A125" s="235">
        <v>8</v>
      </c>
      <c r="B125" s="236" t="s">
        <v>451</v>
      </c>
      <c r="C125" s="239">
        <v>47</v>
      </c>
      <c r="D125" s="239">
        <v>109</v>
      </c>
      <c r="E125" s="239">
        <f t="shared" si="16"/>
        <v>62</v>
      </c>
      <c r="F125" s="238">
        <f t="shared" si="17"/>
        <v>1.3191489361702127</v>
      </c>
    </row>
    <row r="126" spans="1:6" ht="20.25" customHeight="1" x14ac:dyDescent="0.3">
      <c r="A126" s="235">
        <v>9</v>
      </c>
      <c r="B126" s="236" t="s">
        <v>452</v>
      </c>
      <c r="C126" s="239">
        <v>0</v>
      </c>
      <c r="D126" s="239">
        <v>0</v>
      </c>
      <c r="E126" s="239">
        <f t="shared" si="16"/>
        <v>0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453</v>
      </c>
      <c r="C127" s="243">
        <f>+C118+C120</f>
        <v>1069968</v>
      </c>
      <c r="D127" s="243">
        <f>+D118+D120</f>
        <v>1793331</v>
      </c>
      <c r="E127" s="243">
        <f t="shared" si="16"/>
        <v>723363</v>
      </c>
      <c r="F127" s="244">
        <f t="shared" si="17"/>
        <v>0.67606040554483871</v>
      </c>
    </row>
    <row r="128" spans="1:6" s="240" customFormat="1" ht="20.25" customHeight="1" x14ac:dyDescent="0.3">
      <c r="A128" s="241"/>
      <c r="B128" s="242" t="s">
        <v>454</v>
      </c>
      <c r="C128" s="243">
        <f>+C119+C121</f>
        <v>523924</v>
      </c>
      <c r="D128" s="243">
        <f>+D119+D121</f>
        <v>642056</v>
      </c>
      <c r="E128" s="243">
        <f t="shared" si="16"/>
        <v>118132</v>
      </c>
      <c r="F128" s="244">
        <f t="shared" si="17"/>
        <v>0.22547545063787877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463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446</v>
      </c>
      <c r="C131" s="237">
        <v>61309</v>
      </c>
      <c r="D131" s="237">
        <v>38879</v>
      </c>
      <c r="E131" s="237">
        <f t="shared" ref="E131:E141" si="18">D131-C131</f>
        <v>-22430</v>
      </c>
      <c r="F131" s="238">
        <f t="shared" ref="F131:F141" si="19">IF(C131=0,0,E131/C131)</f>
        <v>-0.36585166941232117</v>
      </c>
    </row>
    <row r="132" spans="1:6" ht="20.25" customHeight="1" x14ac:dyDescent="0.3">
      <c r="A132" s="235">
        <v>2</v>
      </c>
      <c r="B132" s="236" t="s">
        <v>447</v>
      </c>
      <c r="C132" s="237">
        <v>24558</v>
      </c>
      <c r="D132" s="237">
        <v>10744</v>
      </c>
      <c r="E132" s="237">
        <f t="shared" si="18"/>
        <v>-13814</v>
      </c>
      <c r="F132" s="238">
        <f t="shared" si="19"/>
        <v>-0.56250508999104165</v>
      </c>
    </row>
    <row r="133" spans="1:6" ht="20.25" customHeight="1" x14ac:dyDescent="0.3">
      <c r="A133" s="235">
        <v>3</v>
      </c>
      <c r="B133" s="236" t="s">
        <v>448</v>
      </c>
      <c r="C133" s="237">
        <v>70309</v>
      </c>
      <c r="D133" s="237">
        <v>57052</v>
      </c>
      <c r="E133" s="237">
        <f t="shared" si="18"/>
        <v>-13257</v>
      </c>
      <c r="F133" s="238">
        <f t="shared" si="19"/>
        <v>-0.18855338576853603</v>
      </c>
    </row>
    <row r="134" spans="1:6" ht="20.25" customHeight="1" x14ac:dyDescent="0.3">
      <c r="A134" s="235">
        <v>4</v>
      </c>
      <c r="B134" s="236" t="s">
        <v>449</v>
      </c>
      <c r="C134" s="237">
        <v>32613</v>
      </c>
      <c r="D134" s="237">
        <v>20693</v>
      </c>
      <c r="E134" s="237">
        <f t="shared" si="18"/>
        <v>-11920</v>
      </c>
      <c r="F134" s="238">
        <f t="shared" si="19"/>
        <v>-0.36549842087511114</v>
      </c>
    </row>
    <row r="135" spans="1:6" ht="20.25" customHeight="1" x14ac:dyDescent="0.3">
      <c r="A135" s="235">
        <v>5</v>
      </c>
      <c r="B135" s="236" t="s">
        <v>385</v>
      </c>
      <c r="C135" s="239">
        <v>4</v>
      </c>
      <c r="D135" s="239">
        <v>2</v>
      </c>
      <c r="E135" s="239">
        <f t="shared" si="18"/>
        <v>-2</v>
      </c>
      <c r="F135" s="238">
        <f t="shared" si="19"/>
        <v>-0.5</v>
      </c>
    </row>
    <row r="136" spans="1:6" ht="20.25" customHeight="1" x14ac:dyDescent="0.3">
      <c r="A136" s="235">
        <v>6</v>
      </c>
      <c r="B136" s="236" t="s">
        <v>384</v>
      </c>
      <c r="C136" s="239">
        <v>12</v>
      </c>
      <c r="D136" s="239">
        <v>7</v>
      </c>
      <c r="E136" s="239">
        <f t="shared" si="18"/>
        <v>-5</v>
      </c>
      <c r="F136" s="238">
        <f t="shared" si="19"/>
        <v>-0.41666666666666669</v>
      </c>
    </row>
    <row r="137" spans="1:6" ht="20.25" customHeight="1" x14ac:dyDescent="0.3">
      <c r="A137" s="235">
        <v>7</v>
      </c>
      <c r="B137" s="236" t="s">
        <v>450</v>
      </c>
      <c r="C137" s="239">
        <v>9</v>
      </c>
      <c r="D137" s="239">
        <v>5</v>
      </c>
      <c r="E137" s="239">
        <f t="shared" si="18"/>
        <v>-4</v>
      </c>
      <c r="F137" s="238">
        <f t="shared" si="19"/>
        <v>-0.44444444444444442</v>
      </c>
    </row>
    <row r="138" spans="1:6" ht="20.25" customHeight="1" x14ac:dyDescent="0.3">
      <c r="A138" s="235">
        <v>8</v>
      </c>
      <c r="B138" s="236" t="s">
        <v>451</v>
      </c>
      <c r="C138" s="239">
        <v>23</v>
      </c>
      <c r="D138" s="239">
        <v>12</v>
      </c>
      <c r="E138" s="239">
        <f t="shared" si="18"/>
        <v>-11</v>
      </c>
      <c r="F138" s="238">
        <f t="shared" si="19"/>
        <v>-0.47826086956521741</v>
      </c>
    </row>
    <row r="139" spans="1:6" ht="20.25" customHeight="1" x14ac:dyDescent="0.3">
      <c r="A139" s="235">
        <v>9</v>
      </c>
      <c r="B139" s="236" t="s">
        <v>452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453</v>
      </c>
      <c r="C140" s="243">
        <f>+C131+C133</f>
        <v>131618</v>
      </c>
      <c r="D140" s="243">
        <f>+D131+D133</f>
        <v>95931</v>
      </c>
      <c r="E140" s="243">
        <f t="shared" si="18"/>
        <v>-35687</v>
      </c>
      <c r="F140" s="244">
        <f t="shared" si="19"/>
        <v>-0.27114072543269158</v>
      </c>
    </row>
    <row r="141" spans="1:6" s="240" customFormat="1" ht="20.25" customHeight="1" x14ac:dyDescent="0.3">
      <c r="A141" s="241"/>
      <c r="B141" s="242" t="s">
        <v>454</v>
      </c>
      <c r="C141" s="243">
        <f>+C132+C134</f>
        <v>57171</v>
      </c>
      <c r="D141" s="243">
        <f>+D132+D134</f>
        <v>31437</v>
      </c>
      <c r="E141" s="243">
        <f t="shared" si="18"/>
        <v>-25734</v>
      </c>
      <c r="F141" s="244">
        <f t="shared" si="19"/>
        <v>-0.45012331426772317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230</v>
      </c>
      <c r="B143" s="231" t="s">
        <v>464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446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447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448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449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385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384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450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451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452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453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454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465</v>
      </c>
      <c r="B156" s="231" t="s">
        <v>466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446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447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448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449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385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384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450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451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452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453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454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467</v>
      </c>
      <c r="B169" s="231" t="s">
        <v>468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446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447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448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449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385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384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450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451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452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453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454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469</v>
      </c>
      <c r="B182" s="231" t="s">
        <v>470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446</v>
      </c>
      <c r="C183" s="237">
        <v>322740</v>
      </c>
      <c r="D183" s="237">
        <v>0</v>
      </c>
      <c r="E183" s="237">
        <f t="shared" ref="E183:E193" si="26">D183-C183</f>
        <v>-322740</v>
      </c>
      <c r="F183" s="238">
        <f t="shared" ref="F183:F193" si="27">IF(C183=0,0,E183/C183)</f>
        <v>-1</v>
      </c>
    </row>
    <row r="184" spans="1:6" ht="20.25" customHeight="1" x14ac:dyDescent="0.3">
      <c r="A184" s="235">
        <v>2</v>
      </c>
      <c r="B184" s="236" t="s">
        <v>447</v>
      </c>
      <c r="C184" s="237">
        <v>162453</v>
      </c>
      <c r="D184" s="237">
        <v>0</v>
      </c>
      <c r="E184" s="237">
        <f t="shared" si="26"/>
        <v>-162453</v>
      </c>
      <c r="F184" s="238">
        <f t="shared" si="27"/>
        <v>-1</v>
      </c>
    </row>
    <row r="185" spans="1:6" ht="20.25" customHeight="1" x14ac:dyDescent="0.3">
      <c r="A185" s="235">
        <v>3</v>
      </c>
      <c r="B185" s="236" t="s">
        <v>448</v>
      </c>
      <c r="C185" s="237">
        <v>92090</v>
      </c>
      <c r="D185" s="237">
        <v>37405</v>
      </c>
      <c r="E185" s="237">
        <f t="shared" si="26"/>
        <v>-54685</v>
      </c>
      <c r="F185" s="238">
        <f t="shared" si="27"/>
        <v>-0.59382126180909978</v>
      </c>
    </row>
    <row r="186" spans="1:6" ht="20.25" customHeight="1" x14ac:dyDescent="0.3">
      <c r="A186" s="235">
        <v>4</v>
      </c>
      <c r="B186" s="236" t="s">
        <v>449</v>
      </c>
      <c r="C186" s="237">
        <v>49514</v>
      </c>
      <c r="D186" s="237">
        <v>9050</v>
      </c>
      <c r="E186" s="237">
        <f t="shared" si="26"/>
        <v>-40464</v>
      </c>
      <c r="F186" s="238">
        <f t="shared" si="27"/>
        <v>-0.81722341156036682</v>
      </c>
    </row>
    <row r="187" spans="1:6" ht="20.25" customHeight="1" x14ac:dyDescent="0.3">
      <c r="A187" s="235">
        <v>5</v>
      </c>
      <c r="B187" s="236" t="s">
        <v>385</v>
      </c>
      <c r="C187" s="239">
        <v>9</v>
      </c>
      <c r="D187" s="239">
        <v>0</v>
      </c>
      <c r="E187" s="239">
        <f t="shared" si="26"/>
        <v>-9</v>
      </c>
      <c r="F187" s="238">
        <f t="shared" si="27"/>
        <v>-1</v>
      </c>
    </row>
    <row r="188" spans="1:6" ht="20.25" customHeight="1" x14ac:dyDescent="0.3">
      <c r="A188" s="235">
        <v>6</v>
      </c>
      <c r="B188" s="236" t="s">
        <v>384</v>
      </c>
      <c r="C188" s="239">
        <v>59</v>
      </c>
      <c r="D188" s="239">
        <v>0</v>
      </c>
      <c r="E188" s="239">
        <f t="shared" si="26"/>
        <v>-59</v>
      </c>
      <c r="F188" s="238">
        <f t="shared" si="27"/>
        <v>-1</v>
      </c>
    </row>
    <row r="189" spans="1:6" ht="20.25" customHeight="1" x14ac:dyDescent="0.3">
      <c r="A189" s="235">
        <v>7</v>
      </c>
      <c r="B189" s="236" t="s">
        <v>450</v>
      </c>
      <c r="C189" s="239">
        <v>40</v>
      </c>
      <c r="D189" s="239">
        <v>8</v>
      </c>
      <c r="E189" s="239">
        <f t="shared" si="26"/>
        <v>-32</v>
      </c>
      <c r="F189" s="238">
        <f t="shared" si="27"/>
        <v>-0.8</v>
      </c>
    </row>
    <row r="190" spans="1:6" ht="20.25" customHeight="1" x14ac:dyDescent="0.3">
      <c r="A190" s="235">
        <v>8</v>
      </c>
      <c r="B190" s="236" t="s">
        <v>451</v>
      </c>
      <c r="C190" s="239">
        <v>18</v>
      </c>
      <c r="D190" s="239">
        <v>5</v>
      </c>
      <c r="E190" s="239">
        <f t="shared" si="26"/>
        <v>-13</v>
      </c>
      <c r="F190" s="238">
        <f t="shared" si="27"/>
        <v>-0.72222222222222221</v>
      </c>
    </row>
    <row r="191" spans="1:6" ht="20.25" customHeight="1" x14ac:dyDescent="0.3">
      <c r="A191" s="235">
        <v>9</v>
      </c>
      <c r="B191" s="236" t="s">
        <v>452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453</v>
      </c>
      <c r="C192" s="243">
        <f>+C183+C185</f>
        <v>414830</v>
      </c>
      <c r="D192" s="243">
        <f>+D183+D185</f>
        <v>37405</v>
      </c>
      <c r="E192" s="243">
        <f t="shared" si="26"/>
        <v>-377425</v>
      </c>
      <c r="F192" s="244">
        <f t="shared" si="27"/>
        <v>-0.90983053298941741</v>
      </c>
    </row>
    <row r="193" spans="1:9" s="240" customFormat="1" ht="20.25" customHeight="1" x14ac:dyDescent="0.3">
      <c r="A193" s="241"/>
      <c r="B193" s="242" t="s">
        <v>454</v>
      </c>
      <c r="C193" s="243">
        <f>+C184+C186</f>
        <v>211967</v>
      </c>
      <c r="D193" s="243">
        <f>+D184+D186</f>
        <v>9050</v>
      </c>
      <c r="E193" s="243">
        <f t="shared" si="26"/>
        <v>-202917</v>
      </c>
      <c r="F193" s="244">
        <f t="shared" si="27"/>
        <v>-0.95730467478428249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471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472</v>
      </c>
      <c r="C198" s="243">
        <f t="shared" ref="C198:D206" si="28">+C183+C170+C157+C144+C131+C118+C105+C92+C79+C66+C53+C40+C27+C14</f>
        <v>14098905</v>
      </c>
      <c r="D198" s="243">
        <f t="shared" si="28"/>
        <v>16128137</v>
      </c>
      <c r="E198" s="243">
        <f t="shared" ref="E198:E208" si="29">D198-C198</f>
        <v>2029232</v>
      </c>
      <c r="F198" s="251">
        <f t="shared" ref="F198:F208" si="30">IF(C198=0,0,E198/C198)</f>
        <v>0.14392834053424716</v>
      </c>
    </row>
    <row r="199" spans="1:9" ht="20.25" customHeight="1" x14ac:dyDescent="0.3">
      <c r="A199" s="249"/>
      <c r="B199" s="250" t="s">
        <v>473</v>
      </c>
      <c r="C199" s="243">
        <f t="shared" si="28"/>
        <v>8121966</v>
      </c>
      <c r="D199" s="243">
        <f t="shared" si="28"/>
        <v>5332698</v>
      </c>
      <c r="E199" s="243">
        <f t="shared" si="29"/>
        <v>-2789268</v>
      </c>
      <c r="F199" s="251">
        <f t="shared" si="30"/>
        <v>-0.34342276241983777</v>
      </c>
    </row>
    <row r="200" spans="1:9" ht="20.25" customHeight="1" x14ac:dyDescent="0.3">
      <c r="A200" s="249"/>
      <c r="B200" s="250" t="s">
        <v>474</v>
      </c>
      <c r="C200" s="243">
        <f t="shared" si="28"/>
        <v>7711728</v>
      </c>
      <c r="D200" s="243">
        <f t="shared" si="28"/>
        <v>9120275</v>
      </c>
      <c r="E200" s="243">
        <f t="shared" si="29"/>
        <v>1408547</v>
      </c>
      <c r="F200" s="251">
        <f t="shared" si="30"/>
        <v>0.18264998454302331</v>
      </c>
    </row>
    <row r="201" spans="1:9" ht="20.25" customHeight="1" x14ac:dyDescent="0.3">
      <c r="A201" s="249"/>
      <c r="B201" s="250" t="s">
        <v>475</v>
      </c>
      <c r="C201" s="243">
        <f t="shared" si="28"/>
        <v>3673571</v>
      </c>
      <c r="D201" s="243">
        <f t="shared" si="28"/>
        <v>2564344</v>
      </c>
      <c r="E201" s="243">
        <f t="shared" si="29"/>
        <v>-1109227</v>
      </c>
      <c r="F201" s="251">
        <f t="shared" si="30"/>
        <v>-0.30194788667484579</v>
      </c>
    </row>
    <row r="202" spans="1:9" ht="20.25" customHeight="1" x14ac:dyDescent="0.3">
      <c r="A202" s="249"/>
      <c r="B202" s="250" t="s">
        <v>476</v>
      </c>
      <c r="C202" s="252">
        <f t="shared" si="28"/>
        <v>479</v>
      </c>
      <c r="D202" s="252">
        <f t="shared" si="28"/>
        <v>542</v>
      </c>
      <c r="E202" s="252">
        <f t="shared" si="29"/>
        <v>63</v>
      </c>
      <c r="F202" s="251">
        <f t="shared" si="30"/>
        <v>0.13152400835073069</v>
      </c>
    </row>
    <row r="203" spans="1:9" ht="20.25" customHeight="1" x14ac:dyDescent="0.3">
      <c r="A203" s="249"/>
      <c r="B203" s="250" t="s">
        <v>477</v>
      </c>
      <c r="C203" s="252">
        <f t="shared" si="28"/>
        <v>2214</v>
      </c>
      <c r="D203" s="252">
        <f t="shared" si="28"/>
        <v>2438</v>
      </c>
      <c r="E203" s="252">
        <f t="shared" si="29"/>
        <v>224</v>
      </c>
      <c r="F203" s="251">
        <f t="shared" si="30"/>
        <v>0.10117434507678411</v>
      </c>
    </row>
    <row r="204" spans="1:9" ht="39.950000000000003" customHeight="1" x14ac:dyDescent="0.3">
      <c r="A204" s="249"/>
      <c r="B204" s="250" t="s">
        <v>478</v>
      </c>
      <c r="C204" s="252">
        <f t="shared" si="28"/>
        <v>3765</v>
      </c>
      <c r="D204" s="252">
        <f t="shared" si="28"/>
        <v>2549</v>
      </c>
      <c r="E204" s="252">
        <f t="shared" si="29"/>
        <v>-1216</v>
      </c>
      <c r="F204" s="251">
        <f t="shared" si="30"/>
        <v>-0.32297476759628152</v>
      </c>
    </row>
    <row r="205" spans="1:9" ht="39.950000000000003" customHeight="1" x14ac:dyDescent="0.3">
      <c r="A205" s="249"/>
      <c r="B205" s="250" t="s">
        <v>479</v>
      </c>
      <c r="C205" s="252">
        <f t="shared" si="28"/>
        <v>1368</v>
      </c>
      <c r="D205" s="252">
        <f t="shared" si="28"/>
        <v>1520</v>
      </c>
      <c r="E205" s="252">
        <f t="shared" si="29"/>
        <v>152</v>
      </c>
      <c r="F205" s="251">
        <f t="shared" si="30"/>
        <v>0.1111111111111111</v>
      </c>
    </row>
    <row r="206" spans="1:9" ht="39.950000000000003" customHeight="1" x14ac:dyDescent="0.3">
      <c r="A206" s="249"/>
      <c r="B206" s="250" t="s">
        <v>480</v>
      </c>
      <c r="C206" s="252">
        <f t="shared" si="28"/>
        <v>0</v>
      </c>
      <c r="D206" s="252">
        <f t="shared" si="28"/>
        <v>0</v>
      </c>
      <c r="E206" s="252">
        <f t="shared" si="29"/>
        <v>0</v>
      </c>
      <c r="F206" s="251">
        <f t="shared" si="30"/>
        <v>0</v>
      </c>
    </row>
    <row r="207" spans="1:9" ht="20.25" customHeight="1" x14ac:dyDescent="0.3">
      <c r="A207" s="249"/>
      <c r="B207" s="242" t="s">
        <v>481</v>
      </c>
      <c r="C207" s="243">
        <f>+C198+C200</f>
        <v>21810633</v>
      </c>
      <c r="D207" s="243">
        <f>+D198+D200</f>
        <v>25248412</v>
      </c>
      <c r="E207" s="243">
        <f t="shared" si="29"/>
        <v>3437779</v>
      </c>
      <c r="F207" s="251">
        <f t="shared" si="30"/>
        <v>0.1576194051772821</v>
      </c>
    </row>
    <row r="208" spans="1:9" ht="20.25" customHeight="1" x14ac:dyDescent="0.3">
      <c r="A208" s="249"/>
      <c r="B208" s="242" t="s">
        <v>482</v>
      </c>
      <c r="C208" s="243">
        <f>+C199+C201</f>
        <v>11795537</v>
      </c>
      <c r="D208" s="243">
        <f>+D199+D201</f>
        <v>7897042</v>
      </c>
      <c r="E208" s="243">
        <f t="shared" si="29"/>
        <v>-3898495</v>
      </c>
      <c r="F208" s="251">
        <f t="shared" si="30"/>
        <v>-0.33050593627064201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FILING&amp;RMILFORD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483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484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449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453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482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485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446</v>
      </c>
      <c r="C26" s="237">
        <v>1387168</v>
      </c>
      <c r="D26" s="237">
        <v>292714</v>
      </c>
      <c r="E26" s="237">
        <f t="shared" ref="E26:E36" si="2">D26-C26</f>
        <v>-1094454</v>
      </c>
      <c r="F26" s="238">
        <f t="shared" ref="F26:F36" si="3">IF(C26=0,0,E26/C26)</f>
        <v>-0.78898446330941885</v>
      </c>
    </row>
    <row r="27" spans="1:6" ht="20.25" customHeight="1" x14ac:dyDescent="0.3">
      <c r="A27" s="235">
        <v>2</v>
      </c>
      <c r="B27" s="236" t="s">
        <v>447</v>
      </c>
      <c r="C27" s="237">
        <v>560549</v>
      </c>
      <c r="D27" s="237">
        <v>100882</v>
      </c>
      <c r="E27" s="237">
        <f t="shared" si="2"/>
        <v>-459667</v>
      </c>
      <c r="F27" s="238">
        <f t="shared" si="3"/>
        <v>-0.82003000629739775</v>
      </c>
    </row>
    <row r="28" spans="1:6" ht="20.25" customHeight="1" x14ac:dyDescent="0.3">
      <c r="A28" s="235">
        <v>3</v>
      </c>
      <c r="B28" s="236" t="s">
        <v>448</v>
      </c>
      <c r="C28" s="237">
        <v>3791977</v>
      </c>
      <c r="D28" s="237">
        <v>974692</v>
      </c>
      <c r="E28" s="237">
        <f t="shared" si="2"/>
        <v>-2817285</v>
      </c>
      <c r="F28" s="238">
        <f t="shared" si="3"/>
        <v>-0.74295941140993205</v>
      </c>
    </row>
    <row r="29" spans="1:6" ht="20.25" customHeight="1" x14ac:dyDescent="0.3">
      <c r="A29" s="235">
        <v>4</v>
      </c>
      <c r="B29" s="236" t="s">
        <v>449</v>
      </c>
      <c r="C29" s="237">
        <v>1162470</v>
      </c>
      <c r="D29" s="237">
        <v>289324</v>
      </c>
      <c r="E29" s="237">
        <f t="shared" si="2"/>
        <v>-873146</v>
      </c>
      <c r="F29" s="238">
        <f t="shared" si="3"/>
        <v>-0.75111271688731751</v>
      </c>
    </row>
    <row r="30" spans="1:6" ht="20.25" customHeight="1" x14ac:dyDescent="0.3">
      <c r="A30" s="235">
        <v>5</v>
      </c>
      <c r="B30" s="236" t="s">
        <v>385</v>
      </c>
      <c r="C30" s="239">
        <v>182</v>
      </c>
      <c r="D30" s="239">
        <v>35</v>
      </c>
      <c r="E30" s="239">
        <f t="shared" si="2"/>
        <v>-147</v>
      </c>
      <c r="F30" s="238">
        <f t="shared" si="3"/>
        <v>-0.80769230769230771</v>
      </c>
    </row>
    <row r="31" spans="1:6" ht="20.25" customHeight="1" x14ac:dyDescent="0.3">
      <c r="A31" s="235">
        <v>6</v>
      </c>
      <c r="B31" s="236" t="s">
        <v>384</v>
      </c>
      <c r="C31" s="239">
        <v>522</v>
      </c>
      <c r="D31" s="239">
        <v>104</v>
      </c>
      <c r="E31" s="239">
        <f t="shared" si="2"/>
        <v>-418</v>
      </c>
      <c r="F31" s="238">
        <f t="shared" si="3"/>
        <v>-0.8007662835249042</v>
      </c>
    </row>
    <row r="32" spans="1:6" ht="20.25" customHeight="1" x14ac:dyDescent="0.3">
      <c r="A32" s="235">
        <v>7</v>
      </c>
      <c r="B32" s="236" t="s">
        <v>450</v>
      </c>
      <c r="C32" s="239">
        <v>1098</v>
      </c>
      <c r="D32" s="239">
        <v>366</v>
      </c>
      <c r="E32" s="239">
        <f t="shared" si="2"/>
        <v>-732</v>
      </c>
      <c r="F32" s="238">
        <f t="shared" si="3"/>
        <v>-0.66666666666666663</v>
      </c>
    </row>
    <row r="33" spans="1:6" ht="20.25" customHeight="1" x14ac:dyDescent="0.3">
      <c r="A33" s="235">
        <v>8</v>
      </c>
      <c r="B33" s="236" t="s">
        <v>451</v>
      </c>
      <c r="C33" s="239">
        <v>2760</v>
      </c>
      <c r="D33" s="239">
        <v>639</v>
      </c>
      <c r="E33" s="239">
        <f t="shared" si="2"/>
        <v>-2121</v>
      </c>
      <c r="F33" s="238">
        <f t="shared" si="3"/>
        <v>-0.76847826086956517</v>
      </c>
    </row>
    <row r="34" spans="1:6" ht="20.25" customHeight="1" x14ac:dyDescent="0.3">
      <c r="A34" s="235">
        <v>9</v>
      </c>
      <c r="B34" s="236" t="s">
        <v>452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s="240" customFormat="1" ht="39.950000000000003" customHeight="1" x14ac:dyDescent="0.3">
      <c r="A35" s="245"/>
      <c r="B35" s="242" t="s">
        <v>453</v>
      </c>
      <c r="C35" s="243">
        <f>+C26+C28</f>
        <v>5179145</v>
      </c>
      <c r="D35" s="243">
        <f>+D26+D28</f>
        <v>1267406</v>
      </c>
      <c r="E35" s="243">
        <f t="shared" si="2"/>
        <v>-3911739</v>
      </c>
      <c r="F35" s="244">
        <f t="shared" si="3"/>
        <v>-0.75528663514923799</v>
      </c>
    </row>
    <row r="36" spans="1:6" s="240" customFormat="1" ht="39.950000000000003" customHeight="1" x14ac:dyDescent="0.3">
      <c r="A36" s="245"/>
      <c r="B36" s="242" t="s">
        <v>482</v>
      </c>
      <c r="C36" s="243">
        <f>+C27+C29</f>
        <v>1723019</v>
      </c>
      <c r="D36" s="243">
        <f>+D27+D29</f>
        <v>390206</v>
      </c>
      <c r="E36" s="243">
        <f t="shared" si="2"/>
        <v>-1332813</v>
      </c>
      <c r="F36" s="244">
        <f t="shared" si="3"/>
        <v>-0.77353354780185246</v>
      </c>
    </row>
    <row r="37" spans="1:6" ht="42" customHeight="1" x14ac:dyDescent="0.3">
      <c r="A37" s="227" t="s">
        <v>141</v>
      </c>
      <c r="B37" s="261" t="s">
        <v>486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446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447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448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449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385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384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450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451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452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453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482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487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446</v>
      </c>
      <c r="C50" s="237">
        <v>1578659</v>
      </c>
      <c r="D50" s="237">
        <v>1152144</v>
      </c>
      <c r="E50" s="237">
        <f t="shared" ref="E50:E60" si="6">D50-C50</f>
        <v>-426515</v>
      </c>
      <c r="F50" s="238">
        <f t="shared" ref="F50:F60" si="7">IF(C50=0,0,E50/C50)</f>
        <v>-0.27017550972059196</v>
      </c>
    </row>
    <row r="51" spans="1:6" ht="20.25" customHeight="1" x14ac:dyDescent="0.3">
      <c r="A51" s="235">
        <v>2</v>
      </c>
      <c r="B51" s="236" t="s">
        <v>447</v>
      </c>
      <c r="C51" s="237">
        <v>534093</v>
      </c>
      <c r="D51" s="237">
        <v>400197</v>
      </c>
      <c r="E51" s="237">
        <f t="shared" si="6"/>
        <v>-133896</v>
      </c>
      <c r="F51" s="238">
        <f t="shared" si="7"/>
        <v>-0.25069791216136517</v>
      </c>
    </row>
    <row r="52" spans="1:6" ht="20.25" customHeight="1" x14ac:dyDescent="0.3">
      <c r="A52" s="235">
        <v>3</v>
      </c>
      <c r="B52" s="236" t="s">
        <v>448</v>
      </c>
      <c r="C52" s="237">
        <v>3234213</v>
      </c>
      <c r="D52" s="237">
        <v>6256931</v>
      </c>
      <c r="E52" s="237">
        <f t="shared" si="6"/>
        <v>3022718</v>
      </c>
      <c r="F52" s="238">
        <f t="shared" si="7"/>
        <v>0.93460696620785333</v>
      </c>
    </row>
    <row r="53" spans="1:6" ht="20.25" customHeight="1" x14ac:dyDescent="0.3">
      <c r="A53" s="235">
        <v>4</v>
      </c>
      <c r="B53" s="236" t="s">
        <v>449</v>
      </c>
      <c r="C53" s="237">
        <v>879673</v>
      </c>
      <c r="D53" s="237">
        <v>1730460</v>
      </c>
      <c r="E53" s="237">
        <f t="shared" si="6"/>
        <v>850787</v>
      </c>
      <c r="F53" s="238">
        <f t="shared" si="7"/>
        <v>0.96716279799425464</v>
      </c>
    </row>
    <row r="54" spans="1:6" ht="20.25" customHeight="1" x14ac:dyDescent="0.3">
      <c r="A54" s="235">
        <v>5</v>
      </c>
      <c r="B54" s="236" t="s">
        <v>385</v>
      </c>
      <c r="C54" s="239">
        <v>156</v>
      </c>
      <c r="D54" s="239">
        <v>109</v>
      </c>
      <c r="E54" s="239">
        <f t="shared" si="6"/>
        <v>-47</v>
      </c>
      <c r="F54" s="238">
        <f t="shared" si="7"/>
        <v>-0.30128205128205127</v>
      </c>
    </row>
    <row r="55" spans="1:6" ht="20.25" customHeight="1" x14ac:dyDescent="0.3">
      <c r="A55" s="235">
        <v>6</v>
      </c>
      <c r="B55" s="236" t="s">
        <v>384</v>
      </c>
      <c r="C55" s="239">
        <v>462</v>
      </c>
      <c r="D55" s="239">
        <v>289</v>
      </c>
      <c r="E55" s="239">
        <f t="shared" si="6"/>
        <v>-173</v>
      </c>
      <c r="F55" s="238">
        <f t="shared" si="7"/>
        <v>-0.37445887445887444</v>
      </c>
    </row>
    <row r="56" spans="1:6" ht="20.25" customHeight="1" x14ac:dyDescent="0.3">
      <c r="A56" s="235">
        <v>7</v>
      </c>
      <c r="B56" s="236" t="s">
        <v>450</v>
      </c>
      <c r="C56" s="239">
        <v>1015</v>
      </c>
      <c r="D56" s="239">
        <v>1010</v>
      </c>
      <c r="E56" s="239">
        <f t="shared" si="6"/>
        <v>-5</v>
      </c>
      <c r="F56" s="238">
        <f t="shared" si="7"/>
        <v>-4.9261083743842365E-3</v>
      </c>
    </row>
    <row r="57" spans="1:6" ht="20.25" customHeight="1" x14ac:dyDescent="0.3">
      <c r="A57" s="235">
        <v>8</v>
      </c>
      <c r="B57" s="236" t="s">
        <v>451</v>
      </c>
      <c r="C57" s="239">
        <v>2234</v>
      </c>
      <c r="D57" s="239">
        <v>4135</v>
      </c>
      <c r="E57" s="239">
        <f t="shared" si="6"/>
        <v>1901</v>
      </c>
      <c r="F57" s="238">
        <f t="shared" si="7"/>
        <v>0.85094001790510299</v>
      </c>
    </row>
    <row r="58" spans="1:6" ht="20.25" customHeight="1" x14ac:dyDescent="0.3">
      <c r="A58" s="235">
        <v>9</v>
      </c>
      <c r="B58" s="236" t="s">
        <v>452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453</v>
      </c>
      <c r="C59" s="243">
        <f>+C50+C52</f>
        <v>4812872</v>
      </c>
      <c r="D59" s="243">
        <f>+D50+D52</f>
        <v>7409075</v>
      </c>
      <c r="E59" s="243">
        <f t="shared" si="6"/>
        <v>2596203</v>
      </c>
      <c r="F59" s="244">
        <f t="shared" si="7"/>
        <v>0.53942905608127534</v>
      </c>
    </row>
    <row r="60" spans="1:6" s="240" customFormat="1" ht="39.950000000000003" customHeight="1" x14ac:dyDescent="0.3">
      <c r="A60" s="245"/>
      <c r="B60" s="242" t="s">
        <v>482</v>
      </c>
      <c r="C60" s="243">
        <f>+C51+C53</f>
        <v>1413766</v>
      </c>
      <c r="D60" s="243">
        <f>+D51+D53</f>
        <v>2130657</v>
      </c>
      <c r="E60" s="243">
        <f t="shared" si="6"/>
        <v>716891</v>
      </c>
      <c r="F60" s="244">
        <f t="shared" si="7"/>
        <v>0.50707896497723104</v>
      </c>
    </row>
    <row r="61" spans="1:6" ht="42" customHeight="1" x14ac:dyDescent="0.3">
      <c r="A61" s="227" t="s">
        <v>176</v>
      </c>
      <c r="B61" s="261" t="s">
        <v>461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446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447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448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449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385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384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450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451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452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453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482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488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446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447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448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449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385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384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450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451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452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453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482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489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446</v>
      </c>
      <c r="C86" s="237">
        <v>0</v>
      </c>
      <c r="D86" s="237">
        <v>0</v>
      </c>
      <c r="E86" s="237">
        <f t="shared" ref="E86:E96" si="12">D86-C86</f>
        <v>0</v>
      </c>
      <c r="F86" s="238">
        <f t="shared" ref="F86:F96" si="13">IF(C86=0,0,E86/C86)</f>
        <v>0</v>
      </c>
    </row>
    <row r="87" spans="1:6" ht="20.25" customHeight="1" x14ac:dyDescent="0.3">
      <c r="A87" s="235">
        <v>2</v>
      </c>
      <c r="B87" s="236" t="s">
        <v>447</v>
      </c>
      <c r="C87" s="237">
        <v>0</v>
      </c>
      <c r="D87" s="237">
        <v>0</v>
      </c>
      <c r="E87" s="237">
        <f t="shared" si="12"/>
        <v>0</v>
      </c>
      <c r="F87" s="238">
        <f t="shared" si="13"/>
        <v>0</v>
      </c>
    </row>
    <row r="88" spans="1:6" ht="20.25" customHeight="1" x14ac:dyDescent="0.3">
      <c r="A88" s="235">
        <v>3</v>
      </c>
      <c r="B88" s="236" t="s">
        <v>448</v>
      </c>
      <c r="C88" s="237">
        <v>0</v>
      </c>
      <c r="D88" s="237">
        <v>0</v>
      </c>
      <c r="E88" s="237">
        <f t="shared" si="12"/>
        <v>0</v>
      </c>
      <c r="F88" s="238">
        <f t="shared" si="13"/>
        <v>0</v>
      </c>
    </row>
    <row r="89" spans="1:6" ht="20.25" customHeight="1" x14ac:dyDescent="0.3">
      <c r="A89" s="235">
        <v>4</v>
      </c>
      <c r="B89" s="236" t="s">
        <v>449</v>
      </c>
      <c r="C89" s="237">
        <v>0</v>
      </c>
      <c r="D89" s="237">
        <v>0</v>
      </c>
      <c r="E89" s="237">
        <f t="shared" si="12"/>
        <v>0</v>
      </c>
      <c r="F89" s="238">
        <f t="shared" si="13"/>
        <v>0</v>
      </c>
    </row>
    <row r="90" spans="1:6" ht="20.25" customHeight="1" x14ac:dyDescent="0.3">
      <c r="A90" s="235">
        <v>5</v>
      </c>
      <c r="B90" s="236" t="s">
        <v>385</v>
      </c>
      <c r="C90" s="239">
        <v>0</v>
      </c>
      <c r="D90" s="239">
        <v>0</v>
      </c>
      <c r="E90" s="239">
        <f t="shared" si="12"/>
        <v>0</v>
      </c>
      <c r="F90" s="238">
        <f t="shared" si="13"/>
        <v>0</v>
      </c>
    </row>
    <row r="91" spans="1:6" ht="20.25" customHeight="1" x14ac:dyDescent="0.3">
      <c r="A91" s="235">
        <v>6</v>
      </c>
      <c r="B91" s="236" t="s">
        <v>384</v>
      </c>
      <c r="C91" s="239">
        <v>0</v>
      </c>
      <c r="D91" s="239">
        <v>0</v>
      </c>
      <c r="E91" s="239">
        <f t="shared" si="12"/>
        <v>0</v>
      </c>
      <c r="F91" s="238">
        <f t="shared" si="13"/>
        <v>0</v>
      </c>
    </row>
    <row r="92" spans="1:6" ht="20.25" customHeight="1" x14ac:dyDescent="0.3">
      <c r="A92" s="235">
        <v>7</v>
      </c>
      <c r="B92" s="236" t="s">
        <v>450</v>
      </c>
      <c r="C92" s="239">
        <v>0</v>
      </c>
      <c r="D92" s="239">
        <v>0</v>
      </c>
      <c r="E92" s="239">
        <f t="shared" si="12"/>
        <v>0</v>
      </c>
      <c r="F92" s="238">
        <f t="shared" si="13"/>
        <v>0</v>
      </c>
    </row>
    <row r="93" spans="1:6" ht="20.25" customHeight="1" x14ac:dyDescent="0.3">
      <c r="A93" s="235">
        <v>8</v>
      </c>
      <c r="B93" s="236" t="s">
        <v>451</v>
      </c>
      <c r="C93" s="239">
        <v>0</v>
      </c>
      <c r="D93" s="239">
        <v>0</v>
      </c>
      <c r="E93" s="239">
        <f t="shared" si="12"/>
        <v>0</v>
      </c>
      <c r="F93" s="238">
        <f t="shared" si="13"/>
        <v>0</v>
      </c>
    </row>
    <row r="94" spans="1:6" ht="20.25" customHeight="1" x14ac:dyDescent="0.3">
      <c r="A94" s="235">
        <v>9</v>
      </c>
      <c r="B94" s="236" t="s">
        <v>452</v>
      </c>
      <c r="C94" s="239">
        <v>0</v>
      </c>
      <c r="D94" s="239">
        <v>0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453</v>
      </c>
      <c r="C95" s="243">
        <f>+C86+C88</f>
        <v>0</v>
      </c>
      <c r="D95" s="243">
        <f>+D86+D88</f>
        <v>0</v>
      </c>
      <c r="E95" s="243">
        <f t="shared" si="12"/>
        <v>0</v>
      </c>
      <c r="F95" s="244">
        <f t="shared" si="13"/>
        <v>0</v>
      </c>
    </row>
    <row r="96" spans="1:6" s="240" customFormat="1" ht="39.950000000000003" customHeight="1" x14ac:dyDescent="0.3">
      <c r="A96" s="245"/>
      <c r="B96" s="242" t="s">
        <v>482</v>
      </c>
      <c r="C96" s="243">
        <f>+C87+C89</f>
        <v>0</v>
      </c>
      <c r="D96" s="243">
        <f>+D87+D89</f>
        <v>0</v>
      </c>
      <c r="E96" s="243">
        <f t="shared" si="12"/>
        <v>0</v>
      </c>
      <c r="F96" s="244">
        <f t="shared" si="13"/>
        <v>0</v>
      </c>
    </row>
    <row r="97" spans="1:7" ht="42" customHeight="1" x14ac:dyDescent="0.3">
      <c r="A97" s="227" t="s">
        <v>187</v>
      </c>
      <c r="B97" s="261" t="s">
        <v>462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446</v>
      </c>
      <c r="C98" s="237">
        <v>0</v>
      </c>
      <c r="D98" s="237">
        <v>183303</v>
      </c>
      <c r="E98" s="237">
        <f t="shared" ref="E98:E108" si="14">D98-C98</f>
        <v>183303</v>
      </c>
      <c r="F98" s="238">
        <f t="shared" ref="F98:F108" si="15">IF(C98=0,0,E98/C98)</f>
        <v>0</v>
      </c>
    </row>
    <row r="99" spans="1:7" ht="20.25" customHeight="1" x14ac:dyDescent="0.3">
      <c r="A99" s="235">
        <v>2</v>
      </c>
      <c r="B99" s="236" t="s">
        <v>447</v>
      </c>
      <c r="C99" s="237">
        <v>0</v>
      </c>
      <c r="D99" s="237">
        <v>39680</v>
      </c>
      <c r="E99" s="237">
        <f t="shared" si="14"/>
        <v>39680</v>
      </c>
      <c r="F99" s="238">
        <f t="shared" si="15"/>
        <v>0</v>
      </c>
    </row>
    <row r="100" spans="1:7" ht="20.25" customHeight="1" x14ac:dyDescent="0.3">
      <c r="A100" s="235">
        <v>3</v>
      </c>
      <c r="B100" s="236" t="s">
        <v>448</v>
      </c>
      <c r="C100" s="237">
        <v>0</v>
      </c>
      <c r="D100" s="237">
        <v>717596</v>
      </c>
      <c r="E100" s="237">
        <f t="shared" si="14"/>
        <v>717596</v>
      </c>
      <c r="F100" s="238">
        <f t="shared" si="15"/>
        <v>0</v>
      </c>
    </row>
    <row r="101" spans="1:7" ht="20.25" customHeight="1" x14ac:dyDescent="0.3">
      <c r="A101" s="235">
        <v>4</v>
      </c>
      <c r="B101" s="236" t="s">
        <v>449</v>
      </c>
      <c r="C101" s="237">
        <v>0</v>
      </c>
      <c r="D101" s="237">
        <v>200695</v>
      </c>
      <c r="E101" s="237">
        <f t="shared" si="14"/>
        <v>200695</v>
      </c>
      <c r="F101" s="238">
        <f t="shared" si="15"/>
        <v>0</v>
      </c>
    </row>
    <row r="102" spans="1:7" ht="20.25" customHeight="1" x14ac:dyDescent="0.3">
      <c r="A102" s="235">
        <v>5</v>
      </c>
      <c r="B102" s="236" t="s">
        <v>385</v>
      </c>
      <c r="C102" s="239">
        <v>0</v>
      </c>
      <c r="D102" s="239">
        <v>15</v>
      </c>
      <c r="E102" s="239">
        <f t="shared" si="14"/>
        <v>15</v>
      </c>
      <c r="F102" s="238">
        <f t="shared" si="15"/>
        <v>0</v>
      </c>
    </row>
    <row r="103" spans="1:7" ht="20.25" customHeight="1" x14ac:dyDescent="0.3">
      <c r="A103" s="235">
        <v>6</v>
      </c>
      <c r="B103" s="236" t="s">
        <v>384</v>
      </c>
      <c r="C103" s="239">
        <v>0</v>
      </c>
      <c r="D103" s="239">
        <v>41</v>
      </c>
      <c r="E103" s="239">
        <f t="shared" si="14"/>
        <v>41</v>
      </c>
      <c r="F103" s="238">
        <f t="shared" si="15"/>
        <v>0</v>
      </c>
    </row>
    <row r="104" spans="1:7" ht="20.25" customHeight="1" x14ac:dyDescent="0.3">
      <c r="A104" s="235">
        <v>7</v>
      </c>
      <c r="B104" s="236" t="s">
        <v>450</v>
      </c>
      <c r="C104" s="239">
        <v>0</v>
      </c>
      <c r="D104" s="239">
        <v>173</v>
      </c>
      <c r="E104" s="239">
        <f t="shared" si="14"/>
        <v>173</v>
      </c>
      <c r="F104" s="238">
        <f t="shared" si="15"/>
        <v>0</v>
      </c>
    </row>
    <row r="105" spans="1:7" ht="20.25" customHeight="1" x14ac:dyDescent="0.3">
      <c r="A105" s="235">
        <v>8</v>
      </c>
      <c r="B105" s="236" t="s">
        <v>451</v>
      </c>
      <c r="C105" s="239">
        <v>0</v>
      </c>
      <c r="D105" s="239">
        <v>431</v>
      </c>
      <c r="E105" s="239">
        <f t="shared" si="14"/>
        <v>431</v>
      </c>
      <c r="F105" s="238">
        <f t="shared" si="15"/>
        <v>0</v>
      </c>
    </row>
    <row r="106" spans="1:7" ht="20.25" customHeight="1" x14ac:dyDescent="0.3">
      <c r="A106" s="235">
        <v>9</v>
      </c>
      <c r="B106" s="236" t="s">
        <v>452</v>
      </c>
      <c r="C106" s="239">
        <v>0</v>
      </c>
      <c r="D106" s="239">
        <v>0</v>
      </c>
      <c r="E106" s="239">
        <f t="shared" si="14"/>
        <v>0</v>
      </c>
      <c r="F106" s="238">
        <f t="shared" si="15"/>
        <v>0</v>
      </c>
    </row>
    <row r="107" spans="1:7" s="240" customFormat="1" ht="39.950000000000003" customHeight="1" x14ac:dyDescent="0.3">
      <c r="A107" s="245"/>
      <c r="B107" s="242" t="s">
        <v>453</v>
      </c>
      <c r="C107" s="243">
        <f>+C98+C100</f>
        <v>0</v>
      </c>
      <c r="D107" s="243">
        <f>+D98+D100</f>
        <v>900899</v>
      </c>
      <c r="E107" s="243">
        <f t="shared" si="14"/>
        <v>900899</v>
      </c>
      <c r="F107" s="244">
        <f t="shared" si="15"/>
        <v>0</v>
      </c>
    </row>
    <row r="108" spans="1:7" s="240" customFormat="1" ht="39.950000000000003" customHeight="1" x14ac:dyDescent="0.3">
      <c r="A108" s="245"/>
      <c r="B108" s="242" t="s">
        <v>482</v>
      </c>
      <c r="C108" s="243">
        <f>+C99+C101</f>
        <v>0</v>
      </c>
      <c r="D108" s="243">
        <f>+D99+D101</f>
        <v>240375</v>
      </c>
      <c r="E108" s="243">
        <f t="shared" si="14"/>
        <v>240375</v>
      </c>
      <c r="F108" s="244">
        <f t="shared" si="15"/>
        <v>0</v>
      </c>
    </row>
    <row r="109" spans="1:7" s="240" customFormat="1" ht="20.25" customHeight="1" x14ac:dyDescent="0.3">
      <c r="A109" s="688" t="s">
        <v>44</v>
      </c>
      <c r="B109" s="689" t="s">
        <v>490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472</v>
      </c>
      <c r="C112" s="243">
        <f t="shared" ref="C112:D120" si="16">+C98+C86+C74+C62+C50+C38+C26+C14</f>
        <v>2965827</v>
      </c>
      <c r="D112" s="243">
        <f t="shared" si="16"/>
        <v>1628161</v>
      </c>
      <c r="E112" s="243">
        <f t="shared" ref="E112:E122" si="17">D112-C112</f>
        <v>-1337666</v>
      </c>
      <c r="F112" s="244">
        <f t="shared" ref="F112:F122" si="18">IF(C112=0,0,E112/C112)</f>
        <v>-0.45102630733350257</v>
      </c>
    </row>
    <row r="113" spans="1:6" ht="20.25" customHeight="1" x14ac:dyDescent="0.3">
      <c r="A113" s="249"/>
      <c r="B113" s="250" t="s">
        <v>473</v>
      </c>
      <c r="C113" s="243">
        <f t="shared" si="16"/>
        <v>1094642</v>
      </c>
      <c r="D113" s="243">
        <f t="shared" si="16"/>
        <v>540759</v>
      </c>
      <c r="E113" s="243">
        <f t="shared" si="17"/>
        <v>-553883</v>
      </c>
      <c r="F113" s="244">
        <f t="shared" si="18"/>
        <v>-0.50599465395992482</v>
      </c>
    </row>
    <row r="114" spans="1:6" ht="20.25" customHeight="1" x14ac:dyDescent="0.3">
      <c r="A114" s="249"/>
      <c r="B114" s="250" t="s">
        <v>474</v>
      </c>
      <c r="C114" s="243">
        <f t="shared" si="16"/>
        <v>7026190</v>
      </c>
      <c r="D114" s="243">
        <f t="shared" si="16"/>
        <v>7949219</v>
      </c>
      <c r="E114" s="243">
        <f t="shared" si="17"/>
        <v>923029</v>
      </c>
      <c r="F114" s="244">
        <f t="shared" si="18"/>
        <v>0.13136977508436293</v>
      </c>
    </row>
    <row r="115" spans="1:6" ht="20.25" customHeight="1" x14ac:dyDescent="0.3">
      <c r="A115" s="249"/>
      <c r="B115" s="250" t="s">
        <v>475</v>
      </c>
      <c r="C115" s="243">
        <f t="shared" si="16"/>
        <v>2042143</v>
      </c>
      <c r="D115" s="243">
        <f t="shared" si="16"/>
        <v>2220479</v>
      </c>
      <c r="E115" s="243">
        <f t="shared" si="17"/>
        <v>178336</v>
      </c>
      <c r="F115" s="244">
        <f t="shared" si="18"/>
        <v>8.7327870771047866E-2</v>
      </c>
    </row>
    <row r="116" spans="1:6" ht="20.25" customHeight="1" x14ac:dyDescent="0.3">
      <c r="A116" s="249"/>
      <c r="B116" s="250" t="s">
        <v>476</v>
      </c>
      <c r="C116" s="252">
        <f t="shared" si="16"/>
        <v>338</v>
      </c>
      <c r="D116" s="252">
        <f t="shared" si="16"/>
        <v>159</v>
      </c>
      <c r="E116" s="252">
        <f t="shared" si="17"/>
        <v>-179</v>
      </c>
      <c r="F116" s="244">
        <f t="shared" si="18"/>
        <v>-0.52958579881656809</v>
      </c>
    </row>
    <row r="117" spans="1:6" ht="20.25" customHeight="1" x14ac:dyDescent="0.3">
      <c r="A117" s="249"/>
      <c r="B117" s="250" t="s">
        <v>477</v>
      </c>
      <c r="C117" s="252">
        <f t="shared" si="16"/>
        <v>984</v>
      </c>
      <c r="D117" s="252">
        <f t="shared" si="16"/>
        <v>434</v>
      </c>
      <c r="E117" s="252">
        <f t="shared" si="17"/>
        <v>-550</v>
      </c>
      <c r="F117" s="244">
        <f t="shared" si="18"/>
        <v>-0.55894308943089432</v>
      </c>
    </row>
    <row r="118" spans="1:6" ht="39.950000000000003" customHeight="1" x14ac:dyDescent="0.3">
      <c r="A118" s="249"/>
      <c r="B118" s="250" t="s">
        <v>478</v>
      </c>
      <c r="C118" s="252">
        <f t="shared" si="16"/>
        <v>2113</v>
      </c>
      <c r="D118" s="252">
        <f t="shared" si="16"/>
        <v>1549</v>
      </c>
      <c r="E118" s="252">
        <f t="shared" si="17"/>
        <v>-564</v>
      </c>
      <c r="F118" s="244">
        <f t="shared" si="18"/>
        <v>-0.26691907240889728</v>
      </c>
    </row>
    <row r="119" spans="1:6" ht="39.950000000000003" customHeight="1" x14ac:dyDescent="0.3">
      <c r="A119" s="249"/>
      <c r="B119" s="250" t="s">
        <v>479</v>
      </c>
      <c r="C119" s="252">
        <f t="shared" si="16"/>
        <v>4994</v>
      </c>
      <c r="D119" s="252">
        <f t="shared" si="16"/>
        <v>5205</v>
      </c>
      <c r="E119" s="252">
        <f t="shared" si="17"/>
        <v>211</v>
      </c>
      <c r="F119" s="244">
        <f t="shared" si="18"/>
        <v>4.2250700841009209E-2</v>
      </c>
    </row>
    <row r="120" spans="1:6" ht="39.950000000000003" customHeight="1" x14ac:dyDescent="0.3">
      <c r="A120" s="249"/>
      <c r="B120" s="250" t="s">
        <v>480</v>
      </c>
      <c r="C120" s="252">
        <f t="shared" si="16"/>
        <v>0</v>
      </c>
      <c r="D120" s="252">
        <f t="shared" si="16"/>
        <v>0</v>
      </c>
      <c r="E120" s="252">
        <f t="shared" si="17"/>
        <v>0</v>
      </c>
      <c r="F120" s="244">
        <f t="shared" si="18"/>
        <v>0</v>
      </c>
    </row>
    <row r="121" spans="1:6" ht="39.950000000000003" customHeight="1" x14ac:dyDescent="0.3">
      <c r="A121" s="249"/>
      <c r="B121" s="242" t="s">
        <v>453</v>
      </c>
      <c r="C121" s="243">
        <f>+C112+C114</f>
        <v>9992017</v>
      </c>
      <c r="D121" s="243">
        <f>+D112+D114</f>
        <v>9577380</v>
      </c>
      <c r="E121" s="243">
        <f t="shared" si="17"/>
        <v>-414637</v>
      </c>
      <c r="F121" s="244">
        <f t="shared" si="18"/>
        <v>-4.1496826916927784E-2</v>
      </c>
    </row>
    <row r="122" spans="1:6" ht="39.950000000000003" customHeight="1" x14ac:dyDescent="0.3">
      <c r="A122" s="249"/>
      <c r="B122" s="242" t="s">
        <v>482</v>
      </c>
      <c r="C122" s="243">
        <f>+C113+C115</f>
        <v>3136785</v>
      </c>
      <c r="D122" s="243">
        <f>+D113+D115</f>
        <v>2761238</v>
      </c>
      <c r="E122" s="243">
        <f t="shared" si="17"/>
        <v>-375547</v>
      </c>
      <c r="F122" s="244">
        <f t="shared" si="18"/>
        <v>-0.11972353859126462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FILING&amp;RMILFORD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491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492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2404819</v>
      </c>
      <c r="D13" s="23">
        <v>1579650</v>
      </c>
      <c r="E13" s="23">
        <f t="shared" ref="E13:E22" si="0">D13-C13</f>
        <v>-825169</v>
      </c>
      <c r="F13" s="24">
        <f t="shared" ref="F13:F22" si="1">IF(C13=0,0,E13/C13)</f>
        <v>-0.34313143733478485</v>
      </c>
    </row>
    <row r="14" spans="1:8" ht="24" customHeight="1" x14ac:dyDescent="0.2">
      <c r="A14" s="21">
        <v>2</v>
      </c>
      <c r="B14" s="22" t="s">
        <v>17</v>
      </c>
      <c r="C14" s="23">
        <v>225915</v>
      </c>
      <c r="D14" s="23">
        <v>226782</v>
      </c>
      <c r="E14" s="23">
        <f t="shared" si="0"/>
        <v>867</v>
      </c>
      <c r="F14" s="24">
        <f t="shared" si="1"/>
        <v>3.8377265785804397E-3</v>
      </c>
    </row>
    <row r="15" spans="1:8" ht="35.1" customHeight="1" x14ac:dyDescent="0.2">
      <c r="A15" s="21">
        <v>3</v>
      </c>
      <c r="B15" s="22" t="s">
        <v>18</v>
      </c>
      <c r="C15" s="23">
        <v>13593372</v>
      </c>
      <c r="D15" s="23">
        <v>13057002</v>
      </c>
      <c r="E15" s="23">
        <f t="shared" si="0"/>
        <v>-536370</v>
      </c>
      <c r="F15" s="24">
        <f t="shared" si="1"/>
        <v>-3.945820065837969E-2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774644</v>
      </c>
      <c r="D19" s="23">
        <v>861132</v>
      </c>
      <c r="E19" s="23">
        <f t="shared" si="0"/>
        <v>86488</v>
      </c>
      <c r="F19" s="24">
        <f t="shared" si="1"/>
        <v>0.11164870572805057</v>
      </c>
    </row>
    <row r="20" spans="1:11" ht="24" customHeight="1" x14ac:dyDescent="0.2">
      <c r="A20" s="21">
        <v>8</v>
      </c>
      <c r="B20" s="22" t="s">
        <v>23</v>
      </c>
      <c r="C20" s="23">
        <v>853110</v>
      </c>
      <c r="D20" s="23">
        <v>1666727</v>
      </c>
      <c r="E20" s="23">
        <f t="shared" si="0"/>
        <v>813617</v>
      </c>
      <c r="F20" s="24">
        <f t="shared" si="1"/>
        <v>0.95370702488541925</v>
      </c>
    </row>
    <row r="21" spans="1:11" ht="24" customHeight="1" x14ac:dyDescent="0.2">
      <c r="A21" s="21">
        <v>9</v>
      </c>
      <c r="B21" s="22" t="s">
        <v>24</v>
      </c>
      <c r="C21" s="23">
        <v>720968</v>
      </c>
      <c r="D21" s="23">
        <v>780877</v>
      </c>
      <c r="E21" s="23">
        <f t="shared" si="0"/>
        <v>59909</v>
      </c>
      <c r="F21" s="24">
        <f t="shared" si="1"/>
        <v>8.3095227527435339E-2</v>
      </c>
    </row>
    <row r="22" spans="1:11" ht="24" customHeight="1" x14ac:dyDescent="0.25">
      <c r="A22" s="25"/>
      <c r="B22" s="26" t="s">
        <v>25</v>
      </c>
      <c r="C22" s="27">
        <f>SUM(C13:C21)</f>
        <v>18572828</v>
      </c>
      <c r="D22" s="27">
        <f>SUM(D13:D21)</f>
        <v>18172170</v>
      </c>
      <c r="E22" s="27">
        <f t="shared" si="0"/>
        <v>-400658</v>
      </c>
      <c r="F22" s="28">
        <f t="shared" si="1"/>
        <v>-2.1572266754422104E-2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727662</v>
      </c>
      <c r="D25" s="23">
        <v>761871</v>
      </c>
      <c r="E25" s="23">
        <f>D25-C25</f>
        <v>34209</v>
      </c>
      <c r="F25" s="24">
        <f>IF(C25=0,0,E25/C25)</f>
        <v>4.7012211713680252E-2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1191309</v>
      </c>
      <c r="D28" s="23">
        <v>1059414</v>
      </c>
      <c r="E28" s="23">
        <f>D28-C28</f>
        <v>-131895</v>
      </c>
      <c r="F28" s="24">
        <f>IF(C28=0,0,E28/C28)</f>
        <v>-0.11071434867024424</v>
      </c>
    </row>
    <row r="29" spans="1:11" ht="35.1" customHeight="1" x14ac:dyDescent="0.25">
      <c r="A29" s="25"/>
      <c r="B29" s="26" t="s">
        <v>32</v>
      </c>
      <c r="C29" s="27">
        <f>SUM(C25:C28)</f>
        <v>1918971</v>
      </c>
      <c r="D29" s="27">
        <f>SUM(D25:D28)</f>
        <v>1821285</v>
      </c>
      <c r="E29" s="27">
        <f>D29-C29</f>
        <v>-97686</v>
      </c>
      <c r="F29" s="28">
        <f>IF(C29=0,0,E29/C29)</f>
        <v>-5.0905407116626569E-2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21045558</v>
      </c>
      <c r="D32" s="23">
        <v>12850225</v>
      </c>
      <c r="E32" s="23">
        <f>D32-C32</f>
        <v>-8195333</v>
      </c>
      <c r="F32" s="24">
        <f>IF(C32=0,0,E32/C32)</f>
        <v>-0.38940915702971618</v>
      </c>
    </row>
    <row r="33" spans="1:8" ht="24" customHeight="1" x14ac:dyDescent="0.2">
      <c r="A33" s="21">
        <v>7</v>
      </c>
      <c r="B33" s="22" t="s">
        <v>35</v>
      </c>
      <c r="C33" s="23">
        <v>760872</v>
      </c>
      <c r="D33" s="23">
        <v>4188450</v>
      </c>
      <c r="E33" s="23">
        <f>D33-C33</f>
        <v>3427578</v>
      </c>
      <c r="F33" s="24">
        <f>IF(C33=0,0,E33/C33)</f>
        <v>4.5048023846323693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88440821</v>
      </c>
      <c r="D36" s="23">
        <v>88928662</v>
      </c>
      <c r="E36" s="23">
        <f>D36-C36</f>
        <v>487841</v>
      </c>
      <c r="F36" s="24">
        <f>IF(C36=0,0,E36/C36)</f>
        <v>5.5160161844268725E-3</v>
      </c>
    </row>
    <row r="37" spans="1:8" ht="24" customHeight="1" x14ac:dyDescent="0.2">
      <c r="A37" s="21">
        <v>2</v>
      </c>
      <c r="B37" s="22" t="s">
        <v>39</v>
      </c>
      <c r="C37" s="23">
        <v>48643942</v>
      </c>
      <c r="D37" s="23">
        <v>50466444</v>
      </c>
      <c r="E37" s="23">
        <f>D37-C37</f>
        <v>1822502</v>
      </c>
      <c r="F37" s="23">
        <f>IF(C37=0,0,E37/C37)</f>
        <v>3.7466165879401797E-2</v>
      </c>
    </row>
    <row r="38" spans="1:8" ht="24" customHeight="1" x14ac:dyDescent="0.25">
      <c r="A38" s="25"/>
      <c r="B38" s="26" t="s">
        <v>40</v>
      </c>
      <c r="C38" s="27">
        <f>C36-C37</f>
        <v>39796879</v>
      </c>
      <c r="D38" s="27">
        <f>D36-D37</f>
        <v>38462218</v>
      </c>
      <c r="E38" s="27">
        <f>D38-C38</f>
        <v>-1334661</v>
      </c>
      <c r="F38" s="28">
        <f>IF(C38=0,0,E38/C38)</f>
        <v>-3.3536825840036352E-2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36667</v>
      </c>
      <c r="D40" s="23">
        <v>0</v>
      </c>
      <c r="E40" s="23">
        <f>D40-C40</f>
        <v>-36667</v>
      </c>
      <c r="F40" s="24">
        <f>IF(C40=0,0,E40/C40)</f>
        <v>-1</v>
      </c>
    </row>
    <row r="41" spans="1:8" ht="24" customHeight="1" x14ac:dyDescent="0.25">
      <c r="A41" s="25"/>
      <c r="B41" s="26" t="s">
        <v>42</v>
      </c>
      <c r="C41" s="27">
        <f>+C38+C40</f>
        <v>39833546</v>
      </c>
      <c r="D41" s="27">
        <f>+D38+D40</f>
        <v>38462218</v>
      </c>
      <c r="E41" s="27">
        <f>D41-C41</f>
        <v>-1371328</v>
      </c>
      <c r="F41" s="28">
        <f>IF(C41=0,0,E41/C41)</f>
        <v>-3.4426460551616467E-2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82131775</v>
      </c>
      <c r="D43" s="27">
        <f>D22+D29+D31+D32+D33+D41</f>
        <v>75494348</v>
      </c>
      <c r="E43" s="27">
        <f>D43-C43</f>
        <v>-6637427</v>
      </c>
      <c r="F43" s="28">
        <f>IF(C43=0,0,E43/C43)</f>
        <v>-8.0814362041974619E-2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4262133</v>
      </c>
      <c r="D49" s="23">
        <v>4469034</v>
      </c>
      <c r="E49" s="23">
        <f t="shared" ref="E49:E56" si="2">D49-C49</f>
        <v>206901</v>
      </c>
      <c r="F49" s="24">
        <f t="shared" ref="F49:F56" si="3">IF(C49=0,0,E49/C49)</f>
        <v>4.8544003671401152E-2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6577053</v>
      </c>
      <c r="D50" s="23">
        <v>6944752</v>
      </c>
      <c r="E50" s="23">
        <f t="shared" si="2"/>
        <v>367699</v>
      </c>
      <c r="F50" s="24">
        <f t="shared" si="3"/>
        <v>5.5906345896862927E-2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2318298</v>
      </c>
      <c r="D51" s="23">
        <v>1100013</v>
      </c>
      <c r="E51" s="23">
        <f t="shared" si="2"/>
        <v>-1218285</v>
      </c>
      <c r="F51" s="24">
        <f t="shared" si="3"/>
        <v>-0.52550836863940698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0</v>
      </c>
      <c r="D53" s="23">
        <v>0</v>
      </c>
      <c r="E53" s="23">
        <f t="shared" si="2"/>
        <v>0</v>
      </c>
      <c r="F53" s="24">
        <f t="shared" si="3"/>
        <v>0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1062247</v>
      </c>
      <c r="D54" s="23">
        <v>1060828</v>
      </c>
      <c r="E54" s="23">
        <f t="shared" si="2"/>
        <v>-1419</v>
      </c>
      <c r="F54" s="24">
        <f t="shared" si="3"/>
        <v>-1.3358475006283849E-3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3079908</v>
      </c>
      <c r="D55" s="23">
        <v>3586610</v>
      </c>
      <c r="E55" s="23">
        <f t="shared" si="2"/>
        <v>506702</v>
      </c>
      <c r="F55" s="24">
        <f t="shared" si="3"/>
        <v>0.16451855055410747</v>
      </c>
    </row>
    <row r="56" spans="1:6" ht="24" customHeight="1" x14ac:dyDescent="0.25">
      <c r="A56" s="25"/>
      <c r="B56" s="26" t="s">
        <v>54</v>
      </c>
      <c r="C56" s="27">
        <f>SUM(C49:C55)</f>
        <v>17299639</v>
      </c>
      <c r="D56" s="27">
        <f>SUM(D49:D55)</f>
        <v>17161237</v>
      </c>
      <c r="E56" s="27">
        <f t="shared" si="2"/>
        <v>-138402</v>
      </c>
      <c r="F56" s="28">
        <f t="shared" si="3"/>
        <v>-8.0002825492485712E-3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7828804</v>
      </c>
      <c r="D60" s="23">
        <v>6768005</v>
      </c>
      <c r="E60" s="23">
        <f>D60-C60</f>
        <v>-1060799</v>
      </c>
      <c r="F60" s="24">
        <f>IF(C60=0,0,E60/C60)</f>
        <v>-0.13549949647481274</v>
      </c>
    </row>
    <row r="61" spans="1:6" ht="24" customHeight="1" x14ac:dyDescent="0.25">
      <c r="A61" s="25"/>
      <c r="B61" s="26" t="s">
        <v>58</v>
      </c>
      <c r="C61" s="27">
        <f>SUM(C59:C60)</f>
        <v>7828804</v>
      </c>
      <c r="D61" s="27">
        <f>SUM(D59:D60)</f>
        <v>6768005</v>
      </c>
      <c r="E61" s="27">
        <f>D61-C61</f>
        <v>-1060799</v>
      </c>
      <c r="F61" s="28">
        <f>IF(C61=0,0,E61/C61)</f>
        <v>-0.13549949647481274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30733115</v>
      </c>
      <c r="D63" s="23">
        <v>29974311</v>
      </c>
      <c r="E63" s="23">
        <f>D63-C63</f>
        <v>-758804</v>
      </c>
      <c r="F63" s="24">
        <f>IF(C63=0,0,E63/C63)</f>
        <v>-2.4690110325621076E-2</v>
      </c>
    </row>
    <row r="64" spans="1:6" ht="24" customHeight="1" x14ac:dyDescent="0.2">
      <c r="A64" s="21">
        <v>4</v>
      </c>
      <c r="B64" s="22" t="s">
        <v>60</v>
      </c>
      <c r="C64" s="23">
        <v>1238672</v>
      </c>
      <c r="D64" s="23">
        <v>4785456</v>
      </c>
      <c r="E64" s="23">
        <f>D64-C64</f>
        <v>3546784</v>
      </c>
      <c r="F64" s="24">
        <f>IF(C64=0,0,E64/C64)</f>
        <v>2.8633762610279394</v>
      </c>
    </row>
    <row r="65" spans="1:6" ht="24" customHeight="1" x14ac:dyDescent="0.25">
      <c r="A65" s="25"/>
      <c r="B65" s="26" t="s">
        <v>61</v>
      </c>
      <c r="C65" s="27">
        <f>SUM(C61:C64)</f>
        <v>39800591</v>
      </c>
      <c r="D65" s="27">
        <f>SUM(D61:D64)</f>
        <v>41527772</v>
      </c>
      <c r="E65" s="27">
        <f>D65-C65</f>
        <v>1727181</v>
      </c>
      <c r="F65" s="28">
        <f>IF(C65=0,0,E65/C65)</f>
        <v>4.3395863141831234E-2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23731621</v>
      </c>
      <c r="D70" s="23">
        <v>15462135</v>
      </c>
      <c r="E70" s="23">
        <f>D70-C70</f>
        <v>-8269486</v>
      </c>
      <c r="F70" s="24">
        <f>IF(C70=0,0,E70/C70)</f>
        <v>-0.34845853976852237</v>
      </c>
    </row>
    <row r="71" spans="1:6" ht="24" customHeight="1" x14ac:dyDescent="0.2">
      <c r="A71" s="21">
        <v>2</v>
      </c>
      <c r="B71" s="22" t="s">
        <v>65</v>
      </c>
      <c r="C71" s="23">
        <v>626161</v>
      </c>
      <c r="D71" s="23">
        <v>669441</v>
      </c>
      <c r="E71" s="23">
        <f>D71-C71</f>
        <v>43280</v>
      </c>
      <c r="F71" s="24">
        <f>IF(C71=0,0,E71/C71)</f>
        <v>6.9119603424678322E-2</v>
      </c>
    </row>
    <row r="72" spans="1:6" ht="24" customHeight="1" x14ac:dyDescent="0.2">
      <c r="A72" s="21">
        <v>3</v>
      </c>
      <c r="B72" s="22" t="s">
        <v>66</v>
      </c>
      <c r="C72" s="23">
        <v>673763</v>
      </c>
      <c r="D72" s="23">
        <v>673763</v>
      </c>
      <c r="E72" s="23">
        <f>D72-C72</f>
        <v>0</v>
      </c>
      <c r="F72" s="24">
        <f>IF(C72=0,0,E72/C72)</f>
        <v>0</v>
      </c>
    </row>
    <row r="73" spans="1:6" ht="24" customHeight="1" x14ac:dyDescent="0.25">
      <c r="A73" s="21"/>
      <c r="B73" s="26" t="s">
        <v>67</v>
      </c>
      <c r="C73" s="27">
        <f>SUM(C70:C72)</f>
        <v>25031545</v>
      </c>
      <c r="D73" s="27">
        <f>SUM(D70:D72)</f>
        <v>16805339</v>
      </c>
      <c r="E73" s="27">
        <f>D73-C73</f>
        <v>-8226206</v>
      </c>
      <c r="F73" s="28">
        <f>IF(C73=0,0,E73/C73)</f>
        <v>-0.32863357016117062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82131775</v>
      </c>
      <c r="D75" s="27">
        <f>D56+D65+D67+D73</f>
        <v>75494348</v>
      </c>
      <c r="E75" s="27">
        <f>D75-C75</f>
        <v>-6637427</v>
      </c>
      <c r="F75" s="28">
        <f>IF(C75=0,0,E75/C75)</f>
        <v>-8.0814362041974619E-2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r:id="rId1"/>
  <headerFooter>
    <oddHeader>&amp;LOFFICE OF HEALTH CARE ACCESS&amp;CTWELVE MONTHS ACTUAL FILING&amp;RMILFORD HEALTH &amp;AMP; MEDICAL,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491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493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191158170</v>
      </c>
      <c r="D12" s="51">
        <v>196681143</v>
      </c>
      <c r="E12" s="51">
        <f t="shared" ref="E12:E19" si="0">D12-C12</f>
        <v>5522973</v>
      </c>
      <c r="F12" s="70">
        <f t="shared" ref="F12:F19" si="1">IF(C12=0,0,E12/C12)</f>
        <v>2.8892162966406301E-2</v>
      </c>
    </row>
    <row r="13" spans="1:8" ht="23.1" customHeight="1" x14ac:dyDescent="0.2">
      <c r="A13" s="25">
        <v>2</v>
      </c>
      <c r="B13" s="48" t="s">
        <v>72</v>
      </c>
      <c r="C13" s="51">
        <v>106023474</v>
      </c>
      <c r="D13" s="51">
        <v>107358290</v>
      </c>
      <c r="E13" s="51">
        <f t="shared" si="0"/>
        <v>1334816</v>
      </c>
      <c r="F13" s="70">
        <f t="shared" si="1"/>
        <v>1.2589815723261436E-2</v>
      </c>
    </row>
    <row r="14" spans="1:8" ht="23.1" customHeight="1" x14ac:dyDescent="0.2">
      <c r="A14" s="25">
        <v>3</v>
      </c>
      <c r="B14" s="48" t="s">
        <v>73</v>
      </c>
      <c r="C14" s="51">
        <v>187766</v>
      </c>
      <c r="D14" s="51">
        <v>192533</v>
      </c>
      <c r="E14" s="51">
        <f t="shared" si="0"/>
        <v>4767</v>
      </c>
      <c r="F14" s="70">
        <f t="shared" si="1"/>
        <v>2.5387982914904721E-2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84946930</v>
      </c>
      <c r="D16" s="27">
        <f>D12-D13-D14-D15</f>
        <v>89130320</v>
      </c>
      <c r="E16" s="27">
        <f t="shared" si="0"/>
        <v>4183390</v>
      </c>
      <c r="F16" s="28">
        <f t="shared" si="1"/>
        <v>4.9247100513226318E-2</v>
      </c>
    </row>
    <row r="17" spans="1:7" ht="23.1" customHeight="1" x14ac:dyDescent="0.2">
      <c r="A17" s="25">
        <v>5</v>
      </c>
      <c r="B17" s="48" t="s">
        <v>76</v>
      </c>
      <c r="C17" s="51">
        <v>1505504</v>
      </c>
      <c r="D17" s="51">
        <v>3585478</v>
      </c>
      <c r="E17" s="51">
        <f t="shared" si="0"/>
        <v>2079974</v>
      </c>
      <c r="F17" s="70">
        <f t="shared" si="1"/>
        <v>1.3815798563138988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86452434</v>
      </c>
      <c r="D19" s="27">
        <f>SUM(D16:D18)</f>
        <v>92715798</v>
      </c>
      <c r="E19" s="27">
        <f t="shared" si="0"/>
        <v>6263364</v>
      </c>
      <c r="F19" s="28">
        <f t="shared" si="1"/>
        <v>7.2448671601310841E-2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41622787</v>
      </c>
      <c r="D22" s="51">
        <v>41152660</v>
      </c>
      <c r="E22" s="51">
        <f t="shared" ref="E22:E31" si="2">D22-C22</f>
        <v>-470127</v>
      </c>
      <c r="F22" s="70">
        <f t="shared" ref="F22:F31" si="3">IF(C22=0,0,E22/C22)</f>
        <v>-1.1294942839843954E-2</v>
      </c>
    </row>
    <row r="23" spans="1:7" ht="23.1" customHeight="1" x14ac:dyDescent="0.2">
      <c r="A23" s="25">
        <v>2</v>
      </c>
      <c r="B23" s="48" t="s">
        <v>81</v>
      </c>
      <c r="C23" s="51">
        <v>14352576</v>
      </c>
      <c r="D23" s="51">
        <v>15348836</v>
      </c>
      <c r="E23" s="51">
        <f t="shared" si="2"/>
        <v>996260</v>
      </c>
      <c r="F23" s="70">
        <f t="shared" si="3"/>
        <v>6.9413323434065075E-2</v>
      </c>
    </row>
    <row r="24" spans="1:7" ht="23.1" customHeight="1" x14ac:dyDescent="0.2">
      <c r="A24" s="25">
        <v>3</v>
      </c>
      <c r="B24" s="48" t="s">
        <v>82</v>
      </c>
      <c r="C24" s="51">
        <v>254332</v>
      </c>
      <c r="D24" s="51">
        <v>1056109</v>
      </c>
      <c r="E24" s="51">
        <f t="shared" si="2"/>
        <v>801777</v>
      </c>
      <c r="F24" s="70">
        <f t="shared" si="3"/>
        <v>3.1524817954484687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10557275</v>
      </c>
      <c r="D25" s="51">
        <v>10875051</v>
      </c>
      <c r="E25" s="51">
        <f t="shared" si="2"/>
        <v>317776</v>
      </c>
      <c r="F25" s="70">
        <f t="shared" si="3"/>
        <v>3.0100191574056752E-2</v>
      </c>
    </row>
    <row r="26" spans="1:7" ht="23.1" customHeight="1" x14ac:dyDescent="0.2">
      <c r="A26" s="25">
        <v>5</v>
      </c>
      <c r="B26" s="48" t="s">
        <v>84</v>
      </c>
      <c r="C26" s="51">
        <v>3491992</v>
      </c>
      <c r="D26" s="51">
        <v>3165395</v>
      </c>
      <c r="E26" s="51">
        <f t="shared" si="2"/>
        <v>-326597</v>
      </c>
      <c r="F26" s="70">
        <f t="shared" si="3"/>
        <v>-9.3527419306802542E-2</v>
      </c>
    </row>
    <row r="27" spans="1:7" ht="23.1" customHeight="1" x14ac:dyDescent="0.2">
      <c r="A27" s="25">
        <v>6</v>
      </c>
      <c r="B27" s="48" t="s">
        <v>85</v>
      </c>
      <c r="C27" s="51">
        <v>9027011</v>
      </c>
      <c r="D27" s="51">
        <v>7967947</v>
      </c>
      <c r="E27" s="51">
        <f t="shared" si="2"/>
        <v>-1059064</v>
      </c>
      <c r="F27" s="70">
        <f t="shared" si="3"/>
        <v>-0.11732166937649682</v>
      </c>
    </row>
    <row r="28" spans="1:7" ht="23.1" customHeight="1" x14ac:dyDescent="0.2">
      <c r="A28" s="25">
        <v>7</v>
      </c>
      <c r="B28" s="48" t="s">
        <v>86</v>
      </c>
      <c r="C28" s="51">
        <v>458693</v>
      </c>
      <c r="D28" s="51">
        <v>542344</v>
      </c>
      <c r="E28" s="51">
        <f t="shared" si="2"/>
        <v>83651</v>
      </c>
      <c r="F28" s="70">
        <f t="shared" si="3"/>
        <v>0.18236816345573184</v>
      </c>
    </row>
    <row r="29" spans="1:7" ht="23.1" customHeight="1" x14ac:dyDescent="0.2">
      <c r="A29" s="25">
        <v>8</v>
      </c>
      <c r="B29" s="48" t="s">
        <v>87</v>
      </c>
      <c r="C29" s="51">
        <v>815946</v>
      </c>
      <c r="D29" s="51">
        <v>2552883</v>
      </c>
      <c r="E29" s="51">
        <f t="shared" si="2"/>
        <v>1736937</v>
      </c>
      <c r="F29" s="70">
        <f t="shared" si="3"/>
        <v>2.1287401372149626</v>
      </c>
    </row>
    <row r="30" spans="1:7" ht="23.1" customHeight="1" x14ac:dyDescent="0.2">
      <c r="A30" s="25">
        <v>9</v>
      </c>
      <c r="B30" s="48" t="s">
        <v>88</v>
      </c>
      <c r="C30" s="51">
        <v>13062442</v>
      </c>
      <c r="D30" s="51">
        <v>15410856</v>
      </c>
      <c r="E30" s="51">
        <f t="shared" si="2"/>
        <v>2348414</v>
      </c>
      <c r="F30" s="70">
        <f t="shared" si="3"/>
        <v>0.17978368822613719</v>
      </c>
    </row>
    <row r="31" spans="1:7" ht="23.1" customHeight="1" x14ac:dyDescent="0.25">
      <c r="A31" s="29"/>
      <c r="B31" s="71" t="s">
        <v>89</v>
      </c>
      <c r="C31" s="27">
        <f>SUM(C22:C30)</f>
        <v>93643054</v>
      </c>
      <c r="D31" s="27">
        <f>SUM(D22:D30)</f>
        <v>98072081</v>
      </c>
      <c r="E31" s="27">
        <f t="shared" si="2"/>
        <v>4429027</v>
      </c>
      <c r="F31" s="28">
        <f t="shared" si="3"/>
        <v>4.7296908962409533E-2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-7190620</v>
      </c>
      <c r="D33" s="27">
        <f>+D19-D31</f>
        <v>-5356283</v>
      </c>
      <c r="E33" s="27">
        <f>D33-C33</f>
        <v>1834337</v>
      </c>
      <c r="F33" s="28">
        <f>IF(C33=0,0,E33/C33)</f>
        <v>-0.25510136817131207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2334923</v>
      </c>
      <c r="D36" s="51">
        <v>2507029</v>
      </c>
      <c r="E36" s="51">
        <f>D36-C36</f>
        <v>172106</v>
      </c>
      <c r="F36" s="70">
        <f>IF(C36=0,0,E36/C36)</f>
        <v>7.3709497058361245E-2</v>
      </c>
    </row>
    <row r="37" spans="1:6" ht="23.1" customHeight="1" x14ac:dyDescent="0.2">
      <c r="A37" s="44">
        <v>2</v>
      </c>
      <c r="B37" s="48" t="s">
        <v>93</v>
      </c>
      <c r="C37" s="51">
        <v>221551</v>
      </c>
      <c r="D37" s="51">
        <v>283158</v>
      </c>
      <c r="E37" s="51">
        <f>D37-C37</f>
        <v>61607</v>
      </c>
      <c r="F37" s="70">
        <f>IF(C37=0,0,E37/C37)</f>
        <v>0.27807141470812591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2556474</v>
      </c>
      <c r="D39" s="27">
        <f>SUM(D36:D38)</f>
        <v>2790187</v>
      </c>
      <c r="E39" s="27">
        <f>D39-C39</f>
        <v>233713</v>
      </c>
      <c r="F39" s="28">
        <f>IF(C39=0,0,E39/C39)</f>
        <v>9.1420057469780644E-2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-4634146</v>
      </c>
      <c r="D41" s="27">
        <f>D33+D39</f>
        <v>-2566096</v>
      </c>
      <c r="E41" s="27">
        <f>D41-C41</f>
        <v>2068050</v>
      </c>
      <c r="F41" s="28">
        <f>IF(C41=0,0,E41/C41)</f>
        <v>-0.44626345393520189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-2445378</v>
      </c>
      <c r="D44" s="51">
        <v>3465</v>
      </c>
      <c r="E44" s="51">
        <f>D44-C44</f>
        <v>2448843</v>
      </c>
      <c r="F44" s="70">
        <f>IF(C44=0,0,E44/C44)</f>
        <v>-1.0014169588505335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-2445378</v>
      </c>
      <c r="D46" s="27">
        <f>SUM(D44:D45)</f>
        <v>3465</v>
      </c>
      <c r="E46" s="27">
        <f>D46-C46</f>
        <v>2448843</v>
      </c>
      <c r="F46" s="28">
        <f>IF(C46=0,0,E46/C46)</f>
        <v>-1.0014169588505335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-7079524</v>
      </c>
      <c r="D48" s="27">
        <f>D41+D46</f>
        <v>-2562631</v>
      </c>
      <c r="E48" s="27">
        <f>D48-C48</f>
        <v>4516893</v>
      </c>
      <c r="F48" s="28">
        <f>IF(C48=0,0,E48/C48)</f>
        <v>-0.63802213256145468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r:id="rId1"/>
  <headerFooter>
    <oddHeader>&amp;L&amp;8OFFICE OF HEALTH CARE ACCESS&amp;C&amp;8TWELVE MONTHS ACTUAL FILING&amp;R&amp;8MILFORD HEALTH &amp;AMP; MEDICAL,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2013-09-11T12:21:37Z</cp:lastPrinted>
  <dcterms:created xsi:type="dcterms:W3CDTF">2006-08-03T13:49:12Z</dcterms:created>
  <dcterms:modified xsi:type="dcterms:W3CDTF">2013-09-12T14:58:53Z</dcterms:modified>
</cp:coreProperties>
</file>