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69" i="14" s="1"/>
  <c r="D203" i="14"/>
  <c r="D198" i="14"/>
  <c r="D290" i="14" s="1"/>
  <c r="D191" i="14"/>
  <c r="D264" i="14"/>
  <c r="D189" i="14"/>
  <c r="D278" i="14"/>
  <c r="D188" i="14"/>
  <c r="D261" i="14" s="1"/>
  <c r="D206" i="14"/>
  <c r="D180" i="14"/>
  <c r="D181" i="14"/>
  <c r="D179" i="14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135" i="14"/>
  <c r="D130" i="14"/>
  <c r="D129" i="14"/>
  <c r="D123" i="14"/>
  <c r="D192" i="14" s="1"/>
  <c r="D193" i="14" s="1"/>
  <c r="D194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/>
  <c r="D59" i="14"/>
  <c r="D60" i="14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282" i="14" s="1"/>
  <c r="D17" i="14"/>
  <c r="E97" i="19"/>
  <c r="D97" i="19"/>
  <c r="C97" i="19"/>
  <c r="E96" i="19"/>
  <c r="D96" i="19"/>
  <c r="D98" i="19" s="1"/>
  <c r="C96" i="19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D86" i="19"/>
  <c r="C86" i="19"/>
  <c r="C88" i="19" s="1"/>
  <c r="E83" i="19"/>
  <c r="D83" i="19"/>
  <c r="C83" i="19"/>
  <c r="C102" i="19" s="1"/>
  <c r="E76" i="19"/>
  <c r="E102" i="19" s="1"/>
  <c r="D76" i="19"/>
  <c r="D102" i="19"/>
  <c r="C76" i="19"/>
  <c r="E75" i="19"/>
  <c r="E77" i="19" s="1"/>
  <c r="E109" i="19" s="1"/>
  <c r="D75" i="19"/>
  <c r="D77" i="19" s="1"/>
  <c r="D109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3" i="19" s="1"/>
  <c r="D21" i="18"/>
  <c r="C21" i="18"/>
  <c r="D19" i="18"/>
  <c r="C19" i="18"/>
  <c r="E17" i="18"/>
  <c r="F17" i="18" s="1"/>
  <c r="E15" i="18"/>
  <c r="F15" i="18" s="1"/>
  <c r="D45" i="17"/>
  <c r="E45" i="17"/>
  <c r="C45" i="17"/>
  <c r="F45" i="17"/>
  <c r="D44" i="17"/>
  <c r="E44" i="17"/>
  <c r="C44" i="17"/>
  <c r="F44" i="17"/>
  <c r="D43" i="17"/>
  <c r="D46" i="17"/>
  <c r="C43" i="17"/>
  <c r="D36" i="17"/>
  <c r="D40" i="17" s="1"/>
  <c r="C36" i="17"/>
  <c r="F35" i="17"/>
  <c r="E35" i="17"/>
  <c r="F34" i="17"/>
  <c r="E34" i="17"/>
  <c r="F33" i="17"/>
  <c r="E33" i="17"/>
  <c r="E36" i="17"/>
  <c r="E30" i="17"/>
  <c r="F30" i="17"/>
  <c r="E29" i="17"/>
  <c r="F29" i="17" s="1"/>
  <c r="E28" i="17"/>
  <c r="F28" i="17" s="1"/>
  <c r="E27" i="17"/>
  <c r="F27" i="17" s="1"/>
  <c r="D25" i="17"/>
  <c r="D39" i="17" s="1"/>
  <c r="C25" i="17"/>
  <c r="C39" i="17" s="1"/>
  <c r="E24" i="17"/>
  <c r="F24" i="17"/>
  <c r="E23" i="17"/>
  <c r="F23" i="17" s="1"/>
  <c r="E22" i="17"/>
  <c r="F22" i="17" s="1"/>
  <c r="D19" i="17"/>
  <c r="D20" i="17" s="1"/>
  <c r="C19" i="17"/>
  <c r="E18" i="17"/>
  <c r="F18" i="17" s="1"/>
  <c r="D16" i="17"/>
  <c r="C16" i="17"/>
  <c r="E15" i="17"/>
  <c r="F15" i="17" s="1"/>
  <c r="F13" i="17"/>
  <c r="E13" i="17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65" i="16" s="1"/>
  <c r="C114" i="16" s="1"/>
  <c r="C116" i="16" s="1"/>
  <c r="C119" i="16" s="1"/>
  <c r="C123" i="16" s="1"/>
  <c r="C36" i="16"/>
  <c r="C32" i="16"/>
  <c r="C33" i="16" s="1"/>
  <c r="C21" i="16"/>
  <c r="C37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C292" i="15"/>
  <c r="D291" i="15"/>
  <c r="C291" i="15"/>
  <c r="E291" i="15" s="1"/>
  <c r="D290" i="15"/>
  <c r="C290" i="15"/>
  <c r="E290" i="15" s="1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C280" i="15"/>
  <c r="D279" i="15"/>
  <c r="C279" i="15"/>
  <c r="D278" i="15"/>
  <c r="E278" i="15"/>
  <c r="C278" i="15"/>
  <c r="D277" i="15"/>
  <c r="C277" i="15"/>
  <c r="E277" i="15"/>
  <c r="D276" i="15"/>
  <c r="C276" i="15"/>
  <c r="E270" i="15"/>
  <c r="D265" i="15"/>
  <c r="E265" i="15" s="1"/>
  <c r="C265" i="15"/>
  <c r="C302" i="15" s="1"/>
  <c r="D262" i="15"/>
  <c r="E262" i="15" s="1"/>
  <c r="C262" i="15"/>
  <c r="D251" i="15"/>
  <c r="E251" i="15" s="1"/>
  <c r="C251" i="15"/>
  <c r="D233" i="15"/>
  <c r="E233" i="15" s="1"/>
  <c r="C233" i="15"/>
  <c r="D232" i="15"/>
  <c r="E232" i="15" s="1"/>
  <c r="C232" i="15"/>
  <c r="D231" i="15"/>
  <c r="C231" i="15"/>
  <c r="D230" i="15"/>
  <c r="C230" i="15"/>
  <c r="D228" i="15"/>
  <c r="E228" i="15" s="1"/>
  <c r="C228" i="15"/>
  <c r="D227" i="15"/>
  <c r="E227" i="15" s="1"/>
  <c r="C227" i="15"/>
  <c r="D221" i="15"/>
  <c r="C221" i="15"/>
  <c r="C245" i="15" s="1"/>
  <c r="D220" i="15"/>
  <c r="C220" i="15"/>
  <c r="C244" i="15" s="1"/>
  <c r="D219" i="15"/>
  <c r="D243" i="15" s="1"/>
  <c r="C219" i="15"/>
  <c r="C243" i="15" s="1"/>
  <c r="D218" i="15"/>
  <c r="E218" i="15" s="1"/>
  <c r="C218" i="15"/>
  <c r="C242" i="15" s="1"/>
  <c r="D217" i="15"/>
  <c r="E217" i="15" s="1"/>
  <c r="C217" i="15"/>
  <c r="D216" i="15"/>
  <c r="E216" i="15" s="1"/>
  <c r="C216" i="15"/>
  <c r="C240" i="15" s="1"/>
  <c r="D215" i="15"/>
  <c r="D239" i="15" s="1"/>
  <c r="C215" i="15"/>
  <c r="D210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D260" i="15" s="1"/>
  <c r="C195" i="15"/>
  <c r="E195" i="15" s="1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D178" i="15"/>
  <c r="E178" i="15"/>
  <c r="C178" i="15"/>
  <c r="D177" i="15"/>
  <c r="C177" i="15"/>
  <c r="E177" i="15"/>
  <c r="D176" i="15"/>
  <c r="C176" i="15"/>
  <c r="D174" i="15"/>
  <c r="C174" i="15"/>
  <c r="E174" i="15" s="1"/>
  <c r="D173" i="15"/>
  <c r="C173" i="15"/>
  <c r="E173" i="15"/>
  <c r="D167" i="15"/>
  <c r="C167" i="15"/>
  <c r="E167" i="15" s="1"/>
  <c r="D166" i="15"/>
  <c r="C166" i="15"/>
  <c r="E166" i="15"/>
  <c r="D165" i="15"/>
  <c r="E165" i="15" s="1"/>
  <c r="C165" i="15"/>
  <c r="D164" i="15"/>
  <c r="E164" i="15" s="1"/>
  <c r="C164" i="15"/>
  <c r="D162" i="15"/>
  <c r="C162" i="15"/>
  <c r="E162" i="15"/>
  <c r="D161" i="15"/>
  <c r="C161" i="15"/>
  <c r="E155" i="15"/>
  <c r="E154" i="15"/>
  <c r="E153" i="15"/>
  <c r="E152" i="15"/>
  <c r="D151" i="15"/>
  <c r="D156" i="15" s="1"/>
  <c r="C151" i="15"/>
  <c r="E150" i="15"/>
  <c r="E149" i="15"/>
  <c r="E143" i="15"/>
  <c r="E142" i="15"/>
  <c r="E141" i="15"/>
  <c r="E140" i="15"/>
  <c r="D139" i="15"/>
  <c r="D175" i="15" s="1"/>
  <c r="D163" i="15"/>
  <c r="C139" i="15"/>
  <c r="E139" i="15" s="1"/>
  <c r="E138" i="15"/>
  <c r="E137" i="15"/>
  <c r="D75" i="15"/>
  <c r="C75" i="15"/>
  <c r="E75" i="15" s="1"/>
  <c r="D74" i="15"/>
  <c r="C74" i="15"/>
  <c r="D73" i="15"/>
  <c r="C73" i="15"/>
  <c r="D72" i="15"/>
  <c r="C72" i="15"/>
  <c r="D70" i="15"/>
  <c r="E70" i="15" s="1"/>
  <c r="C70" i="15"/>
  <c r="D69" i="15"/>
  <c r="E69" i="15" s="1"/>
  <c r="C69" i="15"/>
  <c r="E64" i="15"/>
  <c r="E63" i="15"/>
  <c r="E62" i="15"/>
  <c r="E61" i="15"/>
  <c r="D60" i="15"/>
  <c r="C60" i="15"/>
  <c r="C65" i="15" s="1"/>
  <c r="C66" i="15" s="1"/>
  <c r="E59" i="15"/>
  <c r="E58" i="15"/>
  <c r="D54" i="15"/>
  <c r="D55" i="15" s="1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C41" i="15"/>
  <c r="D40" i="15"/>
  <c r="C40" i="15"/>
  <c r="D39" i="15"/>
  <c r="C39" i="15"/>
  <c r="D38" i="15"/>
  <c r="C38" i="15"/>
  <c r="D37" i="15"/>
  <c r="D43" i="15" s="1"/>
  <c r="E43" i="15" s="1"/>
  <c r="C37" i="15"/>
  <c r="C43" i="15" s="1"/>
  <c r="D36" i="15"/>
  <c r="E36" i="15"/>
  <c r="C36" i="15"/>
  <c r="D32" i="15"/>
  <c r="C32" i="15"/>
  <c r="C33" i="15" s="1"/>
  <c r="C295" i="15" s="1"/>
  <c r="E31" i="15"/>
  <c r="E30" i="15"/>
  <c r="E29" i="15"/>
  <c r="E28" i="15"/>
  <c r="E27" i="15"/>
  <c r="E26" i="15"/>
  <c r="E25" i="15"/>
  <c r="D21" i="15"/>
  <c r="D22" i="15" s="1"/>
  <c r="C21" i="15"/>
  <c r="C283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F330" i="14"/>
  <c r="E330" i="14"/>
  <c r="F329" i="14"/>
  <c r="E329" i="14"/>
  <c r="F316" i="14"/>
  <c r="E316" i="14"/>
  <c r="C311" i="14"/>
  <c r="E308" i="14"/>
  <c r="F308" i="14"/>
  <c r="C307" i="14"/>
  <c r="E307" i="14"/>
  <c r="C299" i="14"/>
  <c r="E299" i="14" s="1"/>
  <c r="F299" i="14" s="1"/>
  <c r="C298" i="14"/>
  <c r="E298" i="14" s="1"/>
  <c r="C297" i="14"/>
  <c r="E297" i="14" s="1"/>
  <c r="C296" i="14"/>
  <c r="E296" i="14" s="1"/>
  <c r="C295" i="14"/>
  <c r="E295" i="14" s="1"/>
  <c r="C294" i="14"/>
  <c r="C250" i="14"/>
  <c r="E250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F238" i="14" s="1"/>
  <c r="C237" i="14"/>
  <c r="C239" i="14" s="1"/>
  <c r="E234" i="14"/>
  <c r="F234" i="14"/>
  <c r="E233" i="14"/>
  <c r="F233" i="14"/>
  <c r="C230" i="14"/>
  <c r="E230" i="14"/>
  <c r="C229" i="14"/>
  <c r="E229" i="14"/>
  <c r="E228" i="14"/>
  <c r="F228" i="14"/>
  <c r="C226" i="14"/>
  <c r="E226" i="14"/>
  <c r="E225" i="14"/>
  <c r="F225" i="14"/>
  <c r="E224" i="14"/>
  <c r="F224" i="14"/>
  <c r="C223" i="14"/>
  <c r="E223" i="14" s="1"/>
  <c r="E222" i="14"/>
  <c r="F222" i="14" s="1"/>
  <c r="F221" i="14"/>
  <c r="E221" i="14"/>
  <c r="C204" i="14"/>
  <c r="C269" i="14"/>
  <c r="C203" i="14"/>
  <c r="C283" i="14" s="1"/>
  <c r="C198" i="14"/>
  <c r="C290" i="14" s="1"/>
  <c r="E191" i="14"/>
  <c r="C191" i="14"/>
  <c r="C264" i="14" s="1"/>
  <c r="C189" i="14"/>
  <c r="C278" i="14" s="1"/>
  <c r="C188" i="14"/>
  <c r="C180" i="14"/>
  <c r="E180" i="14" s="1"/>
  <c r="C179" i="14"/>
  <c r="C171" i="14"/>
  <c r="E171" i="14" s="1"/>
  <c r="C170" i="14"/>
  <c r="E170" i="14" s="1"/>
  <c r="E169" i="14"/>
  <c r="F169" i="14" s="1"/>
  <c r="E168" i="14"/>
  <c r="F168" i="14" s="1"/>
  <c r="C165" i="14"/>
  <c r="C164" i="14"/>
  <c r="E164" i="14" s="1"/>
  <c r="E163" i="14"/>
  <c r="F163" i="14" s="1"/>
  <c r="C158" i="14"/>
  <c r="C159" i="14" s="1"/>
  <c r="E159" i="14" s="1"/>
  <c r="E157" i="14"/>
  <c r="F157" i="14" s="1"/>
  <c r="E156" i="14"/>
  <c r="F156" i="14" s="1"/>
  <c r="C155" i="14"/>
  <c r="E155" i="14" s="1"/>
  <c r="E154" i="14"/>
  <c r="F154" i="14"/>
  <c r="E153" i="14"/>
  <c r="F153" i="14"/>
  <c r="C145" i="14"/>
  <c r="C144" i="14"/>
  <c r="E144" i="14" s="1"/>
  <c r="C136" i="14"/>
  <c r="E136" i="14" s="1"/>
  <c r="C135" i="14"/>
  <c r="E135" i="14" s="1"/>
  <c r="E134" i="14"/>
  <c r="F134" i="14"/>
  <c r="E133" i="14"/>
  <c r="F133" i="14"/>
  <c r="C130" i="14"/>
  <c r="E130" i="14"/>
  <c r="C129" i="14"/>
  <c r="E129" i="14"/>
  <c r="E128" i="14"/>
  <c r="F128" i="14"/>
  <c r="C123" i="14"/>
  <c r="C193" i="14"/>
  <c r="E193" i="14" s="1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E110" i="14" s="1"/>
  <c r="C109" i="14"/>
  <c r="E109" i="14" s="1"/>
  <c r="F109" i="14" s="1"/>
  <c r="C101" i="14"/>
  <c r="C102" i="14" s="1"/>
  <c r="C100" i="14"/>
  <c r="E100" i="14" s="1"/>
  <c r="E99" i="14"/>
  <c r="F99" i="14" s="1"/>
  <c r="E98" i="14"/>
  <c r="F98" i="14" s="1"/>
  <c r="C95" i="14"/>
  <c r="E95" i="14" s="1"/>
  <c r="F95" i="14" s="1"/>
  <c r="C94" i="14"/>
  <c r="E93" i="14"/>
  <c r="F93" i="14" s="1"/>
  <c r="C88" i="14"/>
  <c r="E88" i="14" s="1"/>
  <c r="E87" i="14"/>
  <c r="F87" i="14" s="1"/>
  <c r="E86" i="14"/>
  <c r="F86" i="14" s="1"/>
  <c r="C85" i="14"/>
  <c r="E84" i="14"/>
  <c r="F84" i="14" s="1"/>
  <c r="E83" i="14"/>
  <c r="F83" i="14" s="1"/>
  <c r="C76" i="14"/>
  <c r="C77" i="14" s="1"/>
  <c r="E77" i="14" s="1"/>
  <c r="E74" i="14"/>
  <c r="F74" i="14" s="1"/>
  <c r="E73" i="14"/>
  <c r="F73" i="14" s="1"/>
  <c r="C67" i="14"/>
  <c r="E67" i="14"/>
  <c r="C66" i="14"/>
  <c r="E66" i="14" s="1"/>
  <c r="F66" i="14" s="1"/>
  <c r="C59" i="14"/>
  <c r="C58" i="14"/>
  <c r="E58" i="14" s="1"/>
  <c r="E57" i="14"/>
  <c r="F57" i="14" s="1"/>
  <c r="E56" i="14"/>
  <c r="F56" i="14" s="1"/>
  <c r="C53" i="14"/>
  <c r="E53" i="14" s="1"/>
  <c r="C52" i="14"/>
  <c r="E52" i="14" s="1"/>
  <c r="F52" i="14" s="1"/>
  <c r="E51" i="14"/>
  <c r="F51" i="14" s="1"/>
  <c r="C47" i="14"/>
  <c r="C48" i="14" s="1"/>
  <c r="E46" i="14"/>
  <c r="F46" i="14" s="1"/>
  <c r="E45" i="14"/>
  <c r="F45" i="14" s="1"/>
  <c r="C44" i="14"/>
  <c r="E44" i="14" s="1"/>
  <c r="F44" i="14" s="1"/>
  <c r="E43" i="14"/>
  <c r="F43" i="14" s="1"/>
  <c r="E42" i="14"/>
  <c r="F42" i="14" s="1"/>
  <c r="C36" i="14"/>
  <c r="C35" i="14"/>
  <c r="E35" i="14" s="1"/>
  <c r="C30" i="14"/>
  <c r="C29" i="14"/>
  <c r="E29" i="14" s="1"/>
  <c r="E28" i="14"/>
  <c r="F28" i="14" s="1"/>
  <c r="E27" i="14"/>
  <c r="F27" i="14" s="1"/>
  <c r="C24" i="14"/>
  <c r="E24" i="14" s="1"/>
  <c r="F23" i="14"/>
  <c r="C23" i="14"/>
  <c r="E23" i="14" s="1"/>
  <c r="F22" i="14"/>
  <c r="E22" i="14"/>
  <c r="C21" i="14"/>
  <c r="C161" i="14" s="1"/>
  <c r="C20" i="14"/>
  <c r="C266" i="14" s="1"/>
  <c r="C282" i="14"/>
  <c r="E19" i="14"/>
  <c r="F19" i="14"/>
  <c r="E18" i="14"/>
  <c r="F18" i="14"/>
  <c r="C17" i="14"/>
  <c r="E16" i="14"/>
  <c r="F16" i="14" s="1"/>
  <c r="E15" i="14"/>
  <c r="F15" i="14" s="1"/>
  <c r="D23" i="13"/>
  <c r="C23" i="13"/>
  <c r="E23" i="13"/>
  <c r="E22" i="13"/>
  <c r="F22" i="13"/>
  <c r="E21" i="13"/>
  <c r="F21" i="13"/>
  <c r="D18" i="13"/>
  <c r="C18" i="13"/>
  <c r="E18" i="13" s="1"/>
  <c r="E17" i="13"/>
  <c r="F17" i="13" s="1"/>
  <c r="D14" i="13"/>
  <c r="C14" i="13"/>
  <c r="E13" i="13"/>
  <c r="F13" i="13" s="1"/>
  <c r="F12" i="13"/>
  <c r="E12" i="13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1" i="12"/>
  <c r="F91" i="12" s="1"/>
  <c r="F90" i="12"/>
  <c r="E90" i="12"/>
  <c r="F89" i="12"/>
  <c r="E89" i="12"/>
  <c r="F88" i="12"/>
  <c r="E88" i="12"/>
  <c r="F87" i="12"/>
  <c r="E87" i="12"/>
  <c r="D84" i="12"/>
  <c r="C84" i="12"/>
  <c r="E84" i="12" s="1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F74" i="12" s="1"/>
  <c r="E73" i="12"/>
  <c r="D70" i="12"/>
  <c r="C70" i="12"/>
  <c r="E70" i="12"/>
  <c r="E69" i="12"/>
  <c r="F69" i="12"/>
  <c r="E68" i="12"/>
  <c r="F68" i="12"/>
  <c r="D65" i="12"/>
  <c r="C65" i="12"/>
  <c r="E65" i="12" s="1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C55" i="12"/>
  <c r="F55" i="12" s="1"/>
  <c r="F54" i="12"/>
  <c r="E54" i="12"/>
  <c r="F53" i="12"/>
  <c r="E53" i="12"/>
  <c r="D50" i="12"/>
  <c r="C50" i="12"/>
  <c r="F50" i="12" s="1"/>
  <c r="F49" i="12"/>
  <c r="E49" i="12"/>
  <c r="F48" i="12"/>
  <c r="E48" i="12"/>
  <c r="D45" i="12"/>
  <c r="C45" i="12"/>
  <c r="F45" i="12"/>
  <c r="F44" i="12"/>
  <c r="E44" i="12"/>
  <c r="F43" i="12"/>
  <c r="E43" i="12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E30" i="12" s="1"/>
  <c r="F29" i="12"/>
  <c r="E29" i="12"/>
  <c r="F28" i="12"/>
  <c r="E28" i="12"/>
  <c r="E27" i="12"/>
  <c r="F27" i="12"/>
  <c r="E26" i="12"/>
  <c r="F26" i="12"/>
  <c r="D23" i="12"/>
  <c r="C23" i="12"/>
  <c r="E23" i="12" s="1"/>
  <c r="F22" i="12"/>
  <c r="E22" i="12"/>
  <c r="E21" i="12"/>
  <c r="F21" i="12" s="1"/>
  <c r="E20" i="12"/>
  <c r="F20" i="12" s="1"/>
  <c r="E19" i="12"/>
  <c r="F19" i="12" s="1"/>
  <c r="D16" i="12"/>
  <c r="C16" i="12"/>
  <c r="E16" i="12"/>
  <c r="F15" i="12"/>
  <c r="E15" i="12"/>
  <c r="E14" i="12"/>
  <c r="F14" i="12"/>
  <c r="E13" i="12"/>
  <c r="F13" i="12"/>
  <c r="E12" i="12"/>
  <c r="F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 s="1"/>
  <c r="E17" i="11"/>
  <c r="E33" i="11" s="1"/>
  <c r="E36" i="11" s="1"/>
  <c r="E38" i="11" s="1"/>
  <c r="E31" i="11"/>
  <c r="D17" i="11"/>
  <c r="D31" i="11" s="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 s="1"/>
  <c r="C77" i="10" s="1"/>
  <c r="E73" i="10"/>
  <c r="E75" i="10" s="1"/>
  <c r="D73" i="10"/>
  <c r="D75" i="10" s="1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C54" i="10"/>
  <c r="C50" i="10" s="1"/>
  <c r="E50" i="10"/>
  <c r="E46" i="10"/>
  <c r="D46" i="10"/>
  <c r="D59" i="10" s="1"/>
  <c r="D61" i="10" s="1"/>
  <c r="D57" i="10" s="1"/>
  <c r="C46" i="10"/>
  <c r="E45" i="10"/>
  <c r="D45" i="10"/>
  <c r="C45" i="10"/>
  <c r="E38" i="10"/>
  <c r="D38" i="10"/>
  <c r="C38" i="10"/>
  <c r="E33" i="10"/>
  <c r="E34" i="10" s="1"/>
  <c r="D33" i="10"/>
  <c r="D34" i="10"/>
  <c r="E26" i="10"/>
  <c r="D26" i="10"/>
  <c r="C26" i="10"/>
  <c r="E13" i="10"/>
  <c r="D13" i="10"/>
  <c r="D25" i="10" s="1"/>
  <c r="C13" i="10"/>
  <c r="D46" i="9"/>
  <c r="C46" i="9"/>
  <c r="F45" i="9"/>
  <c r="E45" i="9"/>
  <c r="E44" i="9"/>
  <c r="F44" i="9" s="1"/>
  <c r="D39" i="9"/>
  <c r="C39" i="9"/>
  <c r="F38" i="9"/>
  <c r="E38" i="9"/>
  <c r="E37" i="9"/>
  <c r="F37" i="9" s="1"/>
  <c r="E36" i="9"/>
  <c r="F36" i="9" s="1"/>
  <c r="D31" i="9"/>
  <c r="C31" i="9"/>
  <c r="E30" i="9"/>
  <c r="F30" i="9" s="1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D19" i="9" s="1"/>
  <c r="D33" i="9" s="1"/>
  <c r="D41" i="9" s="1"/>
  <c r="D48" i="9" s="1"/>
  <c r="C16" i="9"/>
  <c r="C19" i="9" s="1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D65" i="8" s="1"/>
  <c r="C61" i="8"/>
  <c r="C65" i="8" s="1"/>
  <c r="E60" i="8"/>
  <c r="F60" i="8" s="1"/>
  <c r="F59" i="8"/>
  <c r="E59" i="8"/>
  <c r="D56" i="8"/>
  <c r="C56" i="8"/>
  <c r="E55" i="8"/>
  <c r="F55" i="8" s="1"/>
  <c r="E54" i="8"/>
  <c r="F54" i="8" s="1"/>
  <c r="F53" i="8"/>
  <c r="E53" i="8"/>
  <c r="F52" i="8"/>
  <c r="E52" i="8"/>
  <c r="E51" i="8"/>
  <c r="F51" i="8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 s="1"/>
  <c r="C38" i="8"/>
  <c r="E38" i="8" s="1"/>
  <c r="E37" i="8"/>
  <c r="F37" i="8"/>
  <c r="E36" i="8"/>
  <c r="F36" i="8"/>
  <c r="E33" i="8"/>
  <c r="F33" i="8"/>
  <c r="E32" i="8"/>
  <c r="F32" i="8"/>
  <c r="F31" i="8"/>
  <c r="E31" i="8"/>
  <c r="D29" i="8"/>
  <c r="C29" i="8"/>
  <c r="E29" i="8" s="1"/>
  <c r="E28" i="8"/>
  <c r="F28" i="8" s="1"/>
  <c r="F27" i="8"/>
  <c r="E27" i="8"/>
  <c r="F26" i="8"/>
  <c r="E26" i="8"/>
  <c r="E25" i="8"/>
  <c r="F25" i="8" s="1"/>
  <c r="D22" i="8"/>
  <c r="D43" i="8" s="1"/>
  <c r="C22" i="8"/>
  <c r="E21" i="8"/>
  <c r="F21" i="8" s="1"/>
  <c r="E20" i="8"/>
  <c r="F20" i="8" s="1"/>
  <c r="E19" i="8"/>
  <c r="F19" i="8" s="1"/>
  <c r="F18" i="8"/>
  <c r="E18" i="8"/>
  <c r="F17" i="8"/>
  <c r="E17" i="8"/>
  <c r="F16" i="8"/>
  <c r="E16" i="8"/>
  <c r="E15" i="8"/>
  <c r="F15" i="8" s="1"/>
  <c r="E14" i="8"/>
  <c r="F14" i="8" s="1"/>
  <c r="E13" i="8"/>
  <c r="F13" i="8" s="1"/>
  <c r="D120" i="7"/>
  <c r="C120" i="7"/>
  <c r="F120" i="7"/>
  <c r="D119" i="7"/>
  <c r="E119" i="7" s="1"/>
  <c r="C119" i="7"/>
  <c r="D118" i="7"/>
  <c r="E118" i="7" s="1"/>
  <c r="C118" i="7"/>
  <c r="D117" i="7"/>
  <c r="C117" i="7"/>
  <c r="D116" i="7"/>
  <c r="C116" i="7"/>
  <c r="E116" i="7"/>
  <c r="D115" i="7"/>
  <c r="C115" i="7"/>
  <c r="D114" i="7"/>
  <c r="C114" i="7"/>
  <c r="D113" i="7"/>
  <c r="D122" i="7" s="1"/>
  <c r="C113" i="7"/>
  <c r="D112" i="7"/>
  <c r="D121" i="7" s="1"/>
  <c r="C112" i="7"/>
  <c r="D108" i="7"/>
  <c r="C108" i="7"/>
  <c r="D107" i="7"/>
  <c r="E107" i="7" s="1"/>
  <c r="C107" i="7"/>
  <c r="F106" i="7"/>
  <c r="E106" i="7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F96" i="7" s="1"/>
  <c r="D95" i="7"/>
  <c r="C95" i="7"/>
  <c r="F95" i="7" s="1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 s="1"/>
  <c r="D59" i="7"/>
  <c r="C59" i="7"/>
  <c r="F58" i="7"/>
  <c r="E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E35" i="7" s="1"/>
  <c r="F35" i="7" s="1"/>
  <c r="C35" i="7"/>
  <c r="F34" i="7"/>
  <c r="E34" i="7"/>
  <c r="E33" i="7"/>
  <c r="F33" i="7" s="1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 s="1"/>
  <c r="D23" i="7"/>
  <c r="E23" i="7" s="1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F206" i="6" s="1"/>
  <c r="D205" i="6"/>
  <c r="C205" i="6"/>
  <c r="D204" i="6"/>
  <c r="C204" i="6"/>
  <c r="D203" i="6"/>
  <c r="C203" i="6"/>
  <c r="E203" i="6" s="1"/>
  <c r="D202" i="6"/>
  <c r="C202" i="6"/>
  <c r="D201" i="6"/>
  <c r="C201" i="6"/>
  <c r="D200" i="6"/>
  <c r="C200" i="6"/>
  <c r="D199" i="6"/>
  <c r="C199" i="6"/>
  <c r="C208" i="6" s="1"/>
  <c r="D198" i="6"/>
  <c r="C198" i="6"/>
  <c r="C207" i="6" s="1"/>
  <c r="D193" i="6"/>
  <c r="C193" i="6"/>
  <c r="D192" i="6"/>
  <c r="C192" i="6"/>
  <c r="F191" i="6"/>
  <c r="E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D140" i="6"/>
  <c r="C140" i="6"/>
  <c r="F139" i="6"/>
  <c r="E139" i="6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C128" i="6"/>
  <c r="D127" i="6"/>
  <c r="C127" i="6"/>
  <c r="F126" i="6"/>
  <c r="E126" i="6"/>
  <c r="E125" i="6"/>
  <c r="F125" i="6" s="1"/>
  <c r="E124" i="6"/>
  <c r="F124" i="6" s="1"/>
  <c r="E123" i="6"/>
  <c r="F123" i="6" s="1"/>
  <c r="E122" i="6"/>
  <c r="F122" i="6" s="1"/>
  <c r="E121" i="6"/>
  <c r="F121" i="6"/>
  <c r="E120" i="6"/>
  <c r="F120" i="6"/>
  <c r="E119" i="6"/>
  <c r="F119" i="6"/>
  <c r="E118" i="6"/>
  <c r="F118" i="6"/>
  <c r="D115" i="6"/>
  <c r="C115" i="6"/>
  <c r="D114" i="6"/>
  <c r="C114" i="6"/>
  <c r="F113" i="6"/>
  <c r="E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F102" i="6" s="1"/>
  <c r="D101" i="6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F89" i="6" s="1"/>
  <c r="C89" i="6"/>
  <c r="D88" i="6"/>
  <c r="C88" i="6"/>
  <c r="F87" i="6"/>
  <c r="E87" i="6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D76" i="6"/>
  <c r="C76" i="6"/>
  <c r="D75" i="6"/>
  <c r="C75" i="6"/>
  <c r="F74" i="6"/>
  <c r="E74" i="6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/>
  <c r="E67" i="6"/>
  <c r="F67" i="6"/>
  <c r="E66" i="6"/>
  <c r="F66" i="6"/>
  <c r="D63" i="6"/>
  <c r="C63" i="6"/>
  <c r="E63" i="6" s="1"/>
  <c r="F63" i="6" s="1"/>
  <c r="D62" i="6"/>
  <c r="C62" i="6"/>
  <c r="E62" i="6" s="1"/>
  <c r="F62" i="6" s="1"/>
  <c r="F61" i="6"/>
  <c r="E61" i="6"/>
  <c r="E60" i="6"/>
  <c r="F60" i="6"/>
  <c r="E59" i="6"/>
  <c r="F59" i="6"/>
  <c r="E58" i="6"/>
  <c r="F58" i="6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E49" i="6"/>
  <c r="C49" i="6"/>
  <c r="F48" i="6"/>
  <c r="E48" i="6"/>
  <c r="F47" i="6"/>
  <c r="E47" i="6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F22" i="6"/>
  <c r="E22" i="6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D164" i="5"/>
  <c r="D160" i="5" s="1"/>
  <c r="D166" i="5" s="1"/>
  <c r="C164" i="5"/>
  <c r="C160" i="5" s="1"/>
  <c r="E162" i="5"/>
  <c r="D162" i="5"/>
  <c r="C162" i="5"/>
  <c r="E161" i="5"/>
  <c r="D161" i="5"/>
  <c r="C161" i="5"/>
  <c r="E147" i="5"/>
  <c r="D147" i="5"/>
  <c r="D143" i="5" s="1"/>
  <c r="C147" i="5"/>
  <c r="E145" i="5"/>
  <c r="D145" i="5"/>
  <c r="C145" i="5"/>
  <c r="E144" i="5"/>
  <c r="D144" i="5"/>
  <c r="C144" i="5"/>
  <c r="E143" i="5"/>
  <c r="E149" i="5" s="1"/>
  <c r="C143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E102" i="5"/>
  <c r="E104" i="5" s="1"/>
  <c r="D102" i="5"/>
  <c r="D104" i="5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E79" i="5" s="1"/>
  <c r="D84" i="5"/>
  <c r="C84" i="5"/>
  <c r="E83" i="5"/>
  <c r="D83" i="5"/>
  <c r="C83" i="5"/>
  <c r="C79" i="5" s="1"/>
  <c r="E75" i="5"/>
  <c r="E88" i="5" s="1"/>
  <c r="E90" i="5" s="1"/>
  <c r="E86" i="5" s="1"/>
  <c r="D75" i="5"/>
  <c r="D77" i="5"/>
  <c r="D71" i="5" s="1"/>
  <c r="C75" i="5"/>
  <c r="C88" i="5" s="1"/>
  <c r="E74" i="5"/>
  <c r="D74" i="5"/>
  <c r="C74" i="5"/>
  <c r="E67" i="5"/>
  <c r="D67" i="5"/>
  <c r="C67" i="5"/>
  <c r="E38" i="5"/>
  <c r="E53" i="5" s="1"/>
  <c r="D38" i="5"/>
  <c r="D53" i="5" s="1"/>
  <c r="C38" i="5"/>
  <c r="C43" i="5" s="1"/>
  <c r="E33" i="5"/>
  <c r="E34" i="5" s="1"/>
  <c r="D33" i="5"/>
  <c r="D34" i="5" s="1"/>
  <c r="E26" i="5"/>
  <c r="D26" i="5"/>
  <c r="C26" i="5"/>
  <c r="E13" i="5"/>
  <c r="E25" i="5" s="1"/>
  <c r="E27" i="5" s="1"/>
  <c r="D13" i="5"/>
  <c r="D15" i="5" s="1"/>
  <c r="C13" i="5"/>
  <c r="C25" i="5" s="1"/>
  <c r="C27" i="5" s="1"/>
  <c r="C21" i="5" s="1"/>
  <c r="F174" i="4"/>
  <c r="E174" i="4"/>
  <c r="D171" i="4"/>
  <c r="C171" i="4"/>
  <c r="F170" i="4"/>
  <c r="E170" i="4"/>
  <c r="F169" i="4"/>
  <c r="E169" i="4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F162" i="4"/>
  <c r="E162" i="4"/>
  <c r="F161" i="4"/>
  <c r="E161" i="4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E148" i="4"/>
  <c r="F148" i="4" s="1"/>
  <c r="F147" i="4"/>
  <c r="E147" i="4"/>
  <c r="E146" i="4"/>
  <c r="F146" i="4" s="1"/>
  <c r="E145" i="4"/>
  <c r="F145" i="4" s="1"/>
  <c r="E144" i="4"/>
  <c r="F144" i="4" s="1"/>
  <c r="F143" i="4"/>
  <c r="E143" i="4"/>
  <c r="F142" i="4"/>
  <c r="E142" i="4"/>
  <c r="F141" i="4"/>
  <c r="E141" i="4"/>
  <c r="E140" i="4"/>
  <c r="F140" i="4" s="1"/>
  <c r="E139" i="4"/>
  <c r="F139" i="4" s="1"/>
  <c r="E138" i="4"/>
  <c r="F138" i="4" s="1"/>
  <c r="F137" i="4"/>
  <c r="E137" i="4"/>
  <c r="E136" i="4"/>
  <c r="F136" i="4" s="1"/>
  <c r="E135" i="4"/>
  <c r="F135" i="4" s="1"/>
  <c r="E134" i="4"/>
  <c r="F134" i="4" s="1"/>
  <c r="E133" i="4"/>
  <c r="F133" i="4" s="1"/>
  <c r="F132" i="4"/>
  <c r="E132" i="4"/>
  <c r="F131" i="4"/>
  <c r="E131" i="4"/>
  <c r="E130" i="4"/>
  <c r="F130" i="4" s="1"/>
  <c r="E129" i="4"/>
  <c r="F129" i="4" s="1"/>
  <c r="F128" i="4"/>
  <c r="E128" i="4"/>
  <c r="F127" i="4"/>
  <c r="E127" i="4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F117" i="4"/>
  <c r="E117" i="4"/>
  <c r="E116" i="4"/>
  <c r="F116" i="4" s="1"/>
  <c r="E115" i="4"/>
  <c r="F115" i="4" s="1"/>
  <c r="E114" i="4"/>
  <c r="F114" i="4" s="1"/>
  <c r="F113" i="4"/>
  <c r="E113" i="4"/>
  <c r="E112" i="4"/>
  <c r="F112" i="4" s="1"/>
  <c r="D109" i="4"/>
  <c r="C109" i="4"/>
  <c r="E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E81" i="4"/>
  <c r="F81" i="4" s="1"/>
  <c r="D78" i="4"/>
  <c r="C78" i="4"/>
  <c r="E78" i="4" s="1"/>
  <c r="E77" i="4"/>
  <c r="F77" i="4" s="1"/>
  <c r="E76" i="4"/>
  <c r="F76" i="4" s="1"/>
  <c r="E75" i="4"/>
  <c r="F75" i="4" s="1"/>
  <c r="E74" i="4"/>
  <c r="F74" i="4" s="1"/>
  <c r="E73" i="4"/>
  <c r="F73" i="4" s="1"/>
  <c r="F72" i="4"/>
  <c r="E72" i="4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 s="1"/>
  <c r="F41" i="4" s="1"/>
  <c r="C41" i="4"/>
  <c r="F40" i="4"/>
  <c r="E40" i="4"/>
  <c r="F39" i="4"/>
  <c r="E39" i="4"/>
  <c r="F38" i="4"/>
  <c r="E38" i="4"/>
  <c r="D35" i="4"/>
  <c r="E35" i="4" s="1"/>
  <c r="F35" i="4" s="1"/>
  <c r="C35" i="4"/>
  <c r="F34" i="4"/>
  <c r="E34" i="4"/>
  <c r="F33" i="4"/>
  <c r="E33" i="4"/>
  <c r="D30" i="4"/>
  <c r="E30" i="4" s="1"/>
  <c r="F30" i="4" s="1"/>
  <c r="C30" i="4"/>
  <c r="F29" i="4"/>
  <c r="E29" i="4"/>
  <c r="F28" i="4"/>
  <c r="E28" i="4"/>
  <c r="F27" i="4"/>
  <c r="E27" i="4"/>
  <c r="D24" i="4"/>
  <c r="E24" i="4" s="1"/>
  <c r="F24" i="4" s="1"/>
  <c r="C24" i="4"/>
  <c r="F23" i="4"/>
  <c r="E23" i="4"/>
  <c r="F22" i="4"/>
  <c r="E22" i="4"/>
  <c r="F21" i="4"/>
  <c r="E21" i="4"/>
  <c r="D18" i="4"/>
  <c r="E18" i="4" s="1"/>
  <c r="F18" i="4" s="1"/>
  <c r="C18" i="4"/>
  <c r="F17" i="4"/>
  <c r="E17" i="4"/>
  <c r="F16" i="4"/>
  <c r="E16" i="4"/>
  <c r="F15" i="4"/>
  <c r="E15" i="4"/>
  <c r="D179" i="3"/>
  <c r="E179" i="3" s="1"/>
  <c r="F179" i="3" s="1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 s="1"/>
  <c r="F166" i="3" s="1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 s="1"/>
  <c r="F153" i="3" s="1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 s="1"/>
  <c r="F124" i="3" s="1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 s="1"/>
  <c r="F111" i="3" s="1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 s="1"/>
  <c r="F94" i="3" s="1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F89" i="3"/>
  <c r="D89" i="3"/>
  <c r="E89" i="3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D95" i="3" s="1"/>
  <c r="C84" i="3"/>
  <c r="C95" i="3"/>
  <c r="D81" i="3"/>
  <c r="C81" i="3"/>
  <c r="E81" i="3" s="1"/>
  <c r="E80" i="3"/>
  <c r="F80" i="3" s="1"/>
  <c r="E79" i="3"/>
  <c r="F79" i="3" s="1"/>
  <c r="E78" i="3"/>
  <c r="F78" i="3" s="1"/>
  <c r="E77" i="3"/>
  <c r="F77" i="3" s="1"/>
  <c r="E76" i="3"/>
  <c r="F76" i="3" s="1"/>
  <c r="F75" i="3"/>
  <c r="E75" i="3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8" i="3" s="1"/>
  <c r="E67" i="3"/>
  <c r="F67" i="3" s="1"/>
  <c r="E66" i="3"/>
  <c r="F66" i="3" s="1"/>
  <c r="E65" i="3"/>
  <c r="F65" i="3" s="1"/>
  <c r="E64" i="3"/>
  <c r="F64" i="3" s="1"/>
  <c r="E63" i="3"/>
  <c r="F63" i="3" s="1"/>
  <c r="F62" i="3"/>
  <c r="E62" i="3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E51" i="3" s="1"/>
  <c r="D50" i="3"/>
  <c r="C50" i="3"/>
  <c r="E50" i="3" s="1"/>
  <c r="D49" i="3"/>
  <c r="C49" i="3"/>
  <c r="E49" i="3" s="1"/>
  <c r="D48" i="3"/>
  <c r="C48" i="3"/>
  <c r="E48" i="3" s="1"/>
  <c r="D47" i="3"/>
  <c r="C47" i="3"/>
  <c r="E47" i="3" s="1"/>
  <c r="D46" i="3"/>
  <c r="C46" i="3"/>
  <c r="F46" i="3" s="1"/>
  <c r="D45" i="3"/>
  <c r="C45" i="3"/>
  <c r="E45" i="3" s="1"/>
  <c r="D44" i="3"/>
  <c r="C44" i="3"/>
  <c r="E44" i="3" s="1"/>
  <c r="D43" i="3"/>
  <c r="C43" i="3"/>
  <c r="E43" i="3" s="1"/>
  <c r="D42" i="3"/>
  <c r="C42" i="3"/>
  <c r="E42" i="3" s="1"/>
  <c r="D41" i="3"/>
  <c r="D52" i="3"/>
  <c r="C41" i="3"/>
  <c r="C52" i="3"/>
  <c r="D38" i="3"/>
  <c r="C38" i="3"/>
  <c r="E38" i="3" s="1"/>
  <c r="E37" i="3"/>
  <c r="F37" i="3" s="1"/>
  <c r="E36" i="3"/>
  <c r="F36" i="3" s="1"/>
  <c r="E35" i="3"/>
  <c r="F35" i="3" s="1"/>
  <c r="E34" i="3"/>
  <c r="F34" i="3" s="1"/>
  <c r="E33" i="3"/>
  <c r="F33" i="3" s="1"/>
  <c r="F32" i="3"/>
  <c r="E32" i="3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5" i="3" s="1"/>
  <c r="E24" i="3"/>
  <c r="F24" i="3" s="1"/>
  <c r="E23" i="3"/>
  <c r="F23" i="3" s="1"/>
  <c r="E22" i="3"/>
  <c r="F22" i="3" s="1"/>
  <c r="E21" i="3"/>
  <c r="F21" i="3" s="1"/>
  <c r="E20" i="3"/>
  <c r="F20" i="3" s="1"/>
  <c r="F19" i="3"/>
  <c r="E19" i="3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5" i="2"/>
  <c r="E45" i="2"/>
  <c r="E44" i="2"/>
  <c r="F44" i="2" s="1"/>
  <c r="D39" i="2"/>
  <c r="C39" i="2"/>
  <c r="E39" i="2" s="1"/>
  <c r="F38" i="2"/>
  <c r="E38" i="2"/>
  <c r="E37" i="2"/>
  <c r="F37" i="2" s="1"/>
  <c r="E36" i="2"/>
  <c r="F36" i="2" s="1"/>
  <c r="D31" i="2"/>
  <c r="C31" i="2"/>
  <c r="E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D16" i="2"/>
  <c r="C16" i="2"/>
  <c r="E16" i="2" s="1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C61" i="1"/>
  <c r="C65" i="1" s="1"/>
  <c r="C75" i="1" s="1"/>
  <c r="E60" i="1"/>
  <c r="F60" i="1" s="1"/>
  <c r="F59" i="1"/>
  <c r="E59" i="1"/>
  <c r="D56" i="1"/>
  <c r="C56" i="1"/>
  <c r="E56" i="1" s="1"/>
  <c r="E55" i="1"/>
  <c r="F55" i="1" s="1"/>
  <c r="E54" i="1"/>
  <c r="F54" i="1" s="1"/>
  <c r="F53" i="1"/>
  <c r="E53" i="1"/>
  <c r="F52" i="1"/>
  <c r="E52" i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C41" i="1" s="1"/>
  <c r="E37" i="1"/>
  <c r="F37" i="1" s="1"/>
  <c r="E36" i="1"/>
  <c r="F36" i="1" s="1"/>
  <c r="F33" i="1"/>
  <c r="E33" i="1"/>
  <c r="E32" i="1"/>
  <c r="F32" i="1" s="1"/>
  <c r="E31" i="1"/>
  <c r="F31" i="1" s="1"/>
  <c r="D29" i="1"/>
  <c r="C29" i="1"/>
  <c r="E28" i="1"/>
  <c r="F28" i="1" s="1"/>
  <c r="F27" i="1"/>
  <c r="E27" i="1"/>
  <c r="F26" i="1"/>
  <c r="E26" i="1"/>
  <c r="F25" i="1"/>
  <c r="E25" i="1"/>
  <c r="D22" i="1"/>
  <c r="E22" i="1" s="1"/>
  <c r="F22" i="1" s="1"/>
  <c r="C22" i="1"/>
  <c r="E21" i="1"/>
  <c r="F21" i="1" s="1"/>
  <c r="E20" i="1"/>
  <c r="F20" i="1" s="1"/>
  <c r="E19" i="1"/>
  <c r="F19" i="1" s="1"/>
  <c r="F18" i="1"/>
  <c r="E18" i="1"/>
  <c r="E17" i="1"/>
  <c r="F17" i="1" s="1"/>
  <c r="F16" i="1"/>
  <c r="E16" i="1"/>
  <c r="E15" i="1"/>
  <c r="F15" i="1" s="1"/>
  <c r="E14" i="1"/>
  <c r="F14" i="1" s="1"/>
  <c r="E13" i="1"/>
  <c r="F13" i="1" s="1"/>
  <c r="F58" i="14"/>
  <c r="D37" i="14"/>
  <c r="D111" i="14"/>
  <c r="D146" i="14"/>
  <c r="D239" i="14"/>
  <c r="D277" i="14"/>
  <c r="F135" i="14"/>
  <c r="D214" i="14"/>
  <c r="E65" i="8"/>
  <c r="F65" i="8" s="1"/>
  <c r="C33" i="9"/>
  <c r="E19" i="9"/>
  <c r="F19" i="9" s="1"/>
  <c r="E21" i="5"/>
  <c r="E139" i="5"/>
  <c r="E135" i="5"/>
  <c r="E138" i="5"/>
  <c r="E137" i="5"/>
  <c r="E140" i="5"/>
  <c r="E136" i="5"/>
  <c r="E52" i="3"/>
  <c r="F52" i="3" s="1"/>
  <c r="C15" i="10"/>
  <c r="C25" i="10"/>
  <c r="C27" i="10"/>
  <c r="E48" i="10"/>
  <c r="E42" i="10" s="1"/>
  <c r="E59" i="10"/>
  <c r="E61" i="10" s="1"/>
  <c r="E57" i="10" s="1"/>
  <c r="E57" i="5"/>
  <c r="E62" i="5"/>
  <c r="E41" i="3"/>
  <c r="F41" i="3"/>
  <c r="E84" i="3"/>
  <c r="F84" i="3"/>
  <c r="D25" i="5"/>
  <c r="D27" i="5" s="1"/>
  <c r="E43" i="5"/>
  <c r="C53" i="5"/>
  <c r="D57" i="5"/>
  <c r="D62" i="5" s="1"/>
  <c r="D88" i="5"/>
  <c r="D90" i="5" s="1"/>
  <c r="D86" i="5" s="1"/>
  <c r="F49" i="6"/>
  <c r="C121" i="7"/>
  <c r="I31" i="11"/>
  <c r="C44" i="15"/>
  <c r="D65" i="1"/>
  <c r="D83" i="4"/>
  <c r="D176" i="4"/>
  <c r="F141" i="6"/>
  <c r="F107" i="7"/>
  <c r="F118" i="7"/>
  <c r="E120" i="7"/>
  <c r="E56" i="8"/>
  <c r="E16" i="9"/>
  <c r="E37" i="12"/>
  <c r="E25" i="10"/>
  <c r="E27" i="10" s="1"/>
  <c r="E15" i="10"/>
  <c r="C59" i="10"/>
  <c r="C61" i="10" s="1"/>
  <c r="C57" i="10" s="1"/>
  <c r="C48" i="10"/>
  <c r="C42" i="10" s="1"/>
  <c r="E269" i="14"/>
  <c r="F269" i="14" s="1"/>
  <c r="D19" i="2"/>
  <c r="E49" i="5"/>
  <c r="C57" i="5"/>
  <c r="C62" i="5" s="1"/>
  <c r="E88" i="6"/>
  <c r="F88" i="6" s="1"/>
  <c r="E101" i="6"/>
  <c r="E114" i="6"/>
  <c r="F114" i="6" s="1"/>
  <c r="E127" i="6"/>
  <c r="F127" i="6" s="1"/>
  <c r="E140" i="6"/>
  <c r="F140" i="6" s="1"/>
  <c r="E153" i="6"/>
  <c r="E166" i="6"/>
  <c r="E179" i="6"/>
  <c r="E192" i="6"/>
  <c r="F192" i="6" s="1"/>
  <c r="E200" i="6"/>
  <c r="F200" i="6"/>
  <c r="E204" i="6"/>
  <c r="F204" i="6" s="1"/>
  <c r="F60" i="7"/>
  <c r="E113" i="7"/>
  <c r="F113" i="7" s="1"/>
  <c r="E117" i="7"/>
  <c r="F117" i="7" s="1"/>
  <c r="F119" i="7"/>
  <c r="C122" i="7"/>
  <c r="E22" i="8"/>
  <c r="F22" i="8" s="1"/>
  <c r="F38" i="8"/>
  <c r="C41" i="8"/>
  <c r="C43" i="8" s="1"/>
  <c r="D75" i="8"/>
  <c r="E33" i="9"/>
  <c r="I17" i="11"/>
  <c r="C33" i="11"/>
  <c r="C36" i="11" s="1"/>
  <c r="C38" i="11" s="1"/>
  <c r="C40" i="11" s="1"/>
  <c r="F30" i="12"/>
  <c r="E45" i="12"/>
  <c r="C162" i="14"/>
  <c r="E50" i="6"/>
  <c r="F50" i="6"/>
  <c r="E102" i="6"/>
  <c r="E115" i="6"/>
  <c r="F115" i="6"/>
  <c r="E128" i="6"/>
  <c r="F128" i="6"/>
  <c r="E154" i="6"/>
  <c r="E193" i="6"/>
  <c r="F193" i="6" s="1"/>
  <c r="E201" i="6"/>
  <c r="F201" i="6" s="1"/>
  <c r="F203" i="6"/>
  <c r="E205" i="6"/>
  <c r="F205" i="6" s="1"/>
  <c r="E47" i="7"/>
  <c r="F116" i="7"/>
  <c r="F29" i="8"/>
  <c r="F56" i="8"/>
  <c r="E61" i="8"/>
  <c r="F61" i="8" s="1"/>
  <c r="E73" i="8"/>
  <c r="F73" i="8" s="1"/>
  <c r="F16" i="9"/>
  <c r="E39" i="9"/>
  <c r="F39" i="9" s="1"/>
  <c r="E46" i="9"/>
  <c r="F46" i="9" s="1"/>
  <c r="F16" i="12"/>
  <c r="F23" i="12"/>
  <c r="D33" i="15"/>
  <c r="C46" i="19"/>
  <c r="C40" i="19"/>
  <c r="C36" i="19"/>
  <c r="C30" i="19"/>
  <c r="C111" i="19"/>
  <c r="C54" i="19"/>
  <c r="D104" i="14"/>
  <c r="D174" i="14"/>
  <c r="E264" i="14"/>
  <c r="F264" i="14" s="1"/>
  <c r="F73" i="12"/>
  <c r="F84" i="12"/>
  <c r="F99" i="12"/>
  <c r="E17" i="14"/>
  <c r="F17" i="14"/>
  <c r="E30" i="14"/>
  <c r="F30" i="14"/>
  <c r="E36" i="14"/>
  <c r="F36" i="14"/>
  <c r="E48" i="14"/>
  <c r="E59" i="14"/>
  <c r="F59" i="14" s="1"/>
  <c r="C68" i="14"/>
  <c r="E85" i="14"/>
  <c r="F85" i="14" s="1"/>
  <c r="E94" i="14"/>
  <c r="F94" i="14" s="1"/>
  <c r="E102" i="14"/>
  <c r="F102" i="14" s="1"/>
  <c r="C111" i="14"/>
  <c r="C124" i="14"/>
  <c r="C126" i="14"/>
  <c r="E145" i="14"/>
  <c r="F145" i="14"/>
  <c r="E158" i="14"/>
  <c r="C160" i="14"/>
  <c r="E165" i="14"/>
  <c r="F165" i="14"/>
  <c r="F191" i="14"/>
  <c r="C200" i="14"/>
  <c r="C214" i="14"/>
  <c r="F229" i="14"/>
  <c r="C280" i="14"/>
  <c r="E294" i="14"/>
  <c r="F294" i="14" s="1"/>
  <c r="E311" i="14"/>
  <c r="F311" i="14" s="1"/>
  <c r="D283" i="15"/>
  <c r="E283" i="15"/>
  <c r="E37" i="15"/>
  <c r="E40" i="15"/>
  <c r="E54" i="15"/>
  <c r="E72" i="15"/>
  <c r="E239" i="14"/>
  <c r="F239" i="14"/>
  <c r="D284" i="15"/>
  <c r="D320" i="15"/>
  <c r="E320" i="15" s="1"/>
  <c r="E316" i="15"/>
  <c r="D330" i="15"/>
  <c r="E330" i="15" s="1"/>
  <c r="E326" i="15"/>
  <c r="C108" i="19"/>
  <c r="C109" i="19"/>
  <c r="D175" i="14"/>
  <c r="D62" i="14"/>
  <c r="D105" i="14"/>
  <c r="D90" i="14"/>
  <c r="D195" i="14"/>
  <c r="D160" i="14"/>
  <c r="E160" i="14" s="1"/>
  <c r="F160" i="14" s="1"/>
  <c r="D207" i="14"/>
  <c r="D138" i="14"/>
  <c r="E278" i="14"/>
  <c r="F278" i="14" s="1"/>
  <c r="F53" i="14"/>
  <c r="F67" i="14"/>
  <c r="F100" i="14"/>
  <c r="F110" i="14"/>
  <c r="C125" i="14"/>
  <c r="F130" i="14"/>
  <c r="F159" i="14"/>
  <c r="C172" i="14"/>
  <c r="C194" i="14"/>
  <c r="C227" i="14"/>
  <c r="C265" i="14"/>
  <c r="F297" i="14"/>
  <c r="F298" i="14"/>
  <c r="F307" i="14"/>
  <c r="E41" i="15"/>
  <c r="E282" i="14"/>
  <c r="F282" i="14" s="1"/>
  <c r="E194" i="14"/>
  <c r="C285" i="14"/>
  <c r="C286" i="14"/>
  <c r="E204" i="14"/>
  <c r="F204" i="14"/>
  <c r="D254" i="14"/>
  <c r="E214" i="14"/>
  <c r="F65" i="12"/>
  <c r="F70" i="12"/>
  <c r="F18" i="13"/>
  <c r="F23" i="13"/>
  <c r="C31" i="14"/>
  <c r="F35" i="14"/>
  <c r="C37" i="14"/>
  <c r="C49" i="14"/>
  <c r="C60" i="14"/>
  <c r="C103" i="14"/>
  <c r="E123" i="14"/>
  <c r="F123" i="14" s="1"/>
  <c r="F129" i="14"/>
  <c r="F155" i="14"/>
  <c r="F171" i="14"/>
  <c r="C190" i="14"/>
  <c r="C192" i="14"/>
  <c r="F193" i="14"/>
  <c r="C199" i="14"/>
  <c r="C206" i="14"/>
  <c r="C215" i="14"/>
  <c r="F226" i="14"/>
  <c r="C261" i="14"/>
  <c r="F296" i="14"/>
  <c r="C22" i="15"/>
  <c r="C284" i="15" s="1"/>
  <c r="E284" i="15" s="1"/>
  <c r="D44" i="15"/>
  <c r="E243" i="15"/>
  <c r="C303" i="15"/>
  <c r="C306" i="15" s="1"/>
  <c r="D41" i="17"/>
  <c r="C146" i="14"/>
  <c r="F144" i="14"/>
  <c r="F48" i="14"/>
  <c r="F158" i="14"/>
  <c r="F164" i="14"/>
  <c r="F230" i="14"/>
  <c r="E21" i="15"/>
  <c r="C253" i="15"/>
  <c r="C252" i="15"/>
  <c r="E290" i="14"/>
  <c r="F290" i="14"/>
  <c r="C260" i="15"/>
  <c r="D261" i="15"/>
  <c r="D289" i="15"/>
  <c r="D302" i="15"/>
  <c r="E302" i="15" s="1"/>
  <c r="C20" i="17"/>
  <c r="E20" i="17" s="1"/>
  <c r="F20" i="17" s="1"/>
  <c r="E25" i="17"/>
  <c r="F25" i="17" s="1"/>
  <c r="C40" i="17"/>
  <c r="C41" i="17" s="1"/>
  <c r="C46" i="17"/>
  <c r="C33" i="19"/>
  <c r="D34" i="19"/>
  <c r="C101" i="19"/>
  <c r="C103" i="19"/>
  <c r="D267" i="14"/>
  <c r="D285" i="14"/>
  <c r="E285" i="14" s="1"/>
  <c r="F285" i="14" s="1"/>
  <c r="D306" i="14"/>
  <c r="C175" i="15"/>
  <c r="E175" i="15" s="1"/>
  <c r="C210" i="15"/>
  <c r="E210" i="15" s="1"/>
  <c r="D211" i="15"/>
  <c r="E215" i="15"/>
  <c r="E219" i="15"/>
  <c r="D222" i="15"/>
  <c r="D229" i="15"/>
  <c r="E229" i="15" s="1"/>
  <c r="C239" i="15"/>
  <c r="E239" i="15" s="1"/>
  <c r="D240" i="15"/>
  <c r="E240" i="15" s="1"/>
  <c r="D244" i="15"/>
  <c r="E244" i="15" s="1"/>
  <c r="E314" i="15"/>
  <c r="C49" i="16"/>
  <c r="D22" i="19"/>
  <c r="E23" i="19"/>
  <c r="C34" i="19"/>
  <c r="E108" i="19"/>
  <c r="D124" i="14"/>
  <c r="E124" i="14" s="1"/>
  <c r="F124" i="14" s="1"/>
  <c r="D200" i="14"/>
  <c r="E200" i="14" s="1"/>
  <c r="F200" i="14" s="1"/>
  <c r="D262" i="14"/>
  <c r="D266" i="14"/>
  <c r="E266" i="14"/>
  <c r="F266" i="14" s="1"/>
  <c r="D274" i="14"/>
  <c r="D280" i="14"/>
  <c r="D65" i="15"/>
  <c r="D294" i="15" s="1"/>
  <c r="D144" i="15"/>
  <c r="C222" i="15"/>
  <c r="C246" i="15"/>
  <c r="E231" i="15"/>
  <c r="D234" i="15"/>
  <c r="D241" i="15"/>
  <c r="D245" i="15"/>
  <c r="E245" i="15" s="1"/>
  <c r="E260" i="15"/>
  <c r="E324" i="15"/>
  <c r="E19" i="17"/>
  <c r="F19" i="17" s="1"/>
  <c r="E39" i="17"/>
  <c r="E43" i="17"/>
  <c r="E46" i="17" s="1"/>
  <c r="F46" i="17" s="1"/>
  <c r="C22" i="19"/>
  <c r="C45" i="19" s="1"/>
  <c r="D23" i="19"/>
  <c r="E101" i="19"/>
  <c r="E103" i="19"/>
  <c r="D108" i="19"/>
  <c r="D199" i="14"/>
  <c r="D205" i="14"/>
  <c r="D215" i="14"/>
  <c r="D279" i="14"/>
  <c r="D283" i="14"/>
  <c r="D284" i="14" s="1"/>
  <c r="D21" i="14"/>
  <c r="D190" i="14"/>
  <c r="E190" i="14" s="1"/>
  <c r="F190" i="14" s="1"/>
  <c r="C127" i="14"/>
  <c r="E43" i="8"/>
  <c r="F43" i="8" s="1"/>
  <c r="C39" i="19"/>
  <c r="C29" i="19"/>
  <c r="C53" i="19"/>
  <c r="D246" i="15"/>
  <c r="E246" i="15"/>
  <c r="E222" i="15"/>
  <c r="E146" i="14"/>
  <c r="F146" i="14" s="1"/>
  <c r="D286" i="14"/>
  <c r="E286" i="14" s="1"/>
  <c r="F286" i="14" s="1"/>
  <c r="D46" i="19"/>
  <c r="D40" i="19"/>
  <c r="D36" i="19"/>
  <c r="D30" i="19"/>
  <c r="D111" i="19"/>
  <c r="D54" i="19"/>
  <c r="D281" i="14"/>
  <c r="E280" i="14"/>
  <c r="F280" i="14" s="1"/>
  <c r="E54" i="19"/>
  <c r="E46" i="19"/>
  <c r="E40" i="19"/>
  <c r="E36" i="19"/>
  <c r="E30" i="19"/>
  <c r="E111" i="19"/>
  <c r="D235" i="15"/>
  <c r="C50" i="14"/>
  <c r="C32" i="14"/>
  <c r="E31" i="14"/>
  <c r="F31" i="14" s="1"/>
  <c r="C173" i="14"/>
  <c r="E172" i="14"/>
  <c r="F172" i="14" s="1"/>
  <c r="D106" i="14"/>
  <c r="D176" i="14"/>
  <c r="C281" i="14"/>
  <c r="E111" i="14"/>
  <c r="F111" i="14" s="1"/>
  <c r="E33" i="15"/>
  <c r="E121" i="7"/>
  <c r="F121" i="7" s="1"/>
  <c r="C24" i="10"/>
  <c r="C17" i="10"/>
  <c r="C28" i="10"/>
  <c r="C70" i="10" s="1"/>
  <c r="C72" i="10" s="1"/>
  <c r="C69" i="10" s="1"/>
  <c r="E199" i="14"/>
  <c r="D303" i="15"/>
  <c r="D252" i="15"/>
  <c r="D125" i="14"/>
  <c r="E125" i="14" s="1"/>
  <c r="F125" i="14" s="1"/>
  <c r="E22" i="15"/>
  <c r="D300" i="14"/>
  <c r="D139" i="14"/>
  <c r="D75" i="1"/>
  <c r="E75" i="1"/>
  <c r="F75" i="1" s="1"/>
  <c r="D126" i="14"/>
  <c r="D91" i="14"/>
  <c r="D49" i="14"/>
  <c r="D196" i="14"/>
  <c r="D161" i="14"/>
  <c r="E21" i="14"/>
  <c r="F21" i="14"/>
  <c r="E261" i="14"/>
  <c r="F261" i="14" s="1"/>
  <c r="C61" i="14"/>
  <c r="E60" i="14"/>
  <c r="F60" i="14"/>
  <c r="C56" i="19"/>
  <c r="C48" i="19"/>
  <c r="C38" i="19"/>
  <c r="C113" i="19"/>
  <c r="D33" i="2"/>
  <c r="E21" i="10"/>
  <c r="D21" i="5"/>
  <c r="C22" i="10"/>
  <c r="C20" i="10"/>
  <c r="C21" i="10"/>
  <c r="F33" i="9"/>
  <c r="C41" i="9"/>
  <c r="D253" i="15"/>
  <c r="E253" i="15" s="1"/>
  <c r="F199" i="14"/>
  <c r="F194" i="14"/>
  <c r="D288" i="14"/>
  <c r="D140" i="14"/>
  <c r="E40" i="17"/>
  <c r="F40" i="17" s="1"/>
  <c r="D265" i="14"/>
  <c r="E265" i="14" s="1"/>
  <c r="F265" i="14" s="1"/>
  <c r="D272" i="14"/>
  <c r="D263" i="14"/>
  <c r="D255" i="14"/>
  <c r="E215" i="14"/>
  <c r="F215" i="14" s="1"/>
  <c r="D66" i="15"/>
  <c r="E66" i="15" s="1"/>
  <c r="E65" i="15"/>
  <c r="D268" i="14"/>
  <c r="D270" i="14"/>
  <c r="D271" i="14"/>
  <c r="E206" i="14"/>
  <c r="F206" i="14" s="1"/>
  <c r="E103" i="14"/>
  <c r="F103" i="14" s="1"/>
  <c r="E37" i="14"/>
  <c r="F37" i="14" s="1"/>
  <c r="D208" i="14"/>
  <c r="D63" i="14"/>
  <c r="F214" i="14"/>
  <c r="C216" i="14"/>
  <c r="E17" i="10"/>
  <c r="E28" i="10" s="1"/>
  <c r="E24" i="10"/>
  <c r="E20" i="10" s="1"/>
  <c r="C99" i="15"/>
  <c r="C95" i="15"/>
  <c r="C88" i="15"/>
  <c r="C84" i="15"/>
  <c r="C258" i="15"/>
  <c r="C98" i="15"/>
  <c r="C87" i="15"/>
  <c r="C83" i="15"/>
  <c r="C101" i="15"/>
  <c r="C97" i="15"/>
  <c r="C86" i="15"/>
  <c r="C100" i="15"/>
  <c r="C96" i="15"/>
  <c r="C102" i="15"/>
  <c r="C89" i="15"/>
  <c r="C85" i="15"/>
  <c r="F39" i="17"/>
  <c r="D216" i="14"/>
  <c r="E216" i="14" s="1"/>
  <c r="F216" i="14" s="1"/>
  <c r="C196" i="14"/>
  <c r="C223" i="15"/>
  <c r="C247" i="15" s="1"/>
  <c r="C304" i="14"/>
  <c r="E122" i="7"/>
  <c r="F122" i="7" s="1"/>
  <c r="E141" i="5"/>
  <c r="D145" i="15"/>
  <c r="D180" i="15"/>
  <c r="D168" i="15"/>
  <c r="D53" i="19"/>
  <c r="D45" i="19"/>
  <c r="D39" i="19"/>
  <c r="D35" i="19"/>
  <c r="D29" i="19"/>
  <c r="D110" i="19"/>
  <c r="C234" i="15"/>
  <c r="E234" i="15" s="1"/>
  <c r="C211" i="15"/>
  <c r="E211" i="15" s="1"/>
  <c r="D100" i="15"/>
  <c r="E100" i="15" s="1"/>
  <c r="D96" i="15"/>
  <c r="D89" i="15"/>
  <c r="E89" i="15" s="1"/>
  <c r="D85" i="15"/>
  <c r="E85" i="15" s="1"/>
  <c r="D99" i="15"/>
  <c r="D95" i="15"/>
  <c r="D88" i="15"/>
  <c r="D84" i="15"/>
  <c r="E44" i="15"/>
  <c r="D258" i="15"/>
  <c r="D98" i="15"/>
  <c r="E98" i="15" s="1"/>
  <c r="D87" i="15"/>
  <c r="E87" i="15" s="1"/>
  <c r="D83" i="15"/>
  <c r="D101" i="15"/>
  <c r="E101" i="15" s="1"/>
  <c r="D97" i="15"/>
  <c r="E97" i="15" s="1"/>
  <c r="D86" i="15"/>
  <c r="E86" i="15" s="1"/>
  <c r="E192" i="14"/>
  <c r="F192" i="14" s="1"/>
  <c r="E227" i="14"/>
  <c r="F227" i="14" s="1"/>
  <c r="E68" i="14"/>
  <c r="F68" i="14" s="1"/>
  <c r="E41" i="8"/>
  <c r="F41" i="8" s="1"/>
  <c r="D223" i="15"/>
  <c r="F43" i="17"/>
  <c r="D287" i="14"/>
  <c r="C288" i="14"/>
  <c r="C195" i="14"/>
  <c r="D291" i="14"/>
  <c r="D289" i="14"/>
  <c r="E258" i="15"/>
  <c r="E96" i="15"/>
  <c r="D102" i="15"/>
  <c r="E102" i="15"/>
  <c r="D141" i="14"/>
  <c r="D50" i="14"/>
  <c r="E49" i="14"/>
  <c r="F49" i="14" s="1"/>
  <c r="E173" i="14"/>
  <c r="F173" i="14" s="1"/>
  <c r="D113" i="19"/>
  <c r="D56" i="19"/>
  <c r="D48" i="19"/>
  <c r="D38" i="19"/>
  <c r="C112" i="19"/>
  <c r="C55" i="19"/>
  <c r="C47" i="19"/>
  <c r="C37" i="19"/>
  <c r="E88" i="15"/>
  <c r="C90" i="15"/>
  <c r="C91" i="15" s="1"/>
  <c r="E41" i="17"/>
  <c r="C174" i="14"/>
  <c r="C104" i="14"/>
  <c r="E61" i="14"/>
  <c r="F61" i="14" s="1"/>
  <c r="D197" i="14"/>
  <c r="E196" i="14"/>
  <c r="E252" i="15"/>
  <c r="D254" i="15"/>
  <c r="D306" i="15"/>
  <c r="E303" i="15"/>
  <c r="E48" i="19"/>
  <c r="E38" i="19"/>
  <c r="E113" i="19"/>
  <c r="E56" i="19"/>
  <c r="C197" i="14"/>
  <c r="F196" i="14"/>
  <c r="E223" i="15"/>
  <c r="D247" i="15"/>
  <c r="E84" i="15"/>
  <c r="D90" i="15"/>
  <c r="E90" i="15" s="1"/>
  <c r="C235" i="15"/>
  <c r="E83" i="15"/>
  <c r="D47" i="19"/>
  <c r="D37" i="19"/>
  <c r="D112" i="19"/>
  <c r="D55" i="19"/>
  <c r="D181" i="15"/>
  <c r="D210" i="14"/>
  <c r="D209" i="14"/>
  <c r="D304" i="14"/>
  <c r="D273" i="14"/>
  <c r="D41" i="2"/>
  <c r="D162" i="14"/>
  <c r="E161" i="14"/>
  <c r="F161" i="14" s="1"/>
  <c r="D127" i="14"/>
  <c r="E126" i="14"/>
  <c r="F126" i="14"/>
  <c r="C175" i="14"/>
  <c r="E32" i="14"/>
  <c r="F32" i="14" s="1"/>
  <c r="C105" i="14"/>
  <c r="C62" i="14"/>
  <c r="E99" i="15"/>
  <c r="E195" i="14"/>
  <c r="F195" i="14" s="1"/>
  <c r="C103" i="15"/>
  <c r="D295" i="15"/>
  <c r="E295" i="15"/>
  <c r="D103" i="15"/>
  <c r="E103" i="15"/>
  <c r="E95" i="15"/>
  <c r="C48" i="9"/>
  <c r="E41" i="9"/>
  <c r="F41" i="9"/>
  <c r="D92" i="14"/>
  <c r="E288" i="14"/>
  <c r="F288" i="14" s="1"/>
  <c r="E235" i="15"/>
  <c r="E281" i="14"/>
  <c r="F281" i="14" s="1"/>
  <c r="E48" i="9"/>
  <c r="E304" i="14"/>
  <c r="F304" i="14"/>
  <c r="E174" i="14"/>
  <c r="F174" i="14" s="1"/>
  <c r="D183" i="14"/>
  <c r="D323" i="14"/>
  <c r="E162" i="14"/>
  <c r="F162" i="14" s="1"/>
  <c r="D324" i="14"/>
  <c r="D113" i="14"/>
  <c r="C106" i="14"/>
  <c r="E106" i="14" s="1"/>
  <c r="F106" i="14" s="1"/>
  <c r="E105" i="14"/>
  <c r="F105" i="14"/>
  <c r="C176" i="14"/>
  <c r="E175" i="14"/>
  <c r="F175" i="14" s="1"/>
  <c r="D211" i="14"/>
  <c r="D310" i="15"/>
  <c r="E104" i="14"/>
  <c r="F104" i="14" s="1"/>
  <c r="D70" i="14"/>
  <c r="E50" i="14"/>
  <c r="F50" i="14" s="1"/>
  <c r="D322" i="14"/>
  <c r="D325" i="14" s="1"/>
  <c r="D305" i="14"/>
  <c r="E197" i="14"/>
  <c r="F197" i="14" s="1"/>
  <c r="C63" i="14"/>
  <c r="E62" i="14"/>
  <c r="F62" i="14" s="1"/>
  <c r="D148" i="14"/>
  <c r="E127" i="14"/>
  <c r="F127" i="14" s="1"/>
  <c r="D48" i="2"/>
  <c r="C70" i="14"/>
  <c r="E70" i="14" s="1"/>
  <c r="E63" i="14"/>
  <c r="F63" i="14"/>
  <c r="D309" i="14"/>
  <c r="C183" i="14"/>
  <c r="E183" i="14" s="1"/>
  <c r="F183" i="14" s="1"/>
  <c r="C323" i="14"/>
  <c r="E323" i="14" s="1"/>
  <c r="F323" i="14" s="1"/>
  <c r="E176" i="14"/>
  <c r="F176" i="14" s="1"/>
  <c r="D310" i="14"/>
  <c r="D312" i="14" s="1"/>
  <c r="D313" i="14" s="1"/>
  <c r="D315" i="14" s="1"/>
  <c r="E70" i="10" l="1"/>
  <c r="E72" i="10" s="1"/>
  <c r="E69" i="10" s="1"/>
  <c r="E22" i="10"/>
  <c r="C310" i="15"/>
  <c r="E310" i="15" s="1"/>
  <c r="E306" i="15"/>
  <c r="F70" i="14"/>
  <c r="F41" i="17"/>
  <c r="C254" i="15"/>
  <c r="E254" i="15" s="1"/>
  <c r="F48" i="9"/>
  <c r="C105" i="15"/>
  <c r="E247" i="15"/>
  <c r="D24" i="5"/>
  <c r="D20" i="5" s="1"/>
  <c r="D17" i="5"/>
  <c r="D156" i="5"/>
  <c r="D154" i="5"/>
  <c r="D153" i="5"/>
  <c r="D155" i="5"/>
  <c r="D157" i="5"/>
  <c r="D152" i="5"/>
  <c r="D158" i="5" s="1"/>
  <c r="E95" i="3"/>
  <c r="F95" i="3" s="1"/>
  <c r="E59" i="4"/>
  <c r="F59" i="4" s="1"/>
  <c r="C15" i="5"/>
  <c r="C149" i="5"/>
  <c r="E166" i="5"/>
  <c r="E23" i="6"/>
  <c r="F23" i="6" s="1"/>
  <c r="E24" i="6"/>
  <c r="F24" i="6" s="1"/>
  <c r="E37" i="6"/>
  <c r="E75" i="6"/>
  <c r="F75" i="6" s="1"/>
  <c r="E76" i="6"/>
  <c r="F76" i="6" s="1"/>
  <c r="E198" i="6"/>
  <c r="F198" i="6" s="1"/>
  <c r="E199" i="6"/>
  <c r="F199" i="6" s="1"/>
  <c r="E202" i="6"/>
  <c r="F202" i="6" s="1"/>
  <c r="E24" i="7"/>
  <c r="E65" i="1"/>
  <c r="F65" i="1" s="1"/>
  <c r="E29" i="1"/>
  <c r="F29" i="1" s="1"/>
  <c r="E61" i="1"/>
  <c r="F61" i="1" s="1"/>
  <c r="E73" i="1"/>
  <c r="F73" i="1" s="1"/>
  <c r="E46" i="2"/>
  <c r="E46" i="3"/>
  <c r="E118" i="4"/>
  <c r="E171" i="4"/>
  <c r="F171" i="4" s="1"/>
  <c r="C90" i="5"/>
  <c r="C86" i="5" s="1"/>
  <c r="D79" i="5"/>
  <c r="C109" i="5"/>
  <c r="C106" i="5" s="1"/>
  <c r="D149" i="5"/>
  <c r="C166" i="5"/>
  <c r="E167" i="6"/>
  <c r="E180" i="6"/>
  <c r="D207" i="6"/>
  <c r="E207" i="6" s="1"/>
  <c r="F207" i="6" s="1"/>
  <c r="E36" i="7"/>
  <c r="F36" i="7" s="1"/>
  <c r="E48" i="7"/>
  <c r="E59" i="7"/>
  <c r="F59" i="7" s="1"/>
  <c r="E114" i="7"/>
  <c r="F114" i="7" s="1"/>
  <c r="E115" i="7"/>
  <c r="F115" i="7" s="1"/>
  <c r="E31" i="9"/>
  <c r="F31" i="9" s="1"/>
  <c r="D27" i="10"/>
  <c r="D21" i="10" s="1"/>
  <c r="E75" i="12"/>
  <c r="E92" i="12"/>
  <c r="F92" i="12" s="1"/>
  <c r="C181" i="14"/>
  <c r="C254" i="14"/>
  <c r="E198" i="14"/>
  <c r="F198" i="14" s="1"/>
  <c r="C267" i="14"/>
  <c r="E203" i="14"/>
  <c r="E38" i="15"/>
  <c r="E39" i="15"/>
  <c r="C289" i="15"/>
  <c r="E289" i="15" s="1"/>
  <c r="E60" i="15"/>
  <c r="E161" i="15"/>
  <c r="E16" i="17"/>
  <c r="F36" i="17"/>
  <c r="E19" i="18"/>
  <c r="F19" i="18" s="1"/>
  <c r="E21" i="18"/>
  <c r="F21" i="18" s="1"/>
  <c r="E33" i="19"/>
  <c r="D101" i="19"/>
  <c r="D103" i="19" s="1"/>
  <c r="D88" i="19"/>
  <c r="E88" i="19"/>
  <c r="D93" i="19"/>
  <c r="C98" i="19"/>
  <c r="E98" i="19"/>
  <c r="E108" i="7"/>
  <c r="F108" i="7" s="1"/>
  <c r="C75" i="8"/>
  <c r="E75" i="8" s="1"/>
  <c r="F75" i="8" s="1"/>
  <c r="D48" i="10"/>
  <c r="D42" i="10" s="1"/>
  <c r="D50" i="10"/>
  <c r="D33" i="11"/>
  <c r="D36" i="11" s="1"/>
  <c r="D38" i="11" s="1"/>
  <c r="H31" i="11"/>
  <c r="C205" i="14"/>
  <c r="E205" i="14" s="1"/>
  <c r="F205" i="14" s="1"/>
  <c r="F223" i="14"/>
  <c r="E73" i="15"/>
  <c r="E176" i="15"/>
  <c r="E179" i="15"/>
  <c r="E220" i="15"/>
  <c r="E221" i="15"/>
  <c r="E230" i="15"/>
  <c r="E276" i="15"/>
  <c r="E279" i="15"/>
  <c r="E280" i="15"/>
  <c r="E292" i="15"/>
  <c r="E22" i="19"/>
  <c r="D256" i="14"/>
  <c r="D251" i="14"/>
  <c r="D314" i="14"/>
  <c r="D91" i="15"/>
  <c r="E283" i="14"/>
  <c r="F283" i="14" s="1"/>
  <c r="C110" i="19"/>
  <c r="C35" i="19"/>
  <c r="E41" i="1"/>
  <c r="D43" i="1"/>
  <c r="F41" i="1"/>
  <c r="C43" i="1"/>
  <c r="F118" i="4"/>
  <c r="F56" i="1"/>
  <c r="C19" i="2"/>
  <c r="F16" i="2"/>
  <c r="F31" i="2"/>
  <c r="F39" i="2"/>
  <c r="F46" i="2"/>
  <c r="F25" i="3"/>
  <c r="F38" i="3"/>
  <c r="F42" i="3"/>
  <c r="F43" i="3"/>
  <c r="F44" i="3"/>
  <c r="F45" i="3"/>
  <c r="F47" i="3"/>
  <c r="F48" i="3"/>
  <c r="F49" i="3"/>
  <c r="F50" i="3"/>
  <c r="F51" i="3"/>
  <c r="F68" i="3"/>
  <c r="F81" i="3"/>
  <c r="C83" i="4"/>
  <c r="F78" i="4"/>
  <c r="F109" i="4"/>
  <c r="F75" i="12"/>
  <c r="E38" i="1"/>
  <c r="F38" i="1" s="1"/>
  <c r="E155" i="4"/>
  <c r="F155" i="4" s="1"/>
  <c r="C176" i="4"/>
  <c r="E15" i="5"/>
  <c r="C49" i="5"/>
  <c r="C77" i="5"/>
  <c r="C71" i="5" s="1"/>
  <c r="E77" i="5"/>
  <c r="E71" i="5" s="1"/>
  <c r="F167" i="6"/>
  <c r="D208" i="6"/>
  <c r="E208" i="6" s="1"/>
  <c r="F208" i="6" s="1"/>
  <c r="E206" i="6"/>
  <c r="E71" i="7"/>
  <c r="E72" i="7"/>
  <c r="E83" i="7"/>
  <c r="E84" i="7"/>
  <c r="E95" i="7"/>
  <c r="E96" i="7"/>
  <c r="D15" i="10"/>
  <c r="F33" i="11"/>
  <c r="G33" i="11"/>
  <c r="E50" i="12"/>
  <c r="E55" i="12"/>
  <c r="E14" i="13"/>
  <c r="F14" i="13" s="1"/>
  <c r="D49" i="5"/>
  <c r="D43" i="5"/>
  <c r="E112" i="7"/>
  <c r="F112" i="7" s="1"/>
  <c r="H17" i="11"/>
  <c r="E20" i="14"/>
  <c r="F20" i="14" s="1"/>
  <c r="F24" i="14"/>
  <c r="E55" i="15"/>
  <c r="F29" i="14"/>
  <c r="E47" i="14"/>
  <c r="F47" i="14" s="1"/>
  <c r="F88" i="14"/>
  <c r="C89" i="14"/>
  <c r="E101" i="14"/>
  <c r="F101" i="14" s="1"/>
  <c r="F120" i="14"/>
  <c r="F136" i="14"/>
  <c r="C137" i="14"/>
  <c r="F170" i="14"/>
  <c r="E179" i="14"/>
  <c r="F179" i="14" s="1"/>
  <c r="F180" i="14"/>
  <c r="C277" i="14"/>
  <c r="E188" i="14"/>
  <c r="F188" i="14" s="1"/>
  <c r="F203" i="14"/>
  <c r="C306" i="14"/>
  <c r="F250" i="14"/>
  <c r="C262" i="14"/>
  <c r="C274" i="14"/>
  <c r="F295" i="14"/>
  <c r="C294" i="15"/>
  <c r="E294" i="15" s="1"/>
  <c r="D71" i="15"/>
  <c r="C71" i="15"/>
  <c r="C76" i="15" s="1"/>
  <c r="C156" i="15"/>
  <c r="C157" i="15" s="1"/>
  <c r="E151" i="15"/>
  <c r="D157" i="15"/>
  <c r="E76" i="14"/>
  <c r="F76" i="14" s="1"/>
  <c r="E189" i="14"/>
  <c r="F189" i="14" s="1"/>
  <c r="E237" i="14"/>
  <c r="F237" i="14" s="1"/>
  <c r="C255" i="14"/>
  <c r="E32" i="15"/>
  <c r="E74" i="15"/>
  <c r="C163" i="15"/>
  <c r="E163" i="15" s="1"/>
  <c r="C144" i="15"/>
  <c r="E189" i="15"/>
  <c r="C241" i="15"/>
  <c r="E241" i="15" s="1"/>
  <c r="C38" i="16"/>
  <c r="C127" i="16" s="1"/>
  <c r="C129" i="16" s="1"/>
  <c r="C133" i="16" s="1"/>
  <c r="F16" i="17"/>
  <c r="E188" i="15"/>
  <c r="C22" i="16"/>
  <c r="C261" i="15"/>
  <c r="E261" i="15" s="1"/>
  <c r="D242" i="15"/>
  <c r="E242" i="15" s="1"/>
  <c r="E43" i="1" l="1"/>
  <c r="F181" i="14"/>
  <c r="E181" i="14"/>
  <c r="D138" i="5"/>
  <c r="D140" i="5"/>
  <c r="D139" i="5"/>
  <c r="D137" i="5"/>
  <c r="D136" i="5"/>
  <c r="D135" i="5"/>
  <c r="D141" i="5" s="1"/>
  <c r="C137" i="5"/>
  <c r="C136" i="5"/>
  <c r="C135" i="5"/>
  <c r="C140" i="5"/>
  <c r="C139" i="5"/>
  <c r="C138" i="5"/>
  <c r="E110" i="19"/>
  <c r="E35" i="19"/>
  <c r="E45" i="19"/>
  <c r="E53" i="19"/>
  <c r="E29" i="19"/>
  <c r="E39" i="19"/>
  <c r="C268" i="14"/>
  <c r="E267" i="14"/>
  <c r="C270" i="14"/>
  <c r="E270" i="14" s="1"/>
  <c r="F270" i="14" s="1"/>
  <c r="C271" i="14"/>
  <c r="E271" i="14" s="1"/>
  <c r="F271" i="14" s="1"/>
  <c r="F267" i="14"/>
  <c r="E254" i="14"/>
  <c r="F254" i="14"/>
  <c r="C157" i="5"/>
  <c r="C156" i="5"/>
  <c r="C155" i="5"/>
  <c r="C154" i="5"/>
  <c r="C153" i="5"/>
  <c r="C152" i="5"/>
  <c r="C158" i="5" s="1"/>
  <c r="E156" i="5"/>
  <c r="E155" i="5"/>
  <c r="E157" i="5"/>
  <c r="E152" i="5"/>
  <c r="E154" i="5"/>
  <c r="E153" i="5"/>
  <c r="C24" i="5"/>
  <c r="C20" i="5" s="1"/>
  <c r="C17" i="5"/>
  <c r="D28" i="5"/>
  <c r="D112" i="5"/>
  <c r="D111" i="5" s="1"/>
  <c r="C77" i="15"/>
  <c r="C259" i="15"/>
  <c r="C263" i="15" s="1"/>
  <c r="C264" i="15" s="1"/>
  <c r="C266" i="15" s="1"/>
  <c r="C267" i="15" s="1"/>
  <c r="E255" i="14"/>
  <c r="F255" i="14"/>
  <c r="E157" i="15"/>
  <c r="D169" i="15"/>
  <c r="C300" i="14"/>
  <c r="C279" i="14"/>
  <c r="C287" i="14"/>
  <c r="E277" i="14"/>
  <c r="F277" i="14" s="1"/>
  <c r="C284" i="14"/>
  <c r="C138" i="14"/>
  <c r="C207" i="14"/>
  <c r="E137" i="14"/>
  <c r="F137" i="14" s="1"/>
  <c r="E89" i="14"/>
  <c r="F89" i="14" s="1"/>
  <c r="C90" i="14"/>
  <c r="C91" i="14"/>
  <c r="E156" i="15"/>
  <c r="G36" i="11"/>
  <c r="G38" i="11" s="1"/>
  <c r="G40" i="11" s="1"/>
  <c r="I33" i="11"/>
  <c r="I36" i="11" s="1"/>
  <c r="I38" i="11" s="1"/>
  <c r="I40" i="11" s="1"/>
  <c r="D24" i="10"/>
  <c r="D20" i="10" s="1"/>
  <c r="D17" i="10"/>
  <c r="D28" i="10" s="1"/>
  <c r="E176" i="4"/>
  <c r="F176" i="4" s="1"/>
  <c r="C33" i="2"/>
  <c r="E19" i="2"/>
  <c r="F19" i="2"/>
  <c r="F43" i="1"/>
  <c r="E83" i="4"/>
  <c r="F83" i="4" s="1"/>
  <c r="D105" i="15"/>
  <c r="E105" i="15" s="1"/>
  <c r="E91" i="15"/>
  <c r="E274" i="14"/>
  <c r="F274" i="14" s="1"/>
  <c r="C145" i="15"/>
  <c r="C168" i="15"/>
  <c r="E168" i="15" s="1"/>
  <c r="C180" i="15"/>
  <c r="E180" i="15" s="1"/>
  <c r="E144" i="15"/>
  <c r="E71" i="15"/>
  <c r="D76" i="15"/>
  <c r="C272" i="14"/>
  <c r="C263" i="14"/>
  <c r="E262" i="14"/>
  <c r="F262" i="14" s="1"/>
  <c r="F36" i="11"/>
  <c r="F38" i="11" s="1"/>
  <c r="F40" i="11" s="1"/>
  <c r="H33" i="11"/>
  <c r="H36" i="11" s="1"/>
  <c r="H38" i="11" s="1"/>
  <c r="H40" i="11" s="1"/>
  <c r="E24" i="5"/>
  <c r="E20" i="5" s="1"/>
  <c r="E17" i="5"/>
  <c r="D318" i="14"/>
  <c r="D257" i="14"/>
  <c r="E306" i="14"/>
  <c r="C112" i="5" l="1"/>
  <c r="C111" i="5" s="1"/>
  <c r="C28" i="5"/>
  <c r="E158" i="5"/>
  <c r="E268" i="14"/>
  <c r="F268" i="14" s="1"/>
  <c r="E47" i="19"/>
  <c r="E112" i="19"/>
  <c r="E37" i="19"/>
  <c r="E55" i="19"/>
  <c r="C141" i="5"/>
  <c r="D22" i="5"/>
  <c r="D99" i="5"/>
  <c r="D101" i="5" s="1"/>
  <c r="D98" i="5" s="1"/>
  <c r="E263" i="14"/>
  <c r="F263" i="14" s="1"/>
  <c r="E76" i="15"/>
  <c r="D259" i="15"/>
  <c r="D77" i="15"/>
  <c r="C41" i="2"/>
  <c r="E33" i="2"/>
  <c r="F33" i="2" s="1"/>
  <c r="D70" i="10"/>
  <c r="D72" i="10" s="1"/>
  <c r="D69" i="10" s="1"/>
  <c r="D22" i="10"/>
  <c r="E91" i="14"/>
  <c r="C92" i="14"/>
  <c r="F91" i="14"/>
  <c r="C208" i="14"/>
  <c r="E207" i="14"/>
  <c r="F207" i="14" s="1"/>
  <c r="C139" i="14"/>
  <c r="C140" i="14"/>
  <c r="E138" i="14"/>
  <c r="F138" i="14" s="1"/>
  <c r="E287" i="14"/>
  <c r="C289" i="14"/>
  <c r="C291" i="14"/>
  <c r="F287" i="14"/>
  <c r="C268" i="15"/>
  <c r="C269" i="15"/>
  <c r="E28" i="5"/>
  <c r="E112" i="5"/>
  <c r="E111" i="5" s="1"/>
  <c r="E272" i="14"/>
  <c r="C273" i="14"/>
  <c r="F272" i="14"/>
  <c r="C169" i="15"/>
  <c r="E169" i="15" s="1"/>
  <c r="C181" i="15"/>
  <c r="E181" i="15" s="1"/>
  <c r="E145" i="15"/>
  <c r="E90" i="14"/>
  <c r="F90" i="14" s="1"/>
  <c r="E284" i="14"/>
  <c r="F284" i="14" s="1"/>
  <c r="E279" i="14"/>
  <c r="F279" i="14"/>
  <c r="E300" i="14"/>
  <c r="F300" i="14"/>
  <c r="C122" i="15"/>
  <c r="C111" i="15"/>
  <c r="C121" i="15"/>
  <c r="C110" i="15"/>
  <c r="C116" i="15" s="1"/>
  <c r="C113" i="15"/>
  <c r="C127" i="15"/>
  <c r="C112" i="15"/>
  <c r="C126" i="15"/>
  <c r="C115" i="15"/>
  <c r="C125" i="15"/>
  <c r="C114" i="15"/>
  <c r="C124" i="15"/>
  <c r="C109" i="15"/>
  <c r="C123" i="15"/>
  <c r="C271" i="15" l="1"/>
  <c r="C99" i="5"/>
  <c r="C101" i="5" s="1"/>
  <c r="C98" i="5" s="1"/>
  <c r="C22" i="5"/>
  <c r="C117" i="15"/>
  <c r="C128" i="15"/>
  <c r="C129" i="15" s="1"/>
  <c r="E99" i="5"/>
  <c r="E101" i="5" s="1"/>
  <c r="E98" i="5" s="1"/>
  <c r="E22" i="5"/>
  <c r="E291" i="14"/>
  <c r="C305" i="14"/>
  <c r="F291" i="14"/>
  <c r="E140" i="14"/>
  <c r="C141" i="14"/>
  <c r="F140" i="14"/>
  <c r="E208" i="14"/>
  <c r="C210" i="14"/>
  <c r="F208" i="14"/>
  <c r="C209" i="14"/>
  <c r="C48" i="2"/>
  <c r="F41" i="2"/>
  <c r="E41" i="2"/>
  <c r="D127" i="15"/>
  <c r="E127" i="15" s="1"/>
  <c r="D123" i="15"/>
  <c r="E123" i="15" s="1"/>
  <c r="D112" i="15"/>
  <c r="E112" i="15" s="1"/>
  <c r="E77" i="15"/>
  <c r="D115" i="15"/>
  <c r="E115" i="15" s="1"/>
  <c r="D111" i="15"/>
  <c r="E111" i="15" s="1"/>
  <c r="D125" i="15"/>
  <c r="E125" i="15" s="1"/>
  <c r="D121" i="15"/>
  <c r="D124" i="15"/>
  <c r="E124" i="15" s="1"/>
  <c r="D113" i="15"/>
  <c r="E113" i="15" s="1"/>
  <c r="D109" i="15"/>
  <c r="D126" i="15"/>
  <c r="E126" i="15" s="1"/>
  <c r="D122" i="15"/>
  <c r="D114" i="15"/>
  <c r="E114" i="15" s="1"/>
  <c r="D110" i="15"/>
  <c r="E273" i="14"/>
  <c r="F273" i="14" s="1"/>
  <c r="E289" i="14"/>
  <c r="F289" i="14" s="1"/>
  <c r="E139" i="14"/>
  <c r="F139" i="14" s="1"/>
  <c r="E92" i="14"/>
  <c r="C324" i="14"/>
  <c r="F92" i="14"/>
  <c r="C113" i="14"/>
  <c r="D263" i="15"/>
  <c r="E259" i="15"/>
  <c r="E113" i="14" l="1"/>
  <c r="F113" i="14" s="1"/>
  <c r="D264" i="15"/>
  <c r="E263" i="15"/>
  <c r="E121" i="15"/>
  <c r="E48" i="2"/>
  <c r="F48" i="2" s="1"/>
  <c r="E141" i="14"/>
  <c r="C211" i="14"/>
  <c r="F141" i="14"/>
  <c r="C322" i="14"/>
  <c r="C148" i="14"/>
  <c r="E324" i="14"/>
  <c r="F324" i="14" s="1"/>
  <c r="C325" i="14"/>
  <c r="D116" i="15"/>
  <c r="E116" i="15" s="1"/>
  <c r="E110" i="15"/>
  <c r="D128" i="15"/>
  <c r="E128" i="15" s="1"/>
  <c r="E122" i="15"/>
  <c r="E109" i="15"/>
  <c r="E209" i="14"/>
  <c r="F209" i="14" s="1"/>
  <c r="F210" i="14"/>
  <c r="E210" i="14"/>
  <c r="C309" i="14"/>
  <c r="E305" i="14"/>
  <c r="F305" i="14"/>
  <c r="C131" i="15"/>
  <c r="C310" i="14" l="1"/>
  <c r="E309" i="14"/>
  <c r="F309" i="14" s="1"/>
  <c r="D117" i="15"/>
  <c r="E325" i="14"/>
  <c r="F325" i="14" s="1"/>
  <c r="E322" i="14"/>
  <c r="F322" i="14" s="1"/>
  <c r="E211" i="14"/>
  <c r="F211" i="14" s="1"/>
  <c r="E148" i="14"/>
  <c r="F148" i="14" s="1"/>
  <c r="D129" i="15"/>
  <c r="E129" i="15" s="1"/>
  <c r="E264" i="15"/>
  <c r="D266" i="15"/>
  <c r="E117" i="15" l="1"/>
  <c r="D131" i="15"/>
  <c r="E131" i="15" s="1"/>
  <c r="D267" i="15"/>
  <c r="E266" i="15"/>
  <c r="C312" i="14"/>
  <c r="E310" i="14"/>
  <c r="F310" i="14"/>
  <c r="C313" i="14" l="1"/>
  <c r="E312" i="14"/>
  <c r="F312" i="14" s="1"/>
  <c r="D269" i="15"/>
  <c r="E269" i="15" s="1"/>
  <c r="D268" i="15"/>
  <c r="E267" i="15"/>
  <c r="D271" i="15" l="1"/>
  <c r="E271" i="15" s="1"/>
  <c r="E268" i="15"/>
  <c r="C315" i="14"/>
  <c r="C251" i="14"/>
  <c r="C256" i="14"/>
  <c r="E313" i="14"/>
  <c r="F313" i="14" s="1"/>
  <c r="C314" i="14"/>
  <c r="F315" i="14" l="1"/>
  <c r="E315" i="14"/>
  <c r="C318" i="14"/>
  <c r="E314" i="14"/>
  <c r="F314" i="14" s="1"/>
  <c r="E251" i="14"/>
  <c r="F251" i="14" s="1"/>
  <c r="C257" i="14"/>
  <c r="F256" i="14"/>
  <c r="E256" i="14"/>
  <c r="F257" i="14" l="1"/>
  <c r="E257" i="14"/>
  <c r="F318" i="14"/>
  <c r="E318" i="14"/>
</calcChain>
</file>

<file path=xl/sharedStrings.xml><?xml version="1.0" encoding="utf-8"?>
<sst xmlns="http://schemas.openxmlformats.org/spreadsheetml/2006/main" count="2309" uniqueCount="985">
  <si>
    <t>MILFORD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</si>
  <si>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</si>
  <si>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</si>
  <si>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</si>
  <si>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</si>
  <si>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</si>
  <si>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</si>
  <si>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</si>
  <si>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</si>
  <si>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</si>
  <si>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</si>
  <si>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</si>
  <si>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</si>
  <si>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</si>
  <si>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</si>
  <si>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</si>
  <si>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</si>
  <si>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</si>
  <si>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</si>
  <si>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</si>
  <si>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</si>
  <si>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</si>
  <si>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</si>
  <si>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</si>
  <si>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</si>
  <si>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</si>
  <si>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</si>
  <si>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</si>
  <si>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</si>
  <si>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</si>
  <si>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</si>
  <si>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</si>
  <si>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</si>
  <si>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</si>
  <si>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</si>
  <si>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</si>
  <si>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</si>
  <si>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</si>
  <si>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</si>
  <si>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</si>
  <si>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</si>
  <si>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</si>
  <si>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</si>
  <si>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</si>
  <si>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</si>
  <si>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</si>
  <si>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</si>
  <si>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</si>
  <si>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</si>
  <si>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</si>
  <si>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</si>
  <si>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</si>
  <si>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</si>
  <si>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</si>
  <si>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</si>
  <si>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</si>
  <si>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</si>
  <si>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</si>
  <si>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</si>
  <si>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</si>
  <si>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</si>
  <si>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</si>
  <si>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</si>
  <si>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</si>
  <si>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</si>
  <si>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</si>
  <si>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</si>
  <si>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</si>
  <si>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</si>
  <si>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</si>
  <si>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</si>
  <si>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</si>
  <si>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</si>
  <si>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</si>
  <si>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</si>
  <si>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</si>
  <si>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</si>
  <si>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</si>
  <si>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</si>
  <si>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</si>
  <si>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</si>
  <si>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</si>
  <si>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</si>
  <si>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</si>
  <si>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</si>
  <si>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</si>
  <si>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</si>
  <si>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</si>
  <si>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</si>
  <si>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</si>
  <si>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</si>
  <si>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</si>
  <si>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</si>
  <si>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</si>
  <si>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</si>
  <si>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</si>
  <si>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</si>
  <si>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</si>
  <si>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</si>
  <si>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</si>
  <si>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</si>
  <si>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</si>
  <si>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</si>
  <si>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</si>
  <si>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</si>
  <si>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</si>
  <si>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</si>
  <si>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</si>
  <si>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</si>
  <si>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</si>
  <si>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</si>
  <si>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</si>
  <si>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</si>
  <si>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</si>
  <si>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</si>
  <si>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</si>
  <si>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</si>
  <si>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</si>
  <si>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</si>
  <si>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</si>
  <si>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</si>
  <si>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</si>
  <si>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</si>
  <si>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</si>
  <si>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</si>
  <si>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</si>
  <si>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</si>
  <si>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</si>
  <si>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</si>
  <si>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</si>
  <si>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</si>
  <si>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</si>
  <si>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</si>
  <si>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</si>
  <si>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</si>
  <si>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</si>
  <si>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</si>
  <si>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</si>
  <si>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</si>
  <si>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</si>
  <si>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</si>
  <si>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</si>
  <si>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</si>
  <si>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</si>
  <si>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</si>
  <si>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</si>
  <si>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</si>
  <si>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</si>
  <si>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</si>
  <si>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</si>
  <si>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</si>
  <si>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</si>
  <si>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</si>
  <si>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</si>
  <si>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</si>
  <si>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</si>
  <si>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</si>
  <si>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</si>
  <si>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</si>
  <si>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</si>
  <si>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</si>
  <si>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</si>
  <si>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</si>
  <si>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</si>
  <si>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</si>
  <si>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</si>
  <si>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</si>
  <si>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</si>
  <si>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</si>
  <si>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</si>
  <si>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</si>
  <si>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</si>
  <si>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</si>
  <si>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</si>
  <si>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</si>
  <si>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</si>
  <si>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</si>
  <si>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</si>
  <si>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</si>
  <si>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</si>
  <si>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</si>
  <si>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</si>
  <si>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</si>
  <si>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</si>
  <si>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</si>
  <si>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</si>
  <si>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</si>
  <si>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</si>
  <si>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</si>
  <si>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</si>
  <si>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</si>
  <si>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</si>
  <si>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</si>
  <si>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</si>
  <si>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</si>
  <si>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</si>
  <si>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</si>
  <si>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</si>
  <si>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</si>
  <si>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</si>
  <si>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</si>
  <si>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</si>
  <si>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</si>
  <si>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</si>
  <si>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</si>
  <si>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</si>
  <si>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</si>
  <si>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</si>
  <si>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</si>
  <si>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</si>
  <si>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</si>
  <si>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</si>
  <si>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</si>
  <si>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</si>
  <si>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</si>
  <si>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</si>
  <si>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</si>
  <si>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</si>
  <si>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</si>
  <si>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</si>
  <si>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</si>
  <si>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</si>
  <si>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</si>
  <si>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</si>
  <si>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</si>
  <si>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</si>
  <si>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</si>
  <si>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</si>
  <si>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</si>
  <si>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</si>
  <si>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</si>
  <si>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</si>
  <si>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</si>
  <si>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</si>
  <si>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</si>
  <si>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</si>
  <si>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</si>
  <si>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</si>
  <si>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</si>
  <si>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</si>
  <si>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</si>
  <si>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</si>
  <si>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</si>
  <si>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</si>
  <si>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</si>
  <si>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</si>
  <si>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</si>
  <si>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</si>
  <si>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</si>
  <si>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</si>
  <si>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</si>
  <si>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</si>
  <si>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</si>
  <si>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</si>
  <si>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</si>
  <si>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</si>
  <si>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</si>
  <si>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</si>
  <si>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</si>
  <si>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</si>
  <si>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</si>
  <si>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</si>
  <si>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</si>
  <si>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</si>
  <si>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</si>
  <si>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</si>
  <si>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</si>
  <si>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</si>
  <si>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</si>
  <si>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</si>
  <si>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</si>
  <si>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</si>
  <si>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</si>
  <si>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</si>
  <si>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</si>
  <si>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</si>
  <si>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</si>
  <si>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</si>
  <si>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</si>
  <si>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</si>
  <si>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</si>
  <si>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</si>
  <si>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</si>
  <si>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</si>
  <si>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</si>
  <si>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</si>
  <si>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</si>
  <si>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</si>
  <si>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</si>
  <si>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</si>
  <si>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</si>
  <si>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</si>
  <si>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</si>
  <si>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</si>
  <si>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</si>
  <si>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</si>
  <si>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</si>
  <si>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</si>
  <si>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</si>
  <si>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</si>
  <si>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</si>
  <si>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</si>
  <si>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</si>
  <si>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</si>
  <si>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</si>
  <si>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</si>
  <si>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</si>
  <si>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</si>
  <si>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</si>
  <si>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</si>
  <si>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</si>
  <si>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</si>
  <si>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</si>
  <si>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</si>
  <si>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</si>
  <si>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</si>
  <si>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</si>
  <si>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</si>
  <si>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</si>
  <si>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</si>
  <si>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</si>
  <si>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</si>
  <si>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</si>
  <si>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</si>
  <si>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</si>
  <si>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</si>
  <si>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</si>
  <si>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</si>
  <si>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</si>
  <si>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</si>
  <si>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</si>
  <si>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</si>
  <si>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</si>
  <si>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</si>
  <si>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</si>
  <si>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</si>
  <si>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</si>
  <si>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</si>
  <si>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</si>
  <si>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</si>
  <si>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</si>
  <si>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</si>
  <si>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</si>
  <si>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</si>
  <si>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</si>
  <si>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</si>
  <si>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</si>
  <si>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</si>
  <si>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</si>
  <si>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</si>
  <si>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</si>
  <si>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</si>
  <si>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</si>
  <si>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</si>
  <si>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</si>
  <si>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</si>
  <si>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</si>
  <si>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</si>
  <si>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</si>
  <si>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</si>
  <si>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</si>
  <si>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</si>
  <si>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</si>
  <si>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</si>
  <si>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</si>
  <si>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</si>
  <si>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</si>
  <si>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</si>
  <si>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</si>
  <si>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</si>
  <si>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</si>
  <si>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</si>
  <si>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</si>
  <si>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</si>
  <si>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</si>
  <si>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</si>
  <si>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</si>
  <si>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</si>
  <si>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</si>
  <si>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</si>
  <si>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</si>
  <si>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</si>
  <si>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</si>
  <si>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</si>
  <si>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</si>
  <si>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</si>
  <si>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</si>
  <si>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</si>
  <si>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</si>
  <si>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</si>
  <si>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</si>
  <si>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</si>
  <si>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</si>
  <si>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</si>
  <si>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</si>
  <si>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</si>
  <si>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</si>
  <si>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</si>
  <si>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</si>
  <si>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</si>
  <si>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</si>
  <si>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</si>
  <si>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</si>
  <si>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</si>
  <si>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</si>
  <si>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</si>
  <si>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</si>
  <si>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</si>
  <si>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</si>
  <si>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</si>
  <si>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</si>
  <si>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</si>
  <si>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</si>
  <si>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</si>
  <si>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</si>
  <si>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</si>
  <si>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</si>
  <si>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</si>
  <si>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</si>
  <si>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</si>
  <si>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</si>
  <si>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</si>
  <si>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</si>
  <si>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</si>
  <si>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</si>
  <si>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</si>
  <si>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</si>
  <si>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</si>
  <si>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</si>
  <si>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</si>
  <si>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</si>
  <si>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</si>
  <si>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</si>
  <si>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</si>
  <si>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</si>
  <si>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</si>
  <si>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</si>
  <si>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</si>
  <si>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</si>
  <si>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</si>
  <si>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</si>
  <si>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</si>
  <si>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</si>
  <si>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</si>
  <si>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</si>
  <si>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</si>
  <si>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</si>
  <si>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</si>
  <si>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</si>
  <si>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</si>
  <si>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</si>
  <si>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</si>
  <si>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</si>
  <si>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</si>
  <si>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</si>
  <si>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</si>
  <si>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</si>
  <si>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</si>
  <si>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</si>
  <si>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</si>
  <si>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</si>
  <si>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</si>
  <si>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</si>
  <si>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</si>
  <si>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</si>
  <si>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</si>
  <si>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</si>
  <si>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</si>
  <si>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</si>
  <si>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</si>
  <si>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</si>
  <si>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</si>
  <si>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</si>
  <si>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</si>
  <si>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</si>
  <si>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</si>
  <si>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</si>
  <si>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</si>
  <si>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</si>
  <si>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MILFORD HEALTH &amp; MEDICAL,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</si>
  <si>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</si>
  <si>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</si>
  <si>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</si>
  <si>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</si>
  <si>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</si>
  <si>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</si>
  <si>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</si>
  <si>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</si>
  <si>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</si>
  <si>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</si>
  <si>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</si>
  <si>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</si>
  <si>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</si>
  <si>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</si>
  <si>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</si>
  <si>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</si>
  <si>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</si>
  <si>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</si>
  <si>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</si>
  <si>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</si>
  <si>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</si>
  <si>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</si>
  <si>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</si>
  <si>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</si>
  <si>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</si>
  <si>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</si>
  <si>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</si>
  <si>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</si>
  <si>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</si>
  <si>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</si>
  <si>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</si>
  <si>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</si>
  <si>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</si>
  <si>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</si>
  <si>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</si>
  <si>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</si>
  <si>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</si>
  <si>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</si>
  <si>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</si>
  <si>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</si>
  <si>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</si>
  <si>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</si>
  <si>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</si>
  <si>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</si>
  <si>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</si>
  <si>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</si>
  <si>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</si>
  <si>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</si>
  <si>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</si>
  <si>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</si>
  <si>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</si>
  <si>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</si>
  <si>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</si>
  <si>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</si>
  <si>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</si>
  <si>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</si>
  <si>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</si>
  <si>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</si>
  <si>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</si>
  <si>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</si>
  <si>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</si>
  <si>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</si>
  <si>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</si>
  <si>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</si>
  <si>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</si>
  <si>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</si>
  <si>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</si>
  <si>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</si>
  <si>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</si>
  <si>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</si>
  <si>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</si>
  <si>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</si>
  <si>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</si>
  <si>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</si>
  <si>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</si>
  <si>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</si>
  <si>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</si>
  <si>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</si>
  <si>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</si>
  <si>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</si>
  <si>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</si>
  <si>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</si>
  <si>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</si>
  <si>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</si>
  <si>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</si>
  <si>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</si>
  <si>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</si>
  <si>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</si>
  <si>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</si>
  <si>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</si>
  <si>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</si>
  <si>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</si>
  <si>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</si>
  <si>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</si>
  <si>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</si>
  <si>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</si>
  <si>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</si>
  <si>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</si>
  <si>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</si>
  <si>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</si>
  <si>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</si>
  <si>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</si>
  <si>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</si>
  <si>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</si>
  <si>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</si>
  <si>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</si>
  <si>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</si>
  <si>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</si>
  <si>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xxxx</t>
  </si>
  <si>
    <t>Milford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</si>
  <si>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</si>
  <si>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</si>
  <si>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</si>
  <si>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MilfHospBostonPostRd WalkIn Ctr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</si>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</sst>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303667</v>
      </c>
      <c r="D13" s="23">
        <v>956229</v>
      </c>
      <c r="E13" s="23">
        <f t="shared" ref="E13:E22" si="0">D13-C13</f>
        <v>652562</v>
      </c>
      <c r="F13" s="24">
        <f t="shared" ref="F13:F22" si="1">IF(C13=0,0,E13/C13)</f>
        <v>2.1489394632936736</v>
      </c>
    </row>
    <row r="14" spans="1:8" ht="24" customHeight="1" x14ac:dyDescent="0.2">
      <c r="A14" s="21">
        <v>2</v>
      </c>
      <c r="B14" s="22" t="s">
        <v>17</v>
      </c>
      <c r="C14" s="23">
        <v>223228</v>
      </c>
      <c r="D14" s="23">
        <v>224305</v>
      </c>
      <c r="E14" s="23">
        <f t="shared" si="0"/>
        <v>1077</v>
      </c>
      <c r="F14" s="24">
        <f t="shared" si="1"/>
        <v>4.8246635726700952E-3</v>
      </c>
    </row>
    <row r="15" spans="1:8" ht="33" customHeight="1" x14ac:dyDescent="0.2">
      <c r="A15" s="21">
        <v>3</v>
      </c>
      <c r="B15" s="22" t="s">
        <v>18</v>
      </c>
      <c r="C15" s="23">
        <v>12226798</v>
      </c>
      <c r="D15" s="23">
        <v>12622341</v>
      </c>
      <c r="E15" s="23">
        <f t="shared" si="0"/>
        <v>395543</v>
      </c>
      <c r="F15" s="24">
        <f t="shared" si="1"/>
        <v>3.2350497652778754E-2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719613</v>
      </c>
      <c r="D17" s="23">
        <v>676168</v>
      </c>
      <c r="E17" s="23">
        <f t="shared" si="0"/>
        <v>-43445</v>
      </c>
      <c r="F17" s="24">
        <f t="shared" si="1"/>
        <v>-6.0372728119141815E-2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748785</v>
      </c>
      <c r="D19" s="23">
        <v>774644</v>
      </c>
      <c r="E19" s="23">
        <f t="shared" si="0"/>
        <v>25859</v>
      </c>
      <c r="F19" s="24">
        <f t="shared" si="1"/>
        <v>3.4534612739304339E-2</v>
      </c>
    </row>
    <row r="20" spans="1:11" ht="24" customHeight="1" x14ac:dyDescent="0.2">
      <c r="A20" s="21">
        <v>8</v>
      </c>
      <c r="B20" s="22" t="s">
        <v>23</v>
      </c>
      <c r="C20" s="23">
        <v>623576</v>
      </c>
      <c r="D20" s="23">
        <v>751650</v>
      </c>
      <c r="E20" s="23">
        <f t="shared" si="0"/>
        <v>128074</v>
      </c>
      <c r="F20" s="24">
        <f t="shared" si="1"/>
        <v>0.20538635226500057</v>
      </c>
    </row>
    <row r="21" spans="1:11" ht="24" customHeight="1" x14ac:dyDescent="0.2">
      <c r="A21" s="21">
        <v>9</v>
      </c>
      <c r="B21" s="22" t="s">
        <v>24</v>
      </c>
      <c r="C21" s="23">
        <v>718834</v>
      </c>
      <c r="D21" s="23">
        <v>715740</v>
      </c>
      <c r="E21" s="23">
        <f t="shared" si="0"/>
        <v>-3094</v>
      </c>
      <c r="F21" s="24">
        <f t="shared" si="1"/>
        <v>-4.3041926230534449E-3</v>
      </c>
    </row>
    <row r="22" spans="1:11" ht="24" customHeight="1" x14ac:dyDescent="0.25">
      <c r="A22" s="25"/>
      <c r="B22" s="26" t="s">
        <v>25</v>
      </c>
      <c r="C22" s="27">
        <f>SUM(C13:C21)</f>
        <v>15564501</v>
      </c>
      <c r="D22" s="27">
        <f>SUM(D13:D21)</f>
        <v>16721077</v>
      </c>
      <c r="E22" s="27">
        <f t="shared" si="0"/>
        <v>1156576</v>
      </c>
      <c r="F22" s="28">
        <f t="shared" si="1"/>
        <v>7.4308582074041438E-2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722904</v>
      </c>
      <c r="D25" s="23">
        <v>727662</v>
      </c>
      <c r="E25" s="23">
        <f>D25-C25</f>
        <v>4758</v>
      </c>
      <c r="F25" s="24">
        <f>IF(C25=0,0,E25/C25)</f>
        <v>6.581786793267156E-3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1076481</v>
      </c>
      <c r="D28" s="23">
        <v>1076619</v>
      </c>
      <c r="E28" s="23">
        <f>D28-C28</f>
        <v>138</v>
      </c>
      <c r="F28" s="24">
        <f>IF(C28=0,0,E28/C28)</f>
        <v>1.281954813879669E-4</v>
      </c>
    </row>
    <row r="29" spans="1:11" ht="24" customHeight="1" x14ac:dyDescent="0.25">
      <c r="A29" s="25"/>
      <c r="B29" s="26" t="s">
        <v>32</v>
      </c>
      <c r="C29" s="27">
        <f>SUM(C25:C28)</f>
        <v>1799385</v>
      </c>
      <c r="D29" s="27">
        <f>SUM(D25:D28)</f>
        <v>1804281</v>
      </c>
      <c r="E29" s="27">
        <f>D29-C29</f>
        <v>4896</v>
      </c>
      <c r="F29" s="28">
        <f>IF(C29=0,0,E29/C29)</f>
        <v>2.7209296509640795E-3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777498</v>
      </c>
      <c r="D31" s="23">
        <v>745924</v>
      </c>
      <c r="E31" s="23">
        <f>D31-C31</f>
        <v>-31574</v>
      </c>
      <c r="F31" s="24">
        <f>IF(C31=0,0,E31/C31)</f>
        <v>-4.0609750764632191E-2</v>
      </c>
    </row>
    <row r="32" spans="1:11" ht="24" customHeight="1" x14ac:dyDescent="0.2">
      <c r="A32" s="21">
        <v>6</v>
      </c>
      <c r="B32" s="22" t="s">
        <v>34</v>
      </c>
      <c r="C32" s="23">
        <v>27793697</v>
      </c>
      <c r="D32" s="23">
        <v>20575753</v>
      </c>
      <c r="E32" s="23">
        <f>D32-C32</f>
        <v>-7217944</v>
      </c>
      <c r="F32" s="24">
        <f>IF(C32=0,0,E32/C32)</f>
        <v>-0.25969715363882684</v>
      </c>
    </row>
    <row r="33" spans="1:8" ht="24" customHeight="1" x14ac:dyDescent="0.2">
      <c r="A33" s="21">
        <v>7</v>
      </c>
      <c r="B33" s="22" t="s">
        <v>35</v>
      </c>
      <c r="C33" s="23">
        <v>0</v>
      </c>
      <c r="D33" s="23">
        <v>0</v>
      </c>
      <c r="E33" s="23">
        <f>D33-C33</f>
        <v>0</v>
      </c>
      <c r="F33" s="24">
        <f>IF(C33=0,0,E33/C33)</f>
        <v>0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72086645</v>
      </c>
      <c r="D36" s="23">
        <v>72022773</v>
      </c>
      <c r="E36" s="23">
        <f>D36-C36</f>
        <v>-63872</v>
      </c>
      <c r="F36" s="24">
        <f>IF(C36=0,0,E36/C36)</f>
        <v>-8.8604484228666772E-4</v>
      </c>
    </row>
    <row r="37" spans="1:8" ht="24" customHeight="1" x14ac:dyDescent="0.2">
      <c r="A37" s="21">
        <v>2</v>
      </c>
      <c r="B37" s="22" t="s">
        <v>39</v>
      </c>
      <c r="C37" s="23">
        <v>45954913</v>
      </c>
      <c r="D37" s="23">
        <v>47323119</v>
      </c>
      <c r="E37" s="23">
        <f>D37-C37</f>
        <v>1368206</v>
      </c>
      <c r="F37" s="24">
        <f>IF(C37=0,0,E37/C37)</f>
        <v>2.9772790561044038E-2</v>
      </c>
    </row>
    <row r="38" spans="1:8" ht="24" customHeight="1" x14ac:dyDescent="0.25">
      <c r="A38" s="25"/>
      <c r="B38" s="26" t="s">
        <v>40</v>
      </c>
      <c r="C38" s="27">
        <f>C36-C37</f>
        <v>26131732</v>
      </c>
      <c r="D38" s="27">
        <f>D36-D37</f>
        <v>24699654</v>
      </c>
      <c r="E38" s="27">
        <f>D38-C38</f>
        <v>-1432078</v>
      </c>
      <c r="F38" s="28">
        <f>IF(C38=0,0,E38/C38)</f>
        <v>-5.480226109773359E-2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238283</v>
      </c>
      <c r="D40" s="23">
        <v>36667</v>
      </c>
      <c r="E40" s="23">
        <f>D40-C40</f>
        <v>-201616</v>
      </c>
      <c r="F40" s="24">
        <f>IF(C40=0,0,E40/C40)</f>
        <v>-0.84611994980758176</v>
      </c>
    </row>
    <row r="41" spans="1:8" ht="24" customHeight="1" x14ac:dyDescent="0.25">
      <c r="A41" s="25"/>
      <c r="B41" s="26" t="s">
        <v>42</v>
      </c>
      <c r="C41" s="27">
        <f>+C38+C40</f>
        <v>26370015</v>
      </c>
      <c r="D41" s="27">
        <f>+D38+D40</f>
        <v>24736321</v>
      </c>
      <c r="E41" s="27">
        <f>D41-C41</f>
        <v>-1633694</v>
      </c>
      <c r="F41" s="28">
        <f>IF(C41=0,0,E41/C41)</f>
        <v>-6.1952714095915379E-2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72305096</v>
      </c>
      <c r="D43" s="27">
        <f>D22+D29+D31+D32+D33+D41</f>
        <v>64583356</v>
      </c>
      <c r="E43" s="27">
        <f>D43-C43</f>
        <v>-7721740</v>
      </c>
      <c r="F43" s="28">
        <f>IF(C43=0,0,E43/C43)</f>
        <v>-0.10679385585768394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3958361</v>
      </c>
      <c r="D49" s="23">
        <v>4033312</v>
      </c>
      <c r="E49" s="23">
        <f t="shared" ref="E49:E56" si="2">D49-C49</f>
        <v>74951</v>
      </c>
      <c r="F49" s="24">
        <f t="shared" ref="F49:F56" si="3">IF(C49=0,0,E49/C49)</f>
        <v>1.8934857128998592E-2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5811602</v>
      </c>
      <c r="D50" s="23">
        <v>6308053</v>
      </c>
      <c r="E50" s="23">
        <f t="shared" si="2"/>
        <v>496451</v>
      </c>
      <c r="F50" s="24">
        <f t="shared" si="3"/>
        <v>8.5424122298808483E-2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1885402</v>
      </c>
      <c r="D51" s="23">
        <v>2024212</v>
      </c>
      <c r="E51" s="23">
        <f t="shared" si="2"/>
        <v>138810</v>
      </c>
      <c r="F51" s="24">
        <f t="shared" si="3"/>
        <v>7.3623556143464358E-2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892497</v>
      </c>
      <c r="D54" s="23">
        <v>955684</v>
      </c>
      <c r="E54" s="23">
        <f t="shared" si="2"/>
        <v>63187</v>
      </c>
      <c r="F54" s="24">
        <f t="shared" si="3"/>
        <v>7.0797997080102232E-2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3133999</v>
      </c>
      <c r="D55" s="23">
        <v>2859722</v>
      </c>
      <c r="E55" s="23">
        <f t="shared" si="2"/>
        <v>-274277</v>
      </c>
      <c r="F55" s="24">
        <f t="shared" si="3"/>
        <v>-8.7516620139317214E-2</v>
      </c>
    </row>
    <row r="56" spans="1:6" ht="24" customHeight="1" x14ac:dyDescent="0.25">
      <c r="A56" s="25"/>
      <c r="B56" s="26" t="s">
        <v>54</v>
      </c>
      <c r="C56" s="27">
        <f>SUM(C49:C55)</f>
        <v>15681861</v>
      </c>
      <c r="D56" s="27">
        <f>SUM(D49:D55)</f>
        <v>16180983</v>
      </c>
      <c r="E56" s="27">
        <f t="shared" si="2"/>
        <v>499122</v>
      </c>
      <c r="F56" s="28">
        <f t="shared" si="3"/>
        <v>3.1827982660986472E-2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1891051</v>
      </c>
      <c r="D60" s="23">
        <v>935367</v>
      </c>
      <c r="E60" s="23">
        <f>D60-C60</f>
        <v>-955684</v>
      </c>
      <c r="F60" s="24">
        <f>IF(C60=0,0,E60/C60)</f>
        <v>-0.50537188050454485</v>
      </c>
    </row>
    <row r="61" spans="1:6" ht="24" customHeight="1" x14ac:dyDescent="0.25">
      <c r="A61" s="25"/>
      <c r="B61" s="26" t="s">
        <v>58</v>
      </c>
      <c r="C61" s="27">
        <f>SUM(C59:C60)</f>
        <v>1891051</v>
      </c>
      <c r="D61" s="27">
        <f>SUM(D59:D60)</f>
        <v>935367</v>
      </c>
      <c r="E61" s="27">
        <f>D61-C61</f>
        <v>-955684</v>
      </c>
      <c r="F61" s="28">
        <f>IF(C61=0,0,E61/C61)</f>
        <v>-0.50537188050454485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26780814</v>
      </c>
      <c r="D63" s="23">
        <v>30733115</v>
      </c>
      <c r="E63" s="23">
        <f>D63-C63</f>
        <v>3952301</v>
      </c>
      <c r="F63" s="24">
        <f>IF(C63=0,0,E63/C63)</f>
        <v>0.14757956946342257</v>
      </c>
    </row>
    <row r="64" spans="1:6" ht="24" customHeight="1" x14ac:dyDescent="0.2">
      <c r="A64" s="21">
        <v>4</v>
      </c>
      <c r="B64" s="22" t="s">
        <v>60</v>
      </c>
      <c r="C64" s="23">
        <v>1139396</v>
      </c>
      <c r="D64" s="23">
        <v>1238672</v>
      </c>
      <c r="E64" s="23">
        <f>D64-C64</f>
        <v>99276</v>
      </c>
      <c r="F64" s="24">
        <f>IF(C64=0,0,E64/C64)</f>
        <v>8.7130374338684702E-2</v>
      </c>
    </row>
    <row r="65" spans="1:6" ht="24" customHeight="1" x14ac:dyDescent="0.25">
      <c r="A65" s="25"/>
      <c r="B65" s="26" t="s">
        <v>61</v>
      </c>
      <c r="C65" s="27">
        <f>SUM(C61:C64)</f>
        <v>29811261</v>
      </c>
      <c r="D65" s="27">
        <f>SUM(D61:D64)</f>
        <v>32907154</v>
      </c>
      <c r="E65" s="27">
        <f>D65-C65</f>
        <v>3095893</v>
      </c>
      <c r="F65" s="28">
        <f>IF(C65=0,0,E65/C65)</f>
        <v>0.10384978347611662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25485476</v>
      </c>
      <c r="D70" s="23">
        <v>14195295</v>
      </c>
      <c r="E70" s="23">
        <f>D70-C70</f>
        <v>-11290181</v>
      </c>
      <c r="F70" s="24">
        <f>IF(C70=0,0,E70/C70)</f>
        <v>-0.44300451755344888</v>
      </c>
    </row>
    <row r="71" spans="1:6" ht="24" customHeight="1" x14ac:dyDescent="0.2">
      <c r="A71" s="21">
        <v>2</v>
      </c>
      <c r="B71" s="22" t="s">
        <v>65</v>
      </c>
      <c r="C71" s="23">
        <v>716206</v>
      </c>
      <c r="D71" s="23">
        <v>626161</v>
      </c>
      <c r="E71" s="23">
        <f>D71-C71</f>
        <v>-90045</v>
      </c>
      <c r="F71" s="24">
        <f>IF(C71=0,0,E71/C71)</f>
        <v>-0.12572500090756011</v>
      </c>
    </row>
    <row r="72" spans="1:6" ht="24" customHeight="1" x14ac:dyDescent="0.2">
      <c r="A72" s="21">
        <v>3</v>
      </c>
      <c r="B72" s="22" t="s">
        <v>66</v>
      </c>
      <c r="C72" s="23">
        <v>610292</v>
      </c>
      <c r="D72" s="23">
        <v>673763</v>
      </c>
      <c r="E72" s="23">
        <f>D72-C72</f>
        <v>63471</v>
      </c>
      <c r="F72" s="24">
        <f>IF(C72=0,0,E72/C72)</f>
        <v>0.10400103556985836</v>
      </c>
    </row>
    <row r="73" spans="1:6" ht="24" customHeight="1" x14ac:dyDescent="0.25">
      <c r="A73" s="21"/>
      <c r="B73" s="26" t="s">
        <v>67</v>
      </c>
      <c r="C73" s="27">
        <f>SUM(C70:C72)</f>
        <v>26811974</v>
      </c>
      <c r="D73" s="27">
        <f>SUM(D70:D72)</f>
        <v>15495219</v>
      </c>
      <c r="E73" s="27">
        <f>D73-C73</f>
        <v>-11316755</v>
      </c>
      <c r="F73" s="28">
        <f>IF(C73=0,0,E73/C73)</f>
        <v>-0.42207839676407266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72305096</v>
      </c>
      <c r="D75" s="27">
        <f>D56+D65+D67+D73</f>
        <v>64583356</v>
      </c>
      <c r="E75" s="27">
        <f>D75-C75</f>
        <v>-7721740</v>
      </c>
      <c r="F75" s="28">
        <f>IF(C75=0,0,E75/C75)</f>
        <v>-0.10679385585768394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87766711</v>
      </c>
      <c r="D11" s="51">
        <v>83794463</v>
      </c>
      <c r="E11" s="51">
        <v>84946930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1545977</v>
      </c>
      <c r="D12" s="49">
        <v>1669876</v>
      </c>
      <c r="E12" s="49">
        <v>1505504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89312688</v>
      </c>
      <c r="D13" s="51">
        <f>+D11+D12</f>
        <v>85464339</v>
      </c>
      <c r="E13" s="51">
        <f>+E11+E12</f>
        <v>86452434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96215027</v>
      </c>
      <c r="D14" s="49">
        <v>93410584</v>
      </c>
      <c r="E14" s="49">
        <v>93643054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-6902339</v>
      </c>
      <c r="D15" s="51">
        <f>+D13-D14</f>
        <v>-7946245</v>
      </c>
      <c r="E15" s="51">
        <f>+E13-E14</f>
        <v>-7190620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2214662</v>
      </c>
      <c r="D16" s="49">
        <v>3718367</v>
      </c>
      <c r="E16" s="49">
        <v>111096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-4687677</v>
      </c>
      <c r="D17" s="51">
        <f>D15+D16</f>
        <v>-4227878</v>
      </c>
      <c r="E17" s="51">
        <f>E15+E16</f>
        <v>-7079524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-7.5412857468286798E-2</v>
      </c>
      <c r="D20" s="169">
        <f>IF(+D27=0,0,+D24/+D27)</f>
        <v>-8.9100738880921598E-2</v>
      </c>
      <c r="E20" s="169">
        <f>IF(+E27=0,0,+E24/+E27)</f>
        <v>-8.3067545882197738E-2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2.4196723711546329E-2</v>
      </c>
      <c r="D21" s="169">
        <f>IF(+D27=0,0,+D26/+D27)</f>
        <v>4.1693812250998531E-2</v>
      </c>
      <c r="E21" s="169">
        <f>IF(+E27=0,0,+E26/+E27)</f>
        <v>1.2834042234645467E-3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-5.1216133756740473E-2</v>
      </c>
      <c r="D22" s="169">
        <f>IF(+D27=0,0,+D28/+D27)</f>
        <v>-4.7406926629923067E-2</v>
      </c>
      <c r="E22" s="169">
        <f>IF(+E27=0,0,+E28/+E27)</f>
        <v>-8.1784141658733184E-2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-6902339</v>
      </c>
      <c r="D24" s="51">
        <f>+D15</f>
        <v>-7946245</v>
      </c>
      <c r="E24" s="51">
        <f>+E15</f>
        <v>-7190620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89312688</v>
      </c>
      <c r="D25" s="51">
        <f>+D13</f>
        <v>85464339</v>
      </c>
      <c r="E25" s="51">
        <f>+E13</f>
        <v>86452434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2214662</v>
      </c>
      <c r="D26" s="51">
        <f>+D16</f>
        <v>3718367</v>
      </c>
      <c r="E26" s="51">
        <f>+E16</f>
        <v>111096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91527350</v>
      </c>
      <c r="D27" s="51">
        <f>SUM(D25:D26)</f>
        <v>89182706</v>
      </c>
      <c r="E27" s="51">
        <f>SUM(E25:E26)</f>
        <v>86563530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-4687677</v>
      </c>
      <c r="D28" s="51">
        <f>+D17</f>
        <v>-4227878</v>
      </c>
      <c r="E28" s="51">
        <f>+E17</f>
        <v>-7079524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45266281</v>
      </c>
      <c r="D31" s="51">
        <v>35488206</v>
      </c>
      <c r="E31" s="52">
        <v>23731621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46559374</v>
      </c>
      <c r="D32" s="51">
        <v>36814704</v>
      </c>
      <c r="E32" s="51">
        <v>25031545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-10073381</v>
      </c>
      <c r="D33" s="51">
        <f>+D32-C32</f>
        <v>-9744670</v>
      </c>
      <c r="E33" s="51">
        <f>+E32-D32</f>
        <v>-11783159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0.82210000000000005</v>
      </c>
      <c r="D34" s="171">
        <f>IF(C32=0,0,+D33/C32)</f>
        <v>-0.20929555453215501</v>
      </c>
      <c r="E34" s="171">
        <f>IF(D32=0,0,+E33/D32)</f>
        <v>-0.32006665054267447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1.1059532687049465</v>
      </c>
      <c r="D38" s="269">
        <f>IF(+D40=0,0,+D39/+D40)</f>
        <v>1.0414926248571956</v>
      </c>
      <c r="E38" s="269">
        <f>IF(+E40=0,0,+E39/+E40)</f>
        <v>1.0735962756217052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19238557</v>
      </c>
      <c r="D39" s="270">
        <v>17465246</v>
      </c>
      <c r="E39" s="270">
        <v>18572828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17395452</v>
      </c>
      <c r="D40" s="270">
        <v>16769438</v>
      </c>
      <c r="E40" s="270">
        <v>17299639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11.688169973340118</v>
      </c>
      <c r="D42" s="271">
        <f>IF((D48/365)=0,0,+D45/(D48/365))</f>
        <v>9.8558311087537049</v>
      </c>
      <c r="E42" s="271">
        <f>IF((E48/365)=0,0,+E45/(E48/365))</f>
        <v>10.651210187629292</v>
      </c>
    </row>
    <row r="43" spans="1:14" ht="24" customHeight="1" x14ac:dyDescent="0.2">
      <c r="A43" s="17">
        <v>5</v>
      </c>
      <c r="B43" s="188" t="s">
        <v>16</v>
      </c>
      <c r="C43" s="272">
        <v>2724153</v>
      </c>
      <c r="D43" s="272">
        <v>2195638</v>
      </c>
      <c r="E43" s="272">
        <v>2404819</v>
      </c>
    </row>
    <row r="44" spans="1:14" ht="24" customHeight="1" x14ac:dyDescent="0.2">
      <c r="A44" s="17">
        <v>6</v>
      </c>
      <c r="B44" s="273" t="s">
        <v>17</v>
      </c>
      <c r="C44" s="274">
        <v>223553</v>
      </c>
      <c r="D44" s="274">
        <v>224820</v>
      </c>
      <c r="E44" s="274">
        <v>225915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2947706</v>
      </c>
      <c r="D45" s="270">
        <f>+D43+D44</f>
        <v>2420458</v>
      </c>
      <c r="E45" s="270">
        <f>+E43+E44</f>
        <v>2630734</v>
      </c>
    </row>
    <row r="46" spans="1:14" ht="24" customHeight="1" x14ac:dyDescent="0.2">
      <c r="A46" s="17">
        <v>8</v>
      </c>
      <c r="B46" s="45" t="s">
        <v>324</v>
      </c>
      <c r="C46" s="270">
        <f>+C14</f>
        <v>96215027</v>
      </c>
      <c r="D46" s="270">
        <f>+D14</f>
        <v>93410584</v>
      </c>
      <c r="E46" s="270">
        <f>+E14</f>
        <v>93643054</v>
      </c>
    </row>
    <row r="47" spans="1:14" ht="24" customHeight="1" x14ac:dyDescent="0.2">
      <c r="A47" s="17">
        <v>9</v>
      </c>
      <c r="B47" s="45" t="s">
        <v>347</v>
      </c>
      <c r="C47" s="270">
        <v>4163603</v>
      </c>
      <c r="D47" s="270">
        <v>3771551</v>
      </c>
      <c r="E47" s="270">
        <v>3491992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92051424</v>
      </c>
      <c r="D48" s="270">
        <f>+D46-D47</f>
        <v>89639033</v>
      </c>
      <c r="E48" s="270">
        <f>+E46-E47</f>
        <v>90151062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48.018869762591422</v>
      </c>
      <c r="D50" s="278">
        <f>IF((D55/365)=0,0,+D54/(D55/365))</f>
        <v>47.449885919073196</v>
      </c>
      <c r="E50" s="278">
        <f>IF((E55/365)=0,0,+E54/(E55/365))</f>
        <v>48.446742101215428</v>
      </c>
    </row>
    <row r="51" spans="1:5" ht="24" customHeight="1" x14ac:dyDescent="0.2">
      <c r="A51" s="17">
        <v>12</v>
      </c>
      <c r="B51" s="188" t="s">
        <v>350</v>
      </c>
      <c r="C51" s="279">
        <v>14042585</v>
      </c>
      <c r="D51" s="279">
        <v>12871074</v>
      </c>
      <c r="E51" s="279">
        <v>13593372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2496124</v>
      </c>
      <c r="D53" s="270">
        <v>1977820</v>
      </c>
      <c r="E53" s="270">
        <v>2318298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11546461</v>
      </c>
      <c r="D54" s="280">
        <f>+D51+D52-D53</f>
        <v>10893254</v>
      </c>
      <c r="E54" s="280">
        <f>+E51+E52-E53</f>
        <v>11275074</v>
      </c>
    </row>
    <row r="55" spans="1:5" ht="24" customHeight="1" x14ac:dyDescent="0.2">
      <c r="A55" s="17">
        <v>16</v>
      </c>
      <c r="B55" s="45" t="s">
        <v>75</v>
      </c>
      <c r="C55" s="270">
        <f>+C11</f>
        <v>87766711</v>
      </c>
      <c r="D55" s="270">
        <f>+D11</f>
        <v>83794463</v>
      </c>
      <c r="E55" s="270">
        <f>+E11</f>
        <v>84946930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68.976010409138269</v>
      </c>
      <c r="D57" s="283">
        <f>IF((D61/365)=0,0,+D58/(D61/365))</f>
        <v>68.283254126581213</v>
      </c>
      <c r="E57" s="283">
        <f>IF((E61/365)=0,0,+E58/(E61/365))</f>
        <v>70.042083752712756</v>
      </c>
    </row>
    <row r="58" spans="1:5" ht="24" customHeight="1" x14ac:dyDescent="0.2">
      <c r="A58" s="17">
        <v>18</v>
      </c>
      <c r="B58" s="45" t="s">
        <v>54</v>
      </c>
      <c r="C58" s="281">
        <f>+C40</f>
        <v>17395452</v>
      </c>
      <c r="D58" s="281">
        <f>+D40</f>
        <v>16769438</v>
      </c>
      <c r="E58" s="281">
        <f>+E40</f>
        <v>17299639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96215027</v>
      </c>
      <c r="D59" s="281">
        <f t="shared" si="0"/>
        <v>93410584</v>
      </c>
      <c r="E59" s="281">
        <f t="shared" si="0"/>
        <v>93643054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4163603</v>
      </c>
      <c r="D60" s="176">
        <f t="shared" si="0"/>
        <v>3771551</v>
      </c>
      <c r="E60" s="176">
        <f t="shared" si="0"/>
        <v>3491992</v>
      </c>
    </row>
    <row r="61" spans="1:5" ht="24" customHeight="1" x14ac:dyDescent="0.2">
      <c r="A61" s="17">
        <v>21</v>
      </c>
      <c r="B61" s="45" t="s">
        <v>353</v>
      </c>
      <c r="C61" s="281">
        <f>+C59-C60</f>
        <v>92051424</v>
      </c>
      <c r="D61" s="281">
        <f>+D59-D60</f>
        <v>89639033</v>
      </c>
      <c r="E61" s="281">
        <f>+E59-E60</f>
        <v>90151062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51.275116747720105</v>
      </c>
      <c r="D65" s="284">
        <f>IF(D67=0,0,(D66/D67)*100)</f>
        <v>41.475827132544993</v>
      </c>
      <c r="E65" s="284">
        <f>IF(E67=0,0,(E66/E67)*100)</f>
        <v>30.477297002286875</v>
      </c>
    </row>
    <row r="66" spans="1:5" ht="24" customHeight="1" x14ac:dyDescent="0.2">
      <c r="A66" s="17">
        <v>2</v>
      </c>
      <c r="B66" s="45" t="s">
        <v>67</v>
      </c>
      <c r="C66" s="281">
        <f>+C32</f>
        <v>46559374</v>
      </c>
      <c r="D66" s="281">
        <f>+D32</f>
        <v>36814704</v>
      </c>
      <c r="E66" s="281">
        <f>+E32</f>
        <v>25031545</v>
      </c>
    </row>
    <row r="67" spans="1:5" ht="24" customHeight="1" x14ac:dyDescent="0.2">
      <c r="A67" s="17">
        <v>3</v>
      </c>
      <c r="B67" s="45" t="s">
        <v>43</v>
      </c>
      <c r="C67" s="281">
        <v>90803058</v>
      </c>
      <c r="D67" s="281">
        <v>88761832</v>
      </c>
      <c r="E67" s="281">
        <v>82131775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-2.3412483605199217</v>
      </c>
      <c r="D69" s="284">
        <f>IF(D75=0,0,(D72/D75)*100)</f>
        <v>-1.8992323526471435</v>
      </c>
      <c r="E69" s="284">
        <f>IF(E75=0,0,(E72/E75)*100)</f>
        <v>-14.276777912582963</v>
      </c>
    </row>
    <row r="70" spans="1:5" ht="24" customHeight="1" x14ac:dyDescent="0.2">
      <c r="A70" s="17">
        <v>5</v>
      </c>
      <c r="B70" s="45" t="s">
        <v>358</v>
      </c>
      <c r="C70" s="281">
        <f>+C28</f>
        <v>-4687677</v>
      </c>
      <c r="D70" s="281">
        <f>+D28</f>
        <v>-4227878</v>
      </c>
      <c r="E70" s="281">
        <f>+E28</f>
        <v>-7079524</v>
      </c>
    </row>
    <row r="71" spans="1:5" ht="24" customHeight="1" x14ac:dyDescent="0.2">
      <c r="A71" s="17">
        <v>6</v>
      </c>
      <c r="B71" s="45" t="s">
        <v>347</v>
      </c>
      <c r="C71" s="176">
        <f>+C47</f>
        <v>4163603</v>
      </c>
      <c r="D71" s="176">
        <f>+D47</f>
        <v>3771551</v>
      </c>
      <c r="E71" s="176">
        <f>+E47</f>
        <v>3491992</v>
      </c>
    </row>
    <row r="72" spans="1:5" ht="24" customHeight="1" x14ac:dyDescent="0.2">
      <c r="A72" s="17">
        <v>7</v>
      </c>
      <c r="B72" s="45" t="s">
        <v>359</v>
      </c>
      <c r="C72" s="281">
        <f>+C70+C71</f>
        <v>-524074</v>
      </c>
      <c r="D72" s="281">
        <f>+D70+D71</f>
        <v>-456327</v>
      </c>
      <c r="E72" s="281">
        <f>+E70+E71</f>
        <v>-3587532</v>
      </c>
    </row>
    <row r="73" spans="1:5" ht="24" customHeight="1" x14ac:dyDescent="0.2">
      <c r="A73" s="17">
        <v>8</v>
      </c>
      <c r="B73" s="45" t="s">
        <v>54</v>
      </c>
      <c r="C73" s="270">
        <f>+C40</f>
        <v>17395452</v>
      </c>
      <c r="D73" s="270">
        <f>+D40</f>
        <v>16769438</v>
      </c>
      <c r="E73" s="270">
        <f>+E40</f>
        <v>17299639</v>
      </c>
    </row>
    <row r="74" spans="1:5" ht="24" customHeight="1" x14ac:dyDescent="0.2">
      <c r="A74" s="17">
        <v>9</v>
      </c>
      <c r="B74" s="45" t="s">
        <v>58</v>
      </c>
      <c r="C74" s="281">
        <v>4988931</v>
      </c>
      <c r="D74" s="281">
        <v>7257480</v>
      </c>
      <c r="E74" s="281">
        <v>7828804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22384383</v>
      </c>
      <c r="D75" s="270">
        <f>+D73+D74</f>
        <v>24026918</v>
      </c>
      <c r="E75" s="270">
        <f>+E73+E74</f>
        <v>25128443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9.678166915478597</v>
      </c>
      <c r="D77" s="286">
        <f>IF(D80=0,0,(D78/D80)*100)</f>
        <v>16.467257442925906</v>
      </c>
      <c r="E77" s="286">
        <f>IF(E80=0,0,(E78/E80)*100)</f>
        <v>23.824470032256809</v>
      </c>
    </row>
    <row r="78" spans="1:5" ht="24" customHeight="1" x14ac:dyDescent="0.2">
      <c r="A78" s="17">
        <v>12</v>
      </c>
      <c r="B78" s="45" t="s">
        <v>58</v>
      </c>
      <c r="C78" s="270">
        <f>+C74</f>
        <v>4988931</v>
      </c>
      <c r="D78" s="270">
        <f>+D74</f>
        <v>7257480</v>
      </c>
      <c r="E78" s="270">
        <f>+E74</f>
        <v>7828804</v>
      </c>
    </row>
    <row r="79" spans="1:5" ht="24" customHeight="1" x14ac:dyDescent="0.2">
      <c r="A79" s="17">
        <v>13</v>
      </c>
      <c r="B79" s="45" t="s">
        <v>67</v>
      </c>
      <c r="C79" s="270">
        <f>+C32</f>
        <v>46559374</v>
      </c>
      <c r="D79" s="270">
        <f>+D32</f>
        <v>36814704</v>
      </c>
      <c r="E79" s="270">
        <f>+E32</f>
        <v>25031545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51548305</v>
      </c>
      <c r="D80" s="270">
        <f>+D78+D79</f>
        <v>44072184</v>
      </c>
      <c r="E80" s="270">
        <f>+E78+E79</f>
        <v>32860349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FILING&amp;R&amp;8MILFORD HEALTH &amp;AMP; MEDICAL,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12414</v>
      </c>
      <c r="D11" s="296">
        <v>3431</v>
      </c>
      <c r="E11" s="296">
        <v>3422</v>
      </c>
      <c r="F11" s="297">
        <v>35</v>
      </c>
      <c r="G11" s="297">
        <v>78</v>
      </c>
      <c r="H11" s="298">
        <f>IF(F11=0,0,$C11/(F11*365))</f>
        <v>0.97174168297455965</v>
      </c>
      <c r="I11" s="298">
        <f>IF(G11=0,0,$C11/(G11*365))</f>
        <v>0.43603793466807167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2070</v>
      </c>
      <c r="D13" s="296">
        <v>656</v>
      </c>
      <c r="E13" s="296">
        <v>0</v>
      </c>
      <c r="F13" s="297">
        <v>6</v>
      </c>
      <c r="G13" s="297">
        <v>10</v>
      </c>
      <c r="H13" s="298">
        <f>IF(F13=0,0,$C13/(F13*365))</f>
        <v>0.9452054794520548</v>
      </c>
      <c r="I13" s="298">
        <f>IF(G13=0,0,$C13/(G13*365))</f>
        <v>0.56712328767123288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1404</v>
      </c>
      <c r="D21" s="296">
        <v>475</v>
      </c>
      <c r="E21" s="296">
        <v>474</v>
      </c>
      <c r="F21" s="297">
        <v>4</v>
      </c>
      <c r="G21" s="297">
        <v>12</v>
      </c>
      <c r="H21" s="298">
        <f>IF(F21=0,0,$C21/(F21*365))</f>
        <v>0.9616438356164384</v>
      </c>
      <c r="I21" s="298">
        <f>IF(G21=0,0,$C21/(G21*365))</f>
        <v>0.32054794520547947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1424</v>
      </c>
      <c r="D23" s="296">
        <v>468</v>
      </c>
      <c r="E23" s="296">
        <v>465</v>
      </c>
      <c r="F23" s="297">
        <v>4</v>
      </c>
      <c r="G23" s="297">
        <v>12</v>
      </c>
      <c r="H23" s="298">
        <f>IF(F23=0,0,$C23/(F23*365))</f>
        <v>0.97534246575342465</v>
      </c>
      <c r="I23" s="298">
        <f>IF(G23=0,0,$C23/(G23*365))</f>
        <v>0.32511415525114157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6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15888</v>
      </c>
      <c r="D31" s="300">
        <f>SUM(D10:D29)-D13-D17-D23</f>
        <v>3906</v>
      </c>
      <c r="E31" s="300">
        <f>SUM(E10:E29)-E17-E23</f>
        <v>3896</v>
      </c>
      <c r="F31" s="300">
        <f>SUM(F10:F29)-F17-F23</f>
        <v>45</v>
      </c>
      <c r="G31" s="300">
        <f>SUM(G10:G29)-G17-G23</f>
        <v>106</v>
      </c>
      <c r="H31" s="301">
        <f>IF(F31=0,0,$C31/(F31*365))</f>
        <v>0.96730593607305937</v>
      </c>
      <c r="I31" s="301">
        <f>IF(G31=0,0,$C31/(G31*365))</f>
        <v>0.4106487464461101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17312</v>
      </c>
      <c r="D33" s="300">
        <f>SUM(D10:D29)-D13-D17</f>
        <v>4374</v>
      </c>
      <c r="E33" s="300">
        <f>SUM(E10:E29)-E17</f>
        <v>4361</v>
      </c>
      <c r="F33" s="300">
        <f>SUM(F10:F29)-F17</f>
        <v>49</v>
      </c>
      <c r="G33" s="300">
        <f>SUM(G10:G29)-G17</f>
        <v>118</v>
      </c>
      <c r="H33" s="301">
        <f>IF(F33=0,0,$C33/(F33*365))</f>
        <v>0.9679619793122729</v>
      </c>
      <c r="I33" s="301">
        <f>IF(G33=0,0,$C33/(G33*365))</f>
        <v>0.40195031344323195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17312</v>
      </c>
      <c r="D36" s="300">
        <f t="shared" si="1"/>
        <v>4374</v>
      </c>
      <c r="E36" s="300">
        <f t="shared" si="1"/>
        <v>4361</v>
      </c>
      <c r="F36" s="300">
        <f t="shared" si="1"/>
        <v>49</v>
      </c>
      <c r="G36" s="300">
        <f t="shared" si="1"/>
        <v>118</v>
      </c>
      <c r="H36" s="301">
        <f t="shared" si="1"/>
        <v>0.9679619793122729</v>
      </c>
      <c r="I36" s="301">
        <f t="shared" si="1"/>
        <v>0.40195031344323195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17708</v>
      </c>
      <c r="D37" s="300">
        <v>0</v>
      </c>
      <c r="E37" s="300">
        <v>0</v>
      </c>
      <c r="F37" s="302">
        <v>51</v>
      </c>
      <c r="G37" s="302">
        <v>118</v>
      </c>
      <c r="H37" s="301">
        <f>IF(F37=0,0,$C37/(F37*365))</f>
        <v>0.95127585280687621</v>
      </c>
      <c r="I37" s="301">
        <f>IF(G37=0,0,$C37/(G37*365))</f>
        <v>0.41114464824703972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-396</v>
      </c>
      <c r="D38" s="300">
        <f t="shared" si="2"/>
        <v>4374</v>
      </c>
      <c r="E38" s="300">
        <f t="shared" si="2"/>
        <v>4361</v>
      </c>
      <c r="F38" s="300">
        <f t="shared" si="2"/>
        <v>-2</v>
      </c>
      <c r="G38" s="300">
        <f t="shared" si="2"/>
        <v>0</v>
      </c>
      <c r="H38" s="301">
        <f t="shared" si="2"/>
        <v>1.6686126505396692E-2</v>
      </c>
      <c r="I38" s="301">
        <f t="shared" si="2"/>
        <v>-9.1943348038077688E-3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-2.2362773887508472E-2</v>
      </c>
      <c r="D40" s="148">
        <f t="shared" si="3"/>
        <v>0</v>
      </c>
      <c r="E40" s="148">
        <f t="shared" si="3"/>
        <v>0</v>
      </c>
      <c r="F40" s="148">
        <f t="shared" si="3"/>
        <v>-3.9215686274509803E-2</v>
      </c>
      <c r="G40" s="148">
        <f t="shared" si="3"/>
        <v>0</v>
      </c>
      <c r="H40" s="148">
        <f t="shared" si="3"/>
        <v>1.7540786361980993E-2</v>
      </c>
      <c r="I40" s="148">
        <f t="shared" si="3"/>
        <v>-2.2362773887508503E-2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118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1214</v>
      </c>
      <c r="D12" s="296">
        <v>983</v>
      </c>
      <c r="E12" s="296">
        <f>+D12-C12</f>
        <v>-231</v>
      </c>
      <c r="F12" s="316">
        <f>IF(C12=0,0,+E12/C12)</f>
        <v>-0.19028006589785831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2401</v>
      </c>
      <c r="D13" s="296">
        <v>1726</v>
      </c>
      <c r="E13" s="296">
        <f>+D13-C13</f>
        <v>-675</v>
      </c>
      <c r="F13" s="316">
        <f>IF(C13=0,0,+E13/C13)</f>
        <v>-0.28113286130778842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7364</v>
      </c>
      <c r="D14" s="296">
        <v>6445</v>
      </c>
      <c r="E14" s="296">
        <f>+D14-C14</f>
        <v>-919</v>
      </c>
      <c r="F14" s="316">
        <f>IF(C14=0,0,+E14/C14)</f>
        <v>-0.12479630635524172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10979</v>
      </c>
      <c r="D16" s="300">
        <f>SUM(D12:D15)</f>
        <v>9154</v>
      </c>
      <c r="E16" s="300">
        <f>+D16-C16</f>
        <v>-1825</v>
      </c>
      <c r="F16" s="309">
        <f>IF(C16=0,0,+E16/C16)</f>
        <v>-0.16622643227980691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417</v>
      </c>
      <c r="D19" s="296">
        <v>335</v>
      </c>
      <c r="E19" s="296">
        <f>+D19-C19</f>
        <v>-82</v>
      </c>
      <c r="F19" s="316">
        <f>IF(C19=0,0,+E19/C19)</f>
        <v>-0.19664268585131894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1825</v>
      </c>
      <c r="D20" s="296">
        <v>1773</v>
      </c>
      <c r="E20" s="296">
        <f>+D20-C20</f>
        <v>-52</v>
      </c>
      <c r="F20" s="316">
        <f>IF(C20=0,0,+E20/C20)</f>
        <v>-2.8493150684931506E-2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91</v>
      </c>
      <c r="D21" s="296">
        <v>94</v>
      </c>
      <c r="E21" s="296">
        <f>+D21-C21</f>
        <v>3</v>
      </c>
      <c r="F21" s="316">
        <f>IF(C21=0,0,+E21/C21)</f>
        <v>3.2967032967032968E-2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2333</v>
      </c>
      <c r="D23" s="300">
        <f>SUM(D19:D22)</f>
        <v>2202</v>
      </c>
      <c r="E23" s="300">
        <f>+D23-C23</f>
        <v>-131</v>
      </c>
      <c r="F23" s="309">
        <f>IF(C23=0,0,+E23/C23)</f>
        <v>-5.6150878696956709E-2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1</v>
      </c>
      <c r="D26" s="296">
        <v>0</v>
      </c>
      <c r="E26" s="296">
        <f>+D26-C26</f>
        <v>-1</v>
      </c>
      <c r="F26" s="316">
        <f>IF(C26=0,0,+E26/C26)</f>
        <v>-1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64</v>
      </c>
      <c r="D27" s="296">
        <v>52</v>
      </c>
      <c r="E27" s="296">
        <f>+D27-C27</f>
        <v>-12</v>
      </c>
      <c r="F27" s="316">
        <f>IF(C27=0,0,+E27/C27)</f>
        <v>-0.1875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65</v>
      </c>
      <c r="D30" s="300">
        <f>SUM(D26:D29)</f>
        <v>52</v>
      </c>
      <c r="E30" s="300">
        <f>+D30-C30</f>
        <v>-13</v>
      </c>
      <c r="F30" s="309">
        <f>IF(C30=0,0,+E30/C30)</f>
        <v>-0.2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1226</v>
      </c>
      <c r="D63" s="296">
        <v>1180</v>
      </c>
      <c r="E63" s="296">
        <f>+D63-C63</f>
        <v>-46</v>
      </c>
      <c r="F63" s="316">
        <f>IF(C63=0,0,+E63/C63)</f>
        <v>-3.7520391517128875E-2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2317</v>
      </c>
      <c r="D64" s="296">
        <v>2139</v>
      </c>
      <c r="E64" s="296">
        <f>+D64-C64</f>
        <v>-178</v>
      </c>
      <c r="F64" s="316">
        <f>IF(C64=0,0,+E64/C64)</f>
        <v>-7.6823478636167453E-2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3543</v>
      </c>
      <c r="D65" s="300">
        <f>SUM(D63:D64)</f>
        <v>3319</v>
      </c>
      <c r="E65" s="300">
        <f>+D65-C65</f>
        <v>-224</v>
      </c>
      <c r="F65" s="309">
        <f>IF(C65=0,0,+E65/C65)</f>
        <v>-6.3223257126728757E-2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317</v>
      </c>
      <c r="D68" s="296">
        <v>301</v>
      </c>
      <c r="E68" s="296">
        <f>+D68-C68</f>
        <v>-16</v>
      </c>
      <c r="F68" s="316">
        <f>IF(C68=0,0,+E68/C68)</f>
        <v>-5.0473186119873815E-2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2668</v>
      </c>
      <c r="D69" s="296">
        <v>2520</v>
      </c>
      <c r="E69" s="296">
        <f>+D69-C69</f>
        <v>-148</v>
      </c>
      <c r="F69" s="318">
        <f>IF(C69=0,0,+E69/C69)</f>
        <v>-5.5472263868065967E-2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2985</v>
      </c>
      <c r="D70" s="300">
        <f>SUM(D68:D69)</f>
        <v>2821</v>
      </c>
      <c r="E70" s="300">
        <f>+D70-C70</f>
        <v>-164</v>
      </c>
      <c r="F70" s="309">
        <f>IF(C70=0,0,+E70/C70)</f>
        <v>-5.494137353433836E-2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3143</v>
      </c>
      <c r="D73" s="319">
        <v>3152</v>
      </c>
      <c r="E73" s="296">
        <f>+D73-C73</f>
        <v>9</v>
      </c>
      <c r="F73" s="316">
        <f>IF(C73=0,0,+E73/C73)</f>
        <v>2.8635062042634426E-3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35049</v>
      </c>
      <c r="D74" s="319">
        <v>34292</v>
      </c>
      <c r="E74" s="296">
        <f>+D74-C74</f>
        <v>-757</v>
      </c>
      <c r="F74" s="316">
        <f>IF(C74=0,0,+E74/C74)</f>
        <v>-2.1598333761305599E-2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38192</v>
      </c>
      <c r="D75" s="300">
        <f>SUM(D73:D74)</f>
        <v>37444</v>
      </c>
      <c r="E75" s="300">
        <f>SUM(E73:E74)</f>
        <v>-748</v>
      </c>
      <c r="F75" s="309">
        <f>IF(C75=0,0,+E75/C75)</f>
        <v>-1.9585253456221197E-2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31089</v>
      </c>
      <c r="D91" s="322">
        <v>27532</v>
      </c>
      <c r="E91" s="296">
        <f t="shared" si="2"/>
        <v>-3557</v>
      </c>
      <c r="F91" s="316">
        <f t="shared" si="3"/>
        <v>-0.11441345813631831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31089</v>
      </c>
      <c r="D92" s="320">
        <f>SUM(D87:D91)</f>
        <v>27532</v>
      </c>
      <c r="E92" s="300">
        <f t="shared" si="2"/>
        <v>-3557</v>
      </c>
      <c r="F92" s="309">
        <f t="shared" si="3"/>
        <v>-0.11441345813631831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217.4</v>
      </c>
      <c r="D96" s="325">
        <v>196</v>
      </c>
      <c r="E96" s="326">
        <f>+D96-C96</f>
        <v>-21.400000000000006</v>
      </c>
      <c r="F96" s="316">
        <f>IF(C96=0,0,+E96/C96)</f>
        <v>-9.8436062557497719E-2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21.2</v>
      </c>
      <c r="D97" s="325">
        <v>21.5</v>
      </c>
      <c r="E97" s="326">
        <f>+D97-C97</f>
        <v>0.30000000000000071</v>
      </c>
      <c r="F97" s="316">
        <f>IF(C97=0,0,+E97/C97)</f>
        <v>1.4150943396226448E-2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285.39999999999998</v>
      </c>
      <c r="D98" s="325">
        <v>287.5</v>
      </c>
      <c r="E98" s="326">
        <f>+D98-C98</f>
        <v>2.1000000000000227</v>
      </c>
      <c r="F98" s="316">
        <f>IF(C98=0,0,+E98/C98)</f>
        <v>7.3580939032937033E-3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524</v>
      </c>
      <c r="D99" s="327">
        <f>SUM(D96:D98)</f>
        <v>505</v>
      </c>
      <c r="E99" s="327">
        <f>+D99-C99</f>
        <v>-19</v>
      </c>
      <c r="F99" s="309">
        <f>IF(C99=0,0,+E99/C99)</f>
        <v>-3.6259541984732822E-2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0</v>
      </c>
      <c r="D12" s="296">
        <v>0</v>
      </c>
      <c r="E12" s="296">
        <f>+D12-C12</f>
        <v>0</v>
      </c>
      <c r="F12" s="316">
        <f>IF(C12=0,0,+E12/C12)</f>
        <v>0</v>
      </c>
    </row>
    <row r="13" spans="1:16" ht="15.75" customHeight="1" x14ac:dyDescent="0.2">
      <c r="A13" s="294">
        <v>2</v>
      </c>
      <c r="B13" s="295" t="s">
        <v>589</v>
      </c>
      <c r="C13" s="296">
        <v>2317</v>
      </c>
      <c r="D13" s="296">
        <v>2139</v>
      </c>
      <c r="E13" s="296">
        <f>+D13-C13</f>
        <v>-178</v>
      </c>
      <c r="F13" s="316">
        <f>IF(C13=0,0,+E13/C13)</f>
        <v>-7.6823478636167453E-2</v>
      </c>
    </row>
    <row r="14" spans="1:16" ht="15.75" customHeight="1" x14ac:dyDescent="0.25">
      <c r="A14" s="294"/>
      <c r="B14" s="135" t="s">
        <v>590</v>
      </c>
      <c r="C14" s="300">
        <f>SUM(C11:C13)</f>
        <v>2317</v>
      </c>
      <c r="D14" s="300">
        <f>SUM(D11:D13)</f>
        <v>2139</v>
      </c>
      <c r="E14" s="300">
        <f>+D14-C14</f>
        <v>-178</v>
      </c>
      <c r="F14" s="309">
        <f>IF(C14=0,0,+E14/C14)</f>
        <v>-7.6823478636167453E-2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563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589</v>
      </c>
      <c r="C17" s="296">
        <v>2668</v>
      </c>
      <c r="D17" s="296">
        <v>2520</v>
      </c>
      <c r="E17" s="296">
        <f>+D17-C17</f>
        <v>-148</v>
      </c>
      <c r="F17" s="316">
        <f>IF(C17=0,0,+E17/C17)</f>
        <v>-5.5472263868065967E-2</v>
      </c>
    </row>
    <row r="18" spans="1:6" ht="15.75" customHeight="1" x14ac:dyDescent="0.25">
      <c r="A18" s="294"/>
      <c r="B18" s="135" t="s">
        <v>591</v>
      </c>
      <c r="C18" s="300">
        <f>SUM(C16:C17)</f>
        <v>2668</v>
      </c>
      <c r="D18" s="300">
        <f>SUM(D16:D17)</f>
        <v>2520</v>
      </c>
      <c r="E18" s="300">
        <f>+D18-C18</f>
        <v>-148</v>
      </c>
      <c r="F18" s="309">
        <f>IF(C18=0,0,+E18/C18)</f>
        <v>-5.5472263868065967E-2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592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593</v>
      </c>
      <c r="C21" s="296">
        <v>12586</v>
      </c>
      <c r="D21" s="296">
        <v>13100</v>
      </c>
      <c r="E21" s="296">
        <f>+D21-C21</f>
        <v>514</v>
      </c>
      <c r="F21" s="316">
        <f>IF(C21=0,0,+E21/C21)</f>
        <v>4.0839027490862864E-2</v>
      </c>
    </row>
    <row r="22" spans="1:6" ht="15.75" customHeight="1" x14ac:dyDescent="0.2">
      <c r="A22" s="294">
        <v>2</v>
      </c>
      <c r="B22" s="295" t="s">
        <v>589</v>
      </c>
      <c r="C22" s="296">
        <v>22463</v>
      </c>
      <c r="D22" s="296">
        <v>21192</v>
      </c>
      <c r="E22" s="296">
        <f>+D22-C22</f>
        <v>-1271</v>
      </c>
      <c r="F22" s="316">
        <f>IF(C22=0,0,+E22/C22)</f>
        <v>-5.6581934737123273E-2</v>
      </c>
    </row>
    <row r="23" spans="1:6" ht="15.75" customHeight="1" x14ac:dyDescent="0.25">
      <c r="A23" s="294"/>
      <c r="B23" s="135" t="s">
        <v>594</v>
      </c>
      <c r="C23" s="300">
        <f>SUM(C20:C22)</f>
        <v>35049</v>
      </c>
      <c r="D23" s="300">
        <f>SUM(D20:D22)</f>
        <v>34292</v>
      </c>
      <c r="E23" s="300">
        <f>+D23-C23</f>
        <v>-757</v>
      </c>
      <c r="F23" s="309">
        <f>IF(C23=0,0,+E23/C23)</f>
        <v>-2.1598333761305599E-2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595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596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597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598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599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600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601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602</v>
      </c>
      <c r="D7" s="341" t="s">
        <v>602</v>
      </c>
      <c r="E7" s="341" t="s">
        <v>603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604</v>
      </c>
      <c r="D8" s="344" t="s">
        <v>605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606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607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608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609</v>
      </c>
      <c r="C15" s="361">
        <v>72726849</v>
      </c>
      <c r="D15" s="361">
        <v>57173474</v>
      </c>
      <c r="E15" s="361">
        <f t="shared" ref="E15:E24" si="0">D15-C15</f>
        <v>-15553375</v>
      </c>
      <c r="F15" s="362">
        <f t="shared" ref="F15:F24" si="1">IF(C15=0,0,E15/C15)</f>
        <v>-0.21386015225271207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610</v>
      </c>
      <c r="C16" s="361">
        <v>24094124</v>
      </c>
      <c r="D16" s="361">
        <v>20681371</v>
      </c>
      <c r="E16" s="361">
        <f t="shared" si="0"/>
        <v>-3412753</v>
      </c>
      <c r="F16" s="362">
        <f t="shared" si="1"/>
        <v>-0.14164254321925129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611</v>
      </c>
      <c r="C17" s="366">
        <f>IF(C15=0,0,C16/C15)</f>
        <v>0.33129613521410778</v>
      </c>
      <c r="D17" s="366">
        <f>IF(LN_IA1=0,0,LN_IA2/LN_IA1)</f>
        <v>0.36173017927859341</v>
      </c>
      <c r="E17" s="367">
        <f t="shared" si="0"/>
        <v>3.0434044064485632E-2</v>
      </c>
      <c r="F17" s="362">
        <f t="shared" si="1"/>
        <v>9.1863565039226699E-2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2362</v>
      </c>
      <c r="D18" s="369">
        <v>2050</v>
      </c>
      <c r="E18" s="369">
        <f t="shared" si="0"/>
        <v>-312</v>
      </c>
      <c r="F18" s="362">
        <f t="shared" si="1"/>
        <v>-0.13209144792548688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612</v>
      </c>
      <c r="C19" s="372">
        <v>1.5058</v>
      </c>
      <c r="D19" s="372">
        <v>1.5190999999999999</v>
      </c>
      <c r="E19" s="373">
        <f t="shared" si="0"/>
        <v>1.3299999999999867E-2</v>
      </c>
      <c r="F19" s="362">
        <f t="shared" si="1"/>
        <v>8.832514278124497E-3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613</v>
      </c>
      <c r="C20" s="376">
        <f>C18*C19</f>
        <v>3556.6995999999999</v>
      </c>
      <c r="D20" s="376">
        <f>LN_IA4*LN_IA5</f>
        <v>3114.1549999999997</v>
      </c>
      <c r="E20" s="376">
        <f t="shared" si="0"/>
        <v>-442.54460000000017</v>
      </c>
      <c r="F20" s="362">
        <f t="shared" si="1"/>
        <v>-0.12442563324718235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614</v>
      </c>
      <c r="C21" s="378">
        <f>IF(C20=0,0,C16/C20)</f>
        <v>6774.2926616574532</v>
      </c>
      <c r="D21" s="378">
        <f>IF(LN_IA6=0,0,LN_IA2/LN_IA6)</f>
        <v>6641.0859446623572</v>
      </c>
      <c r="E21" s="378">
        <f t="shared" si="0"/>
        <v>-133.20671699509603</v>
      </c>
      <c r="F21" s="362">
        <f t="shared" si="1"/>
        <v>-1.9663561001585752E-2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10822</v>
      </c>
      <c r="D22" s="369">
        <v>9577</v>
      </c>
      <c r="E22" s="369">
        <f t="shared" si="0"/>
        <v>-1245</v>
      </c>
      <c r="F22" s="362">
        <f t="shared" si="1"/>
        <v>-0.11504343004989835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615</v>
      </c>
      <c r="C23" s="378">
        <f>IF(C22=0,0,C16/C22)</f>
        <v>2226.4021437811866</v>
      </c>
      <c r="D23" s="378">
        <f>IF(LN_IA8=0,0,LN_IA2/LN_IA8)</f>
        <v>2159.483241098465</v>
      </c>
      <c r="E23" s="378">
        <f t="shared" si="0"/>
        <v>-66.918902682721637</v>
      </c>
      <c r="F23" s="362">
        <f t="shared" si="1"/>
        <v>-3.0056970107417622E-2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616</v>
      </c>
      <c r="C24" s="379">
        <f>IF(C18=0,0,C22/C18)</f>
        <v>4.5817104149026253</v>
      </c>
      <c r="D24" s="379">
        <f>IF(LN_IA4=0,0,LN_IA8/LN_IA4)</f>
        <v>4.6717073170731709</v>
      </c>
      <c r="E24" s="379">
        <f t="shared" si="0"/>
        <v>8.9996902170545567E-2</v>
      </c>
      <c r="F24" s="362">
        <f t="shared" si="1"/>
        <v>1.9642643035190224E-2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617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618</v>
      </c>
      <c r="C27" s="361">
        <v>25285669</v>
      </c>
      <c r="D27" s="361">
        <v>27391983</v>
      </c>
      <c r="E27" s="361">
        <f t="shared" ref="E27:E32" si="2">D27-C27</f>
        <v>2106314</v>
      </c>
      <c r="F27" s="362">
        <f t="shared" ref="F27:F32" si="3">IF(C27=0,0,E27/C27)</f>
        <v>8.3300702860580833E-2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619</v>
      </c>
      <c r="C28" s="361">
        <v>6322615</v>
      </c>
      <c r="D28" s="361">
        <v>8506902</v>
      </c>
      <c r="E28" s="361">
        <f t="shared" si="2"/>
        <v>2184287</v>
      </c>
      <c r="F28" s="362">
        <f t="shared" si="3"/>
        <v>0.34547208710320015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620</v>
      </c>
      <c r="C29" s="366">
        <f>IF(C27=0,0,C28/C27)</f>
        <v>0.25004736872890332</v>
      </c>
      <c r="D29" s="366">
        <f>IF(LN_IA11=0,0,LN_IA12/LN_IA11)</f>
        <v>0.31056174355832505</v>
      </c>
      <c r="E29" s="367">
        <f t="shared" si="2"/>
        <v>6.0514374829421735E-2</v>
      </c>
      <c r="F29" s="362">
        <f t="shared" si="3"/>
        <v>0.24201164418182816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621</v>
      </c>
      <c r="C30" s="366">
        <f>IF(C15=0,0,C27/C15)</f>
        <v>0.34767997442045095</v>
      </c>
      <c r="D30" s="366">
        <f>IF(LN_IA1=0,0,LN_IA11/LN_IA1)</f>
        <v>0.47910300150730739</v>
      </c>
      <c r="E30" s="367">
        <f t="shared" si="2"/>
        <v>0.13142302708685644</v>
      </c>
      <c r="F30" s="362">
        <f t="shared" si="3"/>
        <v>0.37799999066936762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622</v>
      </c>
      <c r="C31" s="376">
        <f>C30*C18</f>
        <v>821.22009958110516</v>
      </c>
      <c r="D31" s="376">
        <f>LN_IA14*LN_IA4</f>
        <v>982.16115308998019</v>
      </c>
      <c r="E31" s="376">
        <f t="shared" si="2"/>
        <v>160.94105350887503</v>
      </c>
      <c r="F31" s="362">
        <f t="shared" si="3"/>
        <v>0.19597797666054348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623</v>
      </c>
      <c r="C32" s="378">
        <f>IF(C31=0,0,C28/C31)</f>
        <v>7699.0504777283122</v>
      </c>
      <c r="D32" s="378">
        <f>IF(LN_IA15=0,0,LN_IA12/LN_IA15)</f>
        <v>8661.4115954763729</v>
      </c>
      <c r="E32" s="378">
        <f t="shared" si="2"/>
        <v>962.36111774806068</v>
      </c>
      <c r="F32" s="362">
        <f t="shared" si="3"/>
        <v>0.12499737734308448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624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625</v>
      </c>
      <c r="C35" s="361">
        <f>C15+C27</f>
        <v>98012518</v>
      </c>
      <c r="D35" s="361">
        <f>LN_IA1+LN_IA11</f>
        <v>84565457</v>
      </c>
      <c r="E35" s="361">
        <f>D35-C35</f>
        <v>-13447061</v>
      </c>
      <c r="F35" s="362">
        <f>IF(C35=0,0,E35/C35)</f>
        <v>-0.137197383297509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626</v>
      </c>
      <c r="C36" s="361">
        <f>C16+C28</f>
        <v>30416739</v>
      </c>
      <c r="D36" s="361">
        <f>LN_IA2+LN_IA12</f>
        <v>29188273</v>
      </c>
      <c r="E36" s="361">
        <f>D36-C36</f>
        <v>-1228466</v>
      </c>
      <c r="F36" s="362">
        <f>IF(C36=0,0,E36/C36)</f>
        <v>-4.0387827242098502E-2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627</v>
      </c>
      <c r="C37" s="361">
        <f>C35-C36</f>
        <v>67595779</v>
      </c>
      <c r="D37" s="361">
        <f>LN_IA17-LN_IA18</f>
        <v>55377184</v>
      </c>
      <c r="E37" s="361">
        <f>D37-C37</f>
        <v>-12218595</v>
      </c>
      <c r="F37" s="362">
        <f>IF(C37=0,0,E37/C37)</f>
        <v>-0.18075973353306574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628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629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609</v>
      </c>
      <c r="C42" s="361">
        <v>36643492</v>
      </c>
      <c r="D42" s="361">
        <v>30377323</v>
      </c>
      <c r="E42" s="361">
        <f t="shared" ref="E42:E53" si="4">D42-C42</f>
        <v>-6266169</v>
      </c>
      <c r="F42" s="362">
        <f t="shared" ref="F42:F53" si="5">IF(C42=0,0,E42/C42)</f>
        <v>-0.17100359867449313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610</v>
      </c>
      <c r="C43" s="361">
        <v>14479721</v>
      </c>
      <c r="D43" s="361">
        <v>13589422</v>
      </c>
      <c r="E43" s="361">
        <f t="shared" si="4"/>
        <v>-890299</v>
      </c>
      <c r="F43" s="362">
        <f t="shared" si="5"/>
        <v>-6.1485922277093596E-2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611</v>
      </c>
      <c r="C44" s="366">
        <f>IF(C42=0,0,C43/C42)</f>
        <v>0.39515123176579348</v>
      </c>
      <c r="D44" s="366">
        <f>IF(LN_IB1=0,0,LN_IB2/LN_IB1)</f>
        <v>0.44735416613241397</v>
      </c>
      <c r="E44" s="367">
        <f t="shared" si="4"/>
        <v>5.220293436662049E-2</v>
      </c>
      <c r="F44" s="362">
        <f t="shared" si="5"/>
        <v>0.13210874766439099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1753</v>
      </c>
      <c r="D45" s="369">
        <v>1797</v>
      </c>
      <c r="E45" s="369">
        <f t="shared" si="4"/>
        <v>44</v>
      </c>
      <c r="F45" s="362">
        <f t="shared" si="5"/>
        <v>2.5099828864803195E-2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612</v>
      </c>
      <c r="C46" s="372">
        <v>1.13964</v>
      </c>
      <c r="D46" s="372">
        <v>1.1516599999999999</v>
      </c>
      <c r="E46" s="373">
        <f t="shared" si="4"/>
        <v>1.201999999999992E-2</v>
      </c>
      <c r="F46" s="362">
        <f t="shared" si="5"/>
        <v>1.0547190340809308E-2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613</v>
      </c>
      <c r="C47" s="376">
        <f>C45*C46</f>
        <v>1997.78892</v>
      </c>
      <c r="D47" s="376">
        <f>LN_IB4*LN_IB5</f>
        <v>2069.5330199999999</v>
      </c>
      <c r="E47" s="376">
        <f t="shared" si="4"/>
        <v>71.744099999999889</v>
      </c>
      <c r="F47" s="362">
        <f t="shared" si="5"/>
        <v>3.591175187817134E-2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614</v>
      </c>
      <c r="C48" s="378">
        <f>IF(C47=0,0,C43/C47)</f>
        <v>7247.8733138634088</v>
      </c>
      <c r="D48" s="378">
        <f>IF(LN_IB6=0,0,LN_IB2/LN_IB6)</f>
        <v>6566.41951042656</v>
      </c>
      <c r="E48" s="378">
        <f t="shared" si="4"/>
        <v>-681.45380343684883</v>
      </c>
      <c r="F48" s="362">
        <f t="shared" si="5"/>
        <v>-9.4021207867057283E-2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630</v>
      </c>
      <c r="C49" s="378">
        <f>C21-C48</f>
        <v>-473.58065220595563</v>
      </c>
      <c r="D49" s="378">
        <f>LN_IA7-LN_IB7</f>
        <v>74.666434235797169</v>
      </c>
      <c r="E49" s="378">
        <f t="shared" si="4"/>
        <v>548.2470864417528</v>
      </c>
      <c r="F49" s="362">
        <f t="shared" si="5"/>
        <v>-1.1576636078522176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631</v>
      </c>
      <c r="C50" s="391">
        <f>C49*C47</f>
        <v>-946114.17970343167</v>
      </c>
      <c r="D50" s="391">
        <f>LN_IB8*LN_IB6</f>
        <v>154524.65113664069</v>
      </c>
      <c r="E50" s="391">
        <f t="shared" si="4"/>
        <v>1100638.8308400724</v>
      </c>
      <c r="F50" s="362">
        <f t="shared" si="5"/>
        <v>-1.1633255842176236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5589</v>
      </c>
      <c r="D51" s="369">
        <v>5938</v>
      </c>
      <c r="E51" s="369">
        <f t="shared" si="4"/>
        <v>349</v>
      </c>
      <c r="F51" s="362">
        <f t="shared" si="5"/>
        <v>6.2444086598675973E-2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615</v>
      </c>
      <c r="C52" s="378">
        <f>IF(C51=0,0,C43/C51)</f>
        <v>2590.7534442655215</v>
      </c>
      <c r="D52" s="378">
        <f>IF(LN_IB10=0,0,LN_IB2/LN_IB10)</f>
        <v>2288.5520377231392</v>
      </c>
      <c r="E52" s="378">
        <f t="shared" si="4"/>
        <v>-302.2014065423823</v>
      </c>
      <c r="F52" s="362">
        <f t="shared" si="5"/>
        <v>-0.11664614678455301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616</v>
      </c>
      <c r="C53" s="379">
        <f>IF(C45=0,0,C51/C45)</f>
        <v>3.188248716486024</v>
      </c>
      <c r="D53" s="379">
        <f>IF(LN_IB4=0,0,LN_IB10/LN_IB4)</f>
        <v>3.3043962159154145</v>
      </c>
      <c r="E53" s="379">
        <f t="shared" si="4"/>
        <v>0.11614749942939051</v>
      </c>
      <c r="F53" s="362">
        <f t="shared" si="5"/>
        <v>3.6429874127701121E-2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632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618</v>
      </c>
      <c r="C56" s="361">
        <v>51278934</v>
      </c>
      <c r="D56" s="361">
        <v>48791363</v>
      </c>
      <c r="E56" s="361">
        <f t="shared" ref="E56:E63" si="6">D56-C56</f>
        <v>-2487571</v>
      </c>
      <c r="F56" s="362">
        <f t="shared" ref="F56:F63" si="7">IF(C56=0,0,E56/C56)</f>
        <v>-4.8510583312827836E-2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619</v>
      </c>
      <c r="C57" s="361">
        <v>21002090</v>
      </c>
      <c r="D57" s="361">
        <v>21161699</v>
      </c>
      <c r="E57" s="361">
        <f t="shared" si="6"/>
        <v>159609</v>
      </c>
      <c r="F57" s="362">
        <f t="shared" si="7"/>
        <v>7.5996722230977963E-3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620</v>
      </c>
      <c r="C58" s="366">
        <f>IF(C56=0,0,C57/C56)</f>
        <v>0.40956565126724359</v>
      </c>
      <c r="D58" s="366">
        <f>IF(LN_IB13=0,0,LN_IB14/LN_IB13)</f>
        <v>0.43371813572824353</v>
      </c>
      <c r="E58" s="367">
        <f t="shared" si="6"/>
        <v>2.4152484460999935E-2</v>
      </c>
      <c r="F58" s="362">
        <f t="shared" si="7"/>
        <v>5.8970971775268138E-2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621</v>
      </c>
      <c r="C59" s="366">
        <f>IF(C42=0,0,C56/C42)</f>
        <v>1.3994008540452423</v>
      </c>
      <c r="D59" s="366">
        <f>IF(LN_IB1=0,0,LN_IB13/LN_IB1)</f>
        <v>1.6061771802604199</v>
      </c>
      <c r="E59" s="367">
        <f t="shared" si="6"/>
        <v>0.20677632621517761</v>
      </c>
      <c r="F59" s="362">
        <f t="shared" si="7"/>
        <v>0.14776061170568114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622</v>
      </c>
      <c r="C60" s="376">
        <f>C59*C45</f>
        <v>2453.1496971413098</v>
      </c>
      <c r="D60" s="376">
        <f>LN_IB16*LN_IB4</f>
        <v>2886.3003929279744</v>
      </c>
      <c r="E60" s="376">
        <f t="shared" si="6"/>
        <v>433.15069578666453</v>
      </c>
      <c r="F60" s="362">
        <f t="shared" si="7"/>
        <v>0.17656920663725545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623</v>
      </c>
      <c r="C61" s="378">
        <f>IF(C60=0,0,C57/C60)</f>
        <v>8561.2753369572329</v>
      </c>
      <c r="D61" s="378">
        <f>IF(LN_IB17=0,0,LN_IB14/LN_IB17)</f>
        <v>7331.7728992624907</v>
      </c>
      <c r="E61" s="378">
        <f t="shared" si="6"/>
        <v>-1229.5024376947422</v>
      </c>
      <c r="F61" s="362">
        <f t="shared" si="7"/>
        <v>-0.14361206587846062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633</v>
      </c>
      <c r="C62" s="378">
        <f>C32-C61</f>
        <v>-862.22485922892065</v>
      </c>
      <c r="D62" s="378">
        <f>LN_IA16-LN_IB18</f>
        <v>1329.6386962138822</v>
      </c>
      <c r="E62" s="378">
        <f t="shared" si="6"/>
        <v>2191.8635554428029</v>
      </c>
      <c r="F62" s="362">
        <f t="shared" si="7"/>
        <v>-2.5421020189593757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634</v>
      </c>
      <c r="C63" s="361">
        <f>C62*C60</f>
        <v>-2115166.6522851354</v>
      </c>
      <c r="D63" s="361">
        <f>LN_IB19*LN_IB17</f>
        <v>3837736.6913343677</v>
      </c>
      <c r="E63" s="361">
        <f t="shared" si="6"/>
        <v>5952903.3436195031</v>
      </c>
      <c r="F63" s="362">
        <f t="shared" si="7"/>
        <v>-2.8143897490007426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635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625</v>
      </c>
      <c r="C66" s="361">
        <f>C42+C56</f>
        <v>87922426</v>
      </c>
      <c r="D66" s="361">
        <f>LN_IB1+LN_IB13</f>
        <v>79168686</v>
      </c>
      <c r="E66" s="361">
        <f>D66-C66</f>
        <v>-8753740</v>
      </c>
      <c r="F66" s="362">
        <f>IF(C66=0,0,E66/C66)</f>
        <v>-9.9562084422010824E-2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626</v>
      </c>
      <c r="C67" s="361">
        <f>C43+C57</f>
        <v>35481811</v>
      </c>
      <c r="D67" s="361">
        <f>LN_IB2+LN_IB14</f>
        <v>34751121</v>
      </c>
      <c r="E67" s="361">
        <f>D67-C67</f>
        <v>-730690</v>
      </c>
      <c r="F67" s="362">
        <f>IF(C67=0,0,E67/C67)</f>
        <v>-2.0593368247184451E-2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627</v>
      </c>
      <c r="C68" s="361">
        <f>C66-C67</f>
        <v>52440615</v>
      </c>
      <c r="D68" s="361">
        <f>LN_IB21-LN_IB22</f>
        <v>44417565</v>
      </c>
      <c r="E68" s="361">
        <f>D68-C68</f>
        <v>-8023050</v>
      </c>
      <c r="F68" s="362">
        <f>IF(C68=0,0,E68/C68)</f>
        <v>-0.15299305700362209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636</v>
      </c>
      <c r="C70" s="353">
        <f>C50+C63</f>
        <v>-3061280.831988567</v>
      </c>
      <c r="D70" s="353">
        <f>LN_IB9+LN_IB20</f>
        <v>3992261.3424710082</v>
      </c>
      <c r="E70" s="361">
        <f>D70-C70</f>
        <v>7053542.1744595747</v>
      </c>
      <c r="F70" s="362">
        <f>IF(C70=0,0,E70/C70)</f>
        <v>-2.3041147028244673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637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638</v>
      </c>
      <c r="C73" s="400">
        <v>79887595</v>
      </c>
      <c r="D73" s="400">
        <v>71322702</v>
      </c>
      <c r="E73" s="400">
        <f>D73-C73</f>
        <v>-8564893</v>
      </c>
      <c r="F73" s="401">
        <f>IF(C73=0,0,E73/C73)</f>
        <v>-0.10721180178224166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639</v>
      </c>
      <c r="C74" s="400">
        <v>35946182</v>
      </c>
      <c r="D74" s="400">
        <v>36788412</v>
      </c>
      <c r="E74" s="400">
        <f>D74-C74</f>
        <v>842230</v>
      </c>
      <c r="F74" s="401">
        <f>IF(C74=0,0,E74/C74)</f>
        <v>2.3430304781742885E-2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640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641</v>
      </c>
      <c r="C76" s="353">
        <f>C73-C74</f>
        <v>43941413</v>
      </c>
      <c r="D76" s="353">
        <f>LN_IB32-LN_IB33</f>
        <v>34534290</v>
      </c>
      <c r="E76" s="400">
        <f>D76-C76</f>
        <v>-9407123</v>
      </c>
      <c r="F76" s="401">
        <f>IF(C76=0,0,E76/C76)</f>
        <v>-0.21408330678851861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642</v>
      </c>
      <c r="C77" s="366">
        <f>IF(C73=0,0,C76/C73)</f>
        <v>0.55004050378534985</v>
      </c>
      <c r="D77" s="366">
        <f>IF(LN_IB1=0,0,LN_IB34/LN_IB32)</f>
        <v>0.48419772430943514</v>
      </c>
      <c r="E77" s="405">
        <f>D77-C77</f>
        <v>-6.5842779475914714E-2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643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644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609</v>
      </c>
      <c r="C83" s="361">
        <v>1744121</v>
      </c>
      <c r="D83" s="361">
        <v>1800823</v>
      </c>
      <c r="E83" s="361">
        <f t="shared" ref="E83:E95" si="8">D83-C83</f>
        <v>56702</v>
      </c>
      <c r="F83" s="362">
        <f t="shared" ref="F83:F95" si="9">IF(C83=0,0,E83/C83)</f>
        <v>3.251035908632486E-2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610</v>
      </c>
      <c r="C84" s="361">
        <v>25685</v>
      </c>
      <c r="D84" s="361">
        <v>34130</v>
      </c>
      <c r="E84" s="361">
        <f t="shared" si="8"/>
        <v>8445</v>
      </c>
      <c r="F84" s="362">
        <f t="shared" si="9"/>
        <v>0.32879112322367138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611</v>
      </c>
      <c r="C85" s="366">
        <f>IF(C83=0,0,C84/C83)</f>
        <v>1.4726615871261225E-2</v>
      </c>
      <c r="D85" s="366">
        <f>IF(LN_IC1=0,0,LN_IC2/LN_IC1)</f>
        <v>1.8952445631802792E-2</v>
      </c>
      <c r="E85" s="367">
        <f t="shared" si="8"/>
        <v>4.2258297605415676E-3</v>
      </c>
      <c r="F85" s="362">
        <f t="shared" si="9"/>
        <v>0.28695185625016623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79</v>
      </c>
      <c r="D86" s="369">
        <v>78</v>
      </c>
      <c r="E86" s="369">
        <f t="shared" si="8"/>
        <v>-1</v>
      </c>
      <c r="F86" s="362">
        <f t="shared" si="9"/>
        <v>-1.2658227848101266E-2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612</v>
      </c>
      <c r="C87" s="372">
        <v>1.0085500000000001</v>
      </c>
      <c r="D87" s="372">
        <v>1.2761</v>
      </c>
      <c r="E87" s="373">
        <f t="shared" si="8"/>
        <v>0.26754999999999995</v>
      </c>
      <c r="F87" s="362">
        <f t="shared" si="9"/>
        <v>0.26528184026572799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613</v>
      </c>
      <c r="C88" s="376">
        <f>C86*C87</f>
        <v>79.675449999999998</v>
      </c>
      <c r="D88" s="376">
        <f>LN_IC4*LN_IC5</f>
        <v>99.535799999999995</v>
      </c>
      <c r="E88" s="376">
        <f t="shared" si="8"/>
        <v>19.860349999999997</v>
      </c>
      <c r="F88" s="362">
        <f t="shared" si="9"/>
        <v>0.24926561443957954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614</v>
      </c>
      <c r="C89" s="378">
        <f>IF(C88=0,0,C84/C88)</f>
        <v>322.37031607603097</v>
      </c>
      <c r="D89" s="378">
        <f>IF(LN_IC6=0,0,LN_IC2/LN_IC6)</f>
        <v>342.89170328665665</v>
      </c>
      <c r="E89" s="378">
        <f t="shared" si="8"/>
        <v>20.521387210625676</v>
      </c>
      <c r="F89" s="362">
        <f t="shared" si="9"/>
        <v>6.3657806526410177E-2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645</v>
      </c>
      <c r="C90" s="378">
        <f>C48-C89</f>
        <v>6925.5029977873783</v>
      </c>
      <c r="D90" s="378">
        <f>LN_IB7-LN_IC7</f>
        <v>6223.5278071399034</v>
      </c>
      <c r="E90" s="378">
        <f t="shared" si="8"/>
        <v>-701.97519064747485</v>
      </c>
      <c r="F90" s="362">
        <f t="shared" si="9"/>
        <v>-0.10136089622251961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646</v>
      </c>
      <c r="C91" s="378">
        <f>C21-C89</f>
        <v>6451.9223455814226</v>
      </c>
      <c r="D91" s="378">
        <f>LN_IA7-LN_IC7</f>
        <v>6298.1942413757006</v>
      </c>
      <c r="E91" s="378">
        <f t="shared" si="8"/>
        <v>-153.72810420572205</v>
      </c>
      <c r="F91" s="362">
        <f t="shared" si="9"/>
        <v>-2.3826713337770134E-2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631</v>
      </c>
      <c r="C92" s="353">
        <f>C91*C88</f>
        <v>514059.81624925532</v>
      </c>
      <c r="D92" s="353">
        <f>LN_IC9*LN_IC6</f>
        <v>626895.80237072345</v>
      </c>
      <c r="E92" s="353">
        <f t="shared" si="8"/>
        <v>112835.98612146813</v>
      </c>
      <c r="F92" s="362">
        <f t="shared" si="9"/>
        <v>0.21949972076159452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278</v>
      </c>
      <c r="D93" s="369">
        <v>311</v>
      </c>
      <c r="E93" s="369">
        <f t="shared" si="8"/>
        <v>33</v>
      </c>
      <c r="F93" s="362">
        <f t="shared" si="9"/>
        <v>0.11870503597122302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615</v>
      </c>
      <c r="C94" s="411">
        <f>IF(C93=0,0,C84/C93)</f>
        <v>92.392086330935257</v>
      </c>
      <c r="D94" s="411">
        <f>IF(LN_IC11=0,0,LN_IC2/LN_IC11)</f>
        <v>109.7427652733119</v>
      </c>
      <c r="E94" s="411">
        <f t="shared" si="8"/>
        <v>17.350678942376646</v>
      </c>
      <c r="F94" s="362">
        <f t="shared" si="9"/>
        <v>0.18779399439286382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616</v>
      </c>
      <c r="C95" s="379">
        <f>IF(C86=0,0,C93/C86)</f>
        <v>3.518987341772152</v>
      </c>
      <c r="D95" s="379">
        <f>IF(LN_IC4=0,0,LN_IC11/LN_IC4)</f>
        <v>3.9871794871794872</v>
      </c>
      <c r="E95" s="379">
        <f t="shared" si="8"/>
        <v>0.46819214540733523</v>
      </c>
      <c r="F95" s="362">
        <f t="shared" si="9"/>
        <v>0.13304740822726432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647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618</v>
      </c>
      <c r="C98" s="361">
        <v>3962849</v>
      </c>
      <c r="D98" s="361">
        <v>3757990</v>
      </c>
      <c r="E98" s="361">
        <f t="shared" ref="E98:E106" si="10">D98-C98</f>
        <v>-204859</v>
      </c>
      <c r="F98" s="362">
        <f t="shared" ref="F98:F106" si="11">IF(C98=0,0,E98/C98)</f>
        <v>-5.1694879113486282E-2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619</v>
      </c>
      <c r="C99" s="361">
        <v>317583</v>
      </c>
      <c r="D99" s="361">
        <v>246883</v>
      </c>
      <c r="E99" s="361">
        <f t="shared" si="10"/>
        <v>-70700</v>
      </c>
      <c r="F99" s="362">
        <f t="shared" si="11"/>
        <v>-0.22261896889946881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620</v>
      </c>
      <c r="C100" s="366">
        <f>IF(C98=0,0,C99/C98)</f>
        <v>8.0140070943909292E-2</v>
      </c>
      <c r="D100" s="366">
        <f>IF(LN_IC14=0,0,LN_IC15/LN_IC14)</f>
        <v>6.569549147283521E-2</v>
      </c>
      <c r="E100" s="367">
        <f t="shared" si="10"/>
        <v>-1.4444579471074082E-2</v>
      </c>
      <c r="F100" s="362">
        <f t="shared" si="11"/>
        <v>-0.18024166064419839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621</v>
      </c>
      <c r="C101" s="366">
        <f>IF(C83=0,0,C98/C83)</f>
        <v>2.2721181615266373</v>
      </c>
      <c r="D101" s="366">
        <f>IF(LN_IC1=0,0,LN_IC14/LN_IC1)</f>
        <v>2.0868180826211127</v>
      </c>
      <c r="E101" s="367">
        <f t="shared" si="10"/>
        <v>-0.18530007890552458</v>
      </c>
      <c r="F101" s="362">
        <f t="shared" si="11"/>
        <v>-8.155389188959318E-2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622</v>
      </c>
      <c r="C102" s="376">
        <f>C101*C86</f>
        <v>179.49733476060433</v>
      </c>
      <c r="D102" s="376">
        <f>LN_IC17*LN_IC4</f>
        <v>162.7718104444468</v>
      </c>
      <c r="E102" s="376">
        <f t="shared" si="10"/>
        <v>-16.725524316157532</v>
      </c>
      <c r="F102" s="362">
        <f t="shared" si="11"/>
        <v>-9.3179791992256442E-2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623</v>
      </c>
      <c r="C103" s="378">
        <f>IF(C102=0,0,C99/C102)</f>
        <v>1769.2908946172408</v>
      </c>
      <c r="D103" s="378">
        <f>IF(LN_IC18=0,0,LN_IC15/LN_IC18)</f>
        <v>1516.7429748793015</v>
      </c>
      <c r="E103" s="378">
        <f t="shared" si="10"/>
        <v>-252.54791973793931</v>
      </c>
      <c r="F103" s="362">
        <f t="shared" si="11"/>
        <v>-0.14273962552244651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648</v>
      </c>
      <c r="C104" s="378">
        <f>C61-C103</f>
        <v>6791.9844423399918</v>
      </c>
      <c r="D104" s="378">
        <f>LN_IB18-LN_IC19</f>
        <v>5815.0299243831887</v>
      </c>
      <c r="E104" s="378">
        <f t="shared" si="10"/>
        <v>-976.9545179568031</v>
      </c>
      <c r="F104" s="362">
        <f t="shared" si="11"/>
        <v>-0.14383933388696341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649</v>
      </c>
      <c r="C105" s="378">
        <f>C32-C103</f>
        <v>5929.7595831110712</v>
      </c>
      <c r="D105" s="378">
        <f>LN_IA16-LN_IC19</f>
        <v>7144.6686205970709</v>
      </c>
      <c r="E105" s="378">
        <f t="shared" si="10"/>
        <v>1214.9090374859998</v>
      </c>
      <c r="F105" s="362">
        <f t="shared" si="11"/>
        <v>0.20488335495864962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634</v>
      </c>
      <c r="C106" s="361">
        <f>C105*C102</f>
        <v>1064376.0409395895</v>
      </c>
      <c r="D106" s="361">
        <f>LN_IC21*LN_IC18</f>
        <v>1162950.6464002137</v>
      </c>
      <c r="E106" s="361">
        <f t="shared" si="10"/>
        <v>98574.605460624211</v>
      </c>
      <c r="F106" s="362">
        <f t="shared" si="11"/>
        <v>9.2612574568670683E-2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650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625</v>
      </c>
      <c r="C109" s="361">
        <f>C83+C98</f>
        <v>5706970</v>
      </c>
      <c r="D109" s="361">
        <f>LN_IC1+LN_IC14</f>
        <v>5558813</v>
      </c>
      <c r="E109" s="361">
        <f>D109-C109</f>
        <v>-148157</v>
      </c>
      <c r="F109" s="362">
        <f>IF(C109=0,0,E109/C109)</f>
        <v>-2.596071120051446E-2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626</v>
      </c>
      <c r="C110" s="361">
        <f>C84+C99</f>
        <v>343268</v>
      </c>
      <c r="D110" s="361">
        <f>LN_IC2+LN_IC15</f>
        <v>281013</v>
      </c>
      <c r="E110" s="361">
        <f>D110-C110</f>
        <v>-62255</v>
      </c>
      <c r="F110" s="362">
        <f>IF(C110=0,0,E110/C110)</f>
        <v>-0.18135975389491593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627</v>
      </c>
      <c r="C111" s="361">
        <f>C109-C110</f>
        <v>5363702</v>
      </c>
      <c r="D111" s="361">
        <f>LN_IC23-LN_IC24</f>
        <v>5277800</v>
      </c>
      <c r="E111" s="361">
        <f>D111-C111</f>
        <v>-85902</v>
      </c>
      <c r="F111" s="362">
        <f>IF(C111=0,0,E111/C111)</f>
        <v>-1.6015431133198674E-2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636</v>
      </c>
      <c r="C113" s="361">
        <f>C92+C106</f>
        <v>1578435.8571888448</v>
      </c>
      <c r="D113" s="361">
        <f>LN_IC10+LN_IC22</f>
        <v>1789846.448770937</v>
      </c>
      <c r="E113" s="361">
        <f>D113-C113</f>
        <v>211410.59158209222</v>
      </c>
      <c r="F113" s="362">
        <f>IF(C113=0,0,E113/C113)</f>
        <v>0.13393676443628774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651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652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609</v>
      </c>
      <c r="C118" s="361">
        <v>5974004</v>
      </c>
      <c r="D118" s="361">
        <v>7651286</v>
      </c>
      <c r="E118" s="361">
        <f t="shared" ref="E118:E130" si="12">D118-C118</f>
        <v>1677282</v>
      </c>
      <c r="F118" s="362">
        <f t="shared" ref="F118:F130" si="13">IF(C118=0,0,E118/C118)</f>
        <v>0.28076345446035861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610</v>
      </c>
      <c r="C119" s="361">
        <v>1555529</v>
      </c>
      <c r="D119" s="361">
        <v>2205637</v>
      </c>
      <c r="E119" s="361">
        <f t="shared" si="12"/>
        <v>650108</v>
      </c>
      <c r="F119" s="362">
        <f t="shared" si="13"/>
        <v>0.41793370615398362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611</v>
      </c>
      <c r="C120" s="366">
        <f>IF(C118=0,0,C119/C118)</f>
        <v>0.26038298601741816</v>
      </c>
      <c r="D120" s="366">
        <f>IF(LN_ID1=0,0,LN_1D2/LN_ID1)</f>
        <v>0.28827010256837871</v>
      </c>
      <c r="E120" s="367">
        <f t="shared" si="12"/>
        <v>2.7887116550960545E-2</v>
      </c>
      <c r="F120" s="362">
        <f t="shared" si="13"/>
        <v>0.10710037924326996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406</v>
      </c>
      <c r="D121" s="369">
        <v>517</v>
      </c>
      <c r="E121" s="369">
        <f t="shared" si="12"/>
        <v>111</v>
      </c>
      <c r="F121" s="362">
        <f t="shared" si="13"/>
        <v>0.27339901477832512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612</v>
      </c>
      <c r="C122" s="372">
        <v>0.90485000000000004</v>
      </c>
      <c r="D122" s="372">
        <v>0.95099999999999996</v>
      </c>
      <c r="E122" s="373">
        <f t="shared" si="12"/>
        <v>4.6149999999999913E-2</v>
      </c>
      <c r="F122" s="362">
        <f t="shared" si="13"/>
        <v>5.100292866220911E-2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613</v>
      </c>
      <c r="C123" s="376">
        <f>C121*C122</f>
        <v>367.3691</v>
      </c>
      <c r="D123" s="376">
        <f>LN_ID4*LN_ID5</f>
        <v>491.66699999999997</v>
      </c>
      <c r="E123" s="376">
        <f t="shared" si="12"/>
        <v>124.29789999999997</v>
      </c>
      <c r="F123" s="362">
        <f t="shared" si="13"/>
        <v>0.33834609388759146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614</v>
      </c>
      <c r="C124" s="378">
        <f>IF(C123=0,0,C119/C123)</f>
        <v>4234.2401688111495</v>
      </c>
      <c r="D124" s="378">
        <f>IF(LN_ID6=0,0,LN_1D2/LN_ID6)</f>
        <v>4486.0383145502956</v>
      </c>
      <c r="E124" s="378">
        <f t="shared" si="12"/>
        <v>251.79814573914609</v>
      </c>
      <c r="F124" s="362">
        <f t="shared" si="13"/>
        <v>5.9467138305913249E-2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653</v>
      </c>
      <c r="C125" s="378">
        <f>C48-C124</f>
        <v>3013.6331450522594</v>
      </c>
      <c r="D125" s="378">
        <f>LN_IB7-LN_ID7</f>
        <v>2080.3811958762644</v>
      </c>
      <c r="E125" s="378">
        <f t="shared" si="12"/>
        <v>-933.25194917599492</v>
      </c>
      <c r="F125" s="362">
        <f t="shared" si="13"/>
        <v>-0.30967669396263275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654</v>
      </c>
      <c r="C126" s="378">
        <f>C21-C124</f>
        <v>2540.0524928463037</v>
      </c>
      <c r="D126" s="378">
        <f>LN_IA7-LN_ID7</f>
        <v>2155.0476301120616</v>
      </c>
      <c r="E126" s="378">
        <f t="shared" si="12"/>
        <v>-385.00486273424212</v>
      </c>
      <c r="F126" s="362">
        <f t="shared" si="13"/>
        <v>-0.15157358512021052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631</v>
      </c>
      <c r="C127" s="391">
        <f>C126*C123</f>
        <v>933136.79824970302</v>
      </c>
      <c r="D127" s="391">
        <f>LN_ID9*LN_ID6</f>
        <v>1059565.803154307</v>
      </c>
      <c r="E127" s="391">
        <f t="shared" si="12"/>
        <v>126429.00490460393</v>
      </c>
      <c r="F127" s="362">
        <f t="shared" si="13"/>
        <v>0.1354881783054194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1247</v>
      </c>
      <c r="D128" s="369">
        <v>1762</v>
      </c>
      <c r="E128" s="369">
        <f t="shared" si="12"/>
        <v>515</v>
      </c>
      <c r="F128" s="362">
        <f t="shared" si="13"/>
        <v>0.41299117882919006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615</v>
      </c>
      <c r="C129" s="378">
        <f>IF(C128=0,0,C119/C128)</f>
        <v>1247.4170008019246</v>
      </c>
      <c r="D129" s="378">
        <f>IF(LN_ID11=0,0,LN_1D2/LN_ID11)</f>
        <v>1251.7803632236096</v>
      </c>
      <c r="E129" s="378">
        <f t="shared" si="12"/>
        <v>4.3633624216849967</v>
      </c>
      <c r="F129" s="362">
        <f t="shared" si="13"/>
        <v>3.4979180329271849E-3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616</v>
      </c>
      <c r="C130" s="379">
        <f>IF(C121=0,0,C128/C121)</f>
        <v>3.0714285714285716</v>
      </c>
      <c r="D130" s="379">
        <f>IF(LN_ID4=0,0,LN_ID11/LN_ID4)</f>
        <v>3.4081237911025144</v>
      </c>
      <c r="E130" s="379">
        <f t="shared" si="12"/>
        <v>0.33669521967394278</v>
      </c>
      <c r="F130" s="362">
        <f t="shared" si="13"/>
        <v>0.10962169942872554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655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618</v>
      </c>
      <c r="C133" s="361">
        <v>11552237</v>
      </c>
      <c r="D133" s="361">
        <v>12261281</v>
      </c>
      <c r="E133" s="361">
        <f t="shared" ref="E133:E141" si="14">D133-C133</f>
        <v>709044</v>
      </c>
      <c r="F133" s="362">
        <f t="shared" ref="F133:F141" si="15">IF(C133=0,0,E133/C133)</f>
        <v>6.1377203393593815E-2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619</v>
      </c>
      <c r="C134" s="361">
        <v>2450311</v>
      </c>
      <c r="D134" s="361">
        <v>2983923</v>
      </c>
      <c r="E134" s="361">
        <f t="shared" si="14"/>
        <v>533612</v>
      </c>
      <c r="F134" s="362">
        <f t="shared" si="15"/>
        <v>0.21777317246667871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620</v>
      </c>
      <c r="C135" s="366">
        <f>IF(C133=0,0,C134/C133)</f>
        <v>0.21210705770665889</v>
      </c>
      <c r="D135" s="366">
        <f>IF(LN_ID14=0,0,LN_ID15/LN_ID14)</f>
        <v>0.24336143996699855</v>
      </c>
      <c r="E135" s="367">
        <f t="shared" si="14"/>
        <v>3.1254382260339664E-2</v>
      </c>
      <c r="F135" s="362">
        <f t="shared" si="15"/>
        <v>0.14735192029095062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621</v>
      </c>
      <c r="C136" s="366">
        <f>IF(C118=0,0,C133/C118)</f>
        <v>1.9337511324063392</v>
      </c>
      <c r="D136" s="366">
        <f>IF(LN_ID1=0,0,LN_ID14/LN_ID1)</f>
        <v>1.6025124403923732</v>
      </c>
      <c r="E136" s="367">
        <f t="shared" si="14"/>
        <v>-0.33123869201396605</v>
      </c>
      <c r="F136" s="362">
        <f t="shared" si="15"/>
        <v>-0.17129334093874643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622</v>
      </c>
      <c r="C137" s="376">
        <f>C136*C121</f>
        <v>785.10295975697375</v>
      </c>
      <c r="D137" s="376">
        <f>LN_ID17*LN_ID4</f>
        <v>828.49893168285689</v>
      </c>
      <c r="E137" s="376">
        <f t="shared" si="14"/>
        <v>43.395971925883146</v>
      </c>
      <c r="F137" s="362">
        <f t="shared" si="15"/>
        <v>5.5274243188837599E-2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623</v>
      </c>
      <c r="C138" s="378">
        <f>IF(C137=0,0,C134/C137)</f>
        <v>3121.0059388369727</v>
      </c>
      <c r="D138" s="378">
        <f>IF(LN_ID18=0,0,LN_ID15/LN_ID18)</f>
        <v>3601.6015059174792</v>
      </c>
      <c r="E138" s="378">
        <f t="shared" si="14"/>
        <v>480.5955670805065</v>
      </c>
      <c r="F138" s="362">
        <f t="shared" si="15"/>
        <v>0.15398739268647404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656</v>
      </c>
      <c r="C139" s="378">
        <f>C61-C138</f>
        <v>5440.2693981202601</v>
      </c>
      <c r="D139" s="378">
        <f>LN_IB18-LN_ID19</f>
        <v>3730.1713933450114</v>
      </c>
      <c r="E139" s="378">
        <f t="shared" si="14"/>
        <v>-1710.0980047752487</v>
      </c>
      <c r="F139" s="362">
        <f t="shared" si="15"/>
        <v>-0.31434068418856748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657</v>
      </c>
      <c r="C140" s="378">
        <f>C32-C138</f>
        <v>4578.0445388913395</v>
      </c>
      <c r="D140" s="378">
        <f>LN_IA16-LN_ID19</f>
        <v>5059.8100895588941</v>
      </c>
      <c r="E140" s="378">
        <f t="shared" si="14"/>
        <v>481.76555066755463</v>
      </c>
      <c r="F140" s="362">
        <f t="shared" si="15"/>
        <v>0.10523391517379674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634</v>
      </c>
      <c r="C141" s="353">
        <f>C140*C137</f>
        <v>3594236.3173828409</v>
      </c>
      <c r="D141" s="353">
        <f>LN_ID21*LN_ID18</f>
        <v>4192047.2537176842</v>
      </c>
      <c r="E141" s="353">
        <f t="shared" si="14"/>
        <v>597810.93633484328</v>
      </c>
      <c r="F141" s="362">
        <f t="shared" si="15"/>
        <v>0.16632488338166421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658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625</v>
      </c>
      <c r="C144" s="361">
        <f>C118+C133</f>
        <v>17526241</v>
      </c>
      <c r="D144" s="361">
        <f>LN_ID1+LN_ID14</f>
        <v>19912567</v>
      </c>
      <c r="E144" s="361">
        <f>D144-C144</f>
        <v>2386326</v>
      </c>
      <c r="F144" s="362">
        <f>IF(C144=0,0,E144/C144)</f>
        <v>0.13615731975841255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626</v>
      </c>
      <c r="C145" s="361">
        <f>C119+C134</f>
        <v>4005840</v>
      </c>
      <c r="D145" s="361">
        <f>LN_1D2+LN_ID15</f>
        <v>5189560</v>
      </c>
      <c r="E145" s="361">
        <f>D145-C145</f>
        <v>1183720</v>
      </c>
      <c r="F145" s="362">
        <f>IF(C145=0,0,E145/C145)</f>
        <v>0.29549857208475627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627</v>
      </c>
      <c r="C146" s="361">
        <f>C144-C145</f>
        <v>13520401</v>
      </c>
      <c r="D146" s="361">
        <f>LN_ID23-LN_ID24</f>
        <v>14723007</v>
      </c>
      <c r="E146" s="361">
        <f>D146-C146</f>
        <v>1202606</v>
      </c>
      <c r="F146" s="362">
        <f>IF(C146=0,0,E146/C146)</f>
        <v>8.894750976690706E-2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636</v>
      </c>
      <c r="C148" s="361">
        <f>C127+C141</f>
        <v>4527373.1156325443</v>
      </c>
      <c r="D148" s="361">
        <f>LN_ID10+LN_ID22</f>
        <v>5251613.0568719916</v>
      </c>
      <c r="E148" s="361">
        <f>D148-C148</f>
        <v>724239.94123944733</v>
      </c>
      <c r="F148" s="415">
        <f>IF(C148=0,0,E148/C148)</f>
        <v>0.15996913060660337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659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660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609</v>
      </c>
      <c r="C153" s="361">
        <v>168175</v>
      </c>
      <c r="D153" s="361">
        <v>29117</v>
      </c>
      <c r="E153" s="361">
        <f t="shared" ref="E153:E165" si="16">D153-C153</f>
        <v>-139058</v>
      </c>
      <c r="F153" s="362">
        <f t="shared" ref="F153:F165" si="17">IF(C153=0,0,E153/C153)</f>
        <v>-0.82686487290025268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610</v>
      </c>
      <c r="C154" s="361">
        <v>13543</v>
      </c>
      <c r="D154" s="361">
        <v>18017</v>
      </c>
      <c r="E154" s="361">
        <f t="shared" si="16"/>
        <v>4474</v>
      </c>
      <c r="F154" s="362">
        <f t="shared" si="17"/>
        <v>0.33035516502990475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611</v>
      </c>
      <c r="C155" s="366">
        <f>IF(C153=0,0,C154/C153)</f>
        <v>8.0529210643674742E-2</v>
      </c>
      <c r="D155" s="366">
        <f>IF(LN_IE1=0,0,LN_IE2/LN_IE1)</f>
        <v>0.61877940721915037</v>
      </c>
      <c r="E155" s="367">
        <f t="shared" si="16"/>
        <v>0.53825019657547557</v>
      </c>
      <c r="F155" s="362">
        <f t="shared" si="17"/>
        <v>6.6839124868257107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7</v>
      </c>
      <c r="D156" s="419">
        <v>2</v>
      </c>
      <c r="E156" s="419">
        <f t="shared" si="16"/>
        <v>-5</v>
      </c>
      <c r="F156" s="362">
        <f t="shared" si="17"/>
        <v>-0.7142857142857143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612</v>
      </c>
      <c r="C157" s="372">
        <v>1.14018</v>
      </c>
      <c r="D157" s="372">
        <v>0.63690000000000002</v>
      </c>
      <c r="E157" s="373">
        <f t="shared" si="16"/>
        <v>-0.50327999999999995</v>
      </c>
      <c r="F157" s="362">
        <f t="shared" si="17"/>
        <v>-0.44140398884386672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613</v>
      </c>
      <c r="C158" s="376">
        <f>C156*C157</f>
        <v>7.9812599999999998</v>
      </c>
      <c r="D158" s="376">
        <f>LN_IE4*LN_IE5</f>
        <v>1.2738</v>
      </c>
      <c r="E158" s="376">
        <f t="shared" si="16"/>
        <v>-6.7074599999999993</v>
      </c>
      <c r="F158" s="362">
        <f t="shared" si="17"/>
        <v>-0.84040113966967611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614</v>
      </c>
      <c r="C159" s="378">
        <f>IF(C158=0,0,C154/C158)</f>
        <v>1696.8498708224015</v>
      </c>
      <c r="D159" s="378">
        <f>IF(LN_IE6=0,0,LN_IE2/LN_IE6)</f>
        <v>14144.29266760873</v>
      </c>
      <c r="E159" s="378">
        <f t="shared" si="16"/>
        <v>12447.442796786328</v>
      </c>
      <c r="F159" s="362">
        <f t="shared" si="17"/>
        <v>7.335618201010031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661</v>
      </c>
      <c r="C160" s="378">
        <f>C48-C159</f>
        <v>5551.0234430410073</v>
      </c>
      <c r="D160" s="378">
        <f>LN_IB7-LN_IE7</f>
        <v>-7577.87315718217</v>
      </c>
      <c r="E160" s="378">
        <f t="shared" si="16"/>
        <v>-13128.896600223177</v>
      </c>
      <c r="F160" s="362">
        <f t="shared" si="17"/>
        <v>-2.365130815053953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662</v>
      </c>
      <c r="C161" s="378">
        <f>C21-C159</f>
        <v>5077.4427908350517</v>
      </c>
      <c r="D161" s="378">
        <f>LN_IA7-LN_IE7</f>
        <v>-7503.2067229463728</v>
      </c>
      <c r="E161" s="378">
        <f t="shared" si="16"/>
        <v>-12580.649513781424</v>
      </c>
      <c r="F161" s="362">
        <f t="shared" si="17"/>
        <v>-2.4777530800524041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631</v>
      </c>
      <c r="C162" s="391">
        <f>C161*C158</f>
        <v>40524.391048780162</v>
      </c>
      <c r="D162" s="391">
        <f>LN_IE9*LN_IE6</f>
        <v>-9557.5847236890895</v>
      </c>
      <c r="E162" s="391">
        <f t="shared" si="16"/>
        <v>-50081.975772469254</v>
      </c>
      <c r="F162" s="362">
        <f t="shared" si="17"/>
        <v>-1.2358477074259895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20</v>
      </c>
      <c r="D163" s="369">
        <v>8</v>
      </c>
      <c r="E163" s="419">
        <f t="shared" si="16"/>
        <v>-12</v>
      </c>
      <c r="F163" s="362">
        <f t="shared" si="17"/>
        <v>-0.6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615</v>
      </c>
      <c r="C164" s="378">
        <f>IF(C163=0,0,C154/C163)</f>
        <v>677.15</v>
      </c>
      <c r="D164" s="378">
        <f>IF(LN_IE11=0,0,LN_IE2/LN_IE11)</f>
        <v>2252.125</v>
      </c>
      <c r="E164" s="378">
        <f t="shared" si="16"/>
        <v>1574.9749999999999</v>
      </c>
      <c r="F164" s="362">
        <f t="shared" si="17"/>
        <v>2.3258879125747618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616</v>
      </c>
      <c r="C165" s="379">
        <f>IF(C156=0,0,C163/C156)</f>
        <v>2.8571428571428572</v>
      </c>
      <c r="D165" s="379">
        <f>IF(LN_IE4=0,0,LN_IE11/LN_IE4)</f>
        <v>4</v>
      </c>
      <c r="E165" s="379">
        <f t="shared" si="16"/>
        <v>1.1428571428571428</v>
      </c>
      <c r="F165" s="362">
        <f t="shared" si="17"/>
        <v>0.39999999999999997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663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618</v>
      </c>
      <c r="C168" s="424">
        <v>301352</v>
      </c>
      <c r="D168" s="424">
        <v>109502</v>
      </c>
      <c r="E168" s="424">
        <f t="shared" ref="E168:E176" si="18">D168-C168</f>
        <v>-191850</v>
      </c>
      <c r="F168" s="362">
        <f t="shared" ref="F168:F176" si="19">IF(C168=0,0,E168/C168)</f>
        <v>-0.63663091666887894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619</v>
      </c>
      <c r="C169" s="424">
        <v>48209</v>
      </c>
      <c r="D169" s="424">
        <v>67760</v>
      </c>
      <c r="E169" s="424">
        <f t="shared" si="18"/>
        <v>19551</v>
      </c>
      <c r="F169" s="362">
        <f t="shared" si="19"/>
        <v>0.4055466821547844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620</v>
      </c>
      <c r="C170" s="366">
        <f>IF(C168=0,0,C169/C168)</f>
        <v>0.15997570946932491</v>
      </c>
      <c r="D170" s="366">
        <f>IF(LN_IE14=0,0,LN_IE15/LN_IE14)</f>
        <v>0.6188014830779347</v>
      </c>
      <c r="E170" s="367">
        <f t="shared" si="18"/>
        <v>0.45882577360860977</v>
      </c>
      <c r="F170" s="362">
        <f t="shared" si="19"/>
        <v>2.8680965074675222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621</v>
      </c>
      <c r="C171" s="366">
        <f>IF(C153=0,0,C168/C153)</f>
        <v>1.7918953471086665</v>
      </c>
      <c r="D171" s="366">
        <f>IF(LN_IE1=0,0,LN_IE14/LN_IE1)</f>
        <v>3.7607583198818562</v>
      </c>
      <c r="E171" s="367">
        <f t="shared" si="18"/>
        <v>1.9688629727731897</v>
      </c>
      <c r="F171" s="362">
        <f t="shared" si="19"/>
        <v>1.0987600229835248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622</v>
      </c>
      <c r="C172" s="376">
        <f>C171*C156</f>
        <v>12.543267429760665</v>
      </c>
      <c r="D172" s="376">
        <f>LN_IE17*LN_IE4</f>
        <v>7.5215166397637123</v>
      </c>
      <c r="E172" s="376">
        <f t="shared" si="18"/>
        <v>-5.0217507899969522</v>
      </c>
      <c r="F172" s="362">
        <f t="shared" si="19"/>
        <v>-0.40035427914756427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623</v>
      </c>
      <c r="C173" s="378">
        <f>IF(C172=0,0,C169/C172)</f>
        <v>3843.4164200005312</v>
      </c>
      <c r="D173" s="378">
        <f>IF(LN_IE18=0,0,LN_IE15/LN_IE18)</f>
        <v>9008.8213913901109</v>
      </c>
      <c r="E173" s="378">
        <f t="shared" si="18"/>
        <v>5165.4049713895802</v>
      </c>
      <c r="F173" s="362">
        <f t="shared" si="19"/>
        <v>1.3439618315906727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664</v>
      </c>
      <c r="C174" s="378">
        <f>C61-C173</f>
        <v>4717.8589169567022</v>
      </c>
      <c r="D174" s="378">
        <f>LN_IB18-LN_IE19</f>
        <v>-1677.0484921276202</v>
      </c>
      <c r="E174" s="378">
        <f t="shared" si="18"/>
        <v>-6394.9074090843224</v>
      </c>
      <c r="F174" s="362">
        <f t="shared" si="19"/>
        <v>-1.355468131126188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665</v>
      </c>
      <c r="C175" s="378">
        <f>C32-C173</f>
        <v>3855.6340577277811</v>
      </c>
      <c r="D175" s="378">
        <f>LN_IA16-LN_IE19</f>
        <v>-347.40979591373798</v>
      </c>
      <c r="E175" s="378">
        <f t="shared" si="18"/>
        <v>-4203.0438536415186</v>
      </c>
      <c r="F175" s="362">
        <f t="shared" si="19"/>
        <v>-1.0901044525264088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634</v>
      </c>
      <c r="C176" s="353">
        <f>C175*C172</f>
        <v>48362.249097372827</v>
      </c>
      <c r="D176" s="353">
        <f>LN_IE21*LN_IE18</f>
        <v>-2613.0485607820956</v>
      </c>
      <c r="E176" s="353">
        <f t="shared" si="18"/>
        <v>-50975.297658154923</v>
      </c>
      <c r="F176" s="362">
        <f t="shared" si="19"/>
        <v>-1.0540307493872125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666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625</v>
      </c>
      <c r="C179" s="361">
        <f>C153+C168</f>
        <v>469527</v>
      </c>
      <c r="D179" s="361">
        <f>LN_IE1+LN_IE14</f>
        <v>138619</v>
      </c>
      <c r="E179" s="361">
        <f>D179-C179</f>
        <v>-330908</v>
      </c>
      <c r="F179" s="362">
        <f>IF(C179=0,0,E179/C179)</f>
        <v>-0.70476884183444188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626</v>
      </c>
      <c r="C180" s="361">
        <f>C154+C169</f>
        <v>61752</v>
      </c>
      <c r="D180" s="361">
        <f>LN_IE15+LN_IE2</f>
        <v>85777</v>
      </c>
      <c r="E180" s="361">
        <f>D180-C180</f>
        <v>24025</v>
      </c>
      <c r="F180" s="362">
        <f>IF(C180=0,0,E180/C180)</f>
        <v>0.3890562248995984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627</v>
      </c>
      <c r="C181" s="361">
        <f>C179-C180</f>
        <v>407775</v>
      </c>
      <c r="D181" s="361">
        <f>LN_IE23-LN_IE24</f>
        <v>52842</v>
      </c>
      <c r="E181" s="361">
        <f>D181-C181</f>
        <v>-354933</v>
      </c>
      <c r="F181" s="362">
        <f>IF(C181=0,0,E181/C181)</f>
        <v>-0.87041383115688797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667</v>
      </c>
      <c r="C183" s="361">
        <f>C162+C176</f>
        <v>88886.640146152989</v>
      </c>
      <c r="D183" s="361">
        <f>LN_IE10+LN_IE22</f>
        <v>-12170.633284471185</v>
      </c>
      <c r="E183" s="353">
        <f>D183-C183</f>
        <v>-101057.27343062418</v>
      </c>
      <c r="F183" s="362">
        <f>IF(C183=0,0,E183/C183)</f>
        <v>-1.1369230883793051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668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669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609</v>
      </c>
      <c r="C188" s="361">
        <f>C118+C153</f>
        <v>6142179</v>
      </c>
      <c r="D188" s="361">
        <f>LN_ID1+LN_IE1</f>
        <v>7680403</v>
      </c>
      <c r="E188" s="361">
        <f t="shared" ref="E188:E200" si="20">D188-C188</f>
        <v>1538224</v>
      </c>
      <c r="F188" s="362">
        <f t="shared" ref="F188:F200" si="21">IF(C188=0,0,E188/C188)</f>
        <v>0.25043620513176185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610</v>
      </c>
      <c r="C189" s="361">
        <f>C119+C154</f>
        <v>1569072</v>
      </c>
      <c r="D189" s="361">
        <f>LN_1D2+LN_IE2</f>
        <v>2223654</v>
      </c>
      <c r="E189" s="361">
        <f t="shared" si="20"/>
        <v>654582</v>
      </c>
      <c r="F189" s="362">
        <f t="shared" si="21"/>
        <v>0.41717779681238337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611</v>
      </c>
      <c r="C190" s="366">
        <f>IF(C188=0,0,C189/C188)</f>
        <v>0.25545852701459859</v>
      </c>
      <c r="D190" s="366">
        <f>IF(LN_IF1=0,0,LN_IF2/LN_IF1)</f>
        <v>0.28952308882750033</v>
      </c>
      <c r="E190" s="367">
        <f t="shared" si="20"/>
        <v>3.4064561812901739E-2</v>
      </c>
      <c r="F190" s="362">
        <f t="shared" si="21"/>
        <v>0.13334674011862233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413</v>
      </c>
      <c r="D191" s="369">
        <f>LN_ID4+LN_IE4</f>
        <v>519</v>
      </c>
      <c r="E191" s="369">
        <f t="shared" si="20"/>
        <v>106</v>
      </c>
      <c r="F191" s="362">
        <f t="shared" si="21"/>
        <v>0.2566585956416465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612</v>
      </c>
      <c r="C192" s="372">
        <f>IF((C121+C156)=0,0,(C123+C158)/(C121+C156))</f>
        <v>0.90883864406779669</v>
      </c>
      <c r="D192" s="372">
        <f>IF((LN_ID4+LN_IE4)=0,0,(LN_ID6+LN_IE6)/(LN_ID4+LN_IE4))</f>
        <v>0.9497895953757225</v>
      </c>
      <c r="E192" s="373">
        <f t="shared" si="20"/>
        <v>4.0950951307925809E-2</v>
      </c>
      <c r="F192" s="362">
        <f t="shared" si="21"/>
        <v>4.5058549804436999E-2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613</v>
      </c>
      <c r="C193" s="376">
        <f>C123+C158</f>
        <v>375.35036000000002</v>
      </c>
      <c r="D193" s="376">
        <f>LN_IF4*LN_IF5</f>
        <v>492.94079999999997</v>
      </c>
      <c r="E193" s="376">
        <f t="shared" si="20"/>
        <v>117.59043999999994</v>
      </c>
      <c r="F193" s="362">
        <f t="shared" si="21"/>
        <v>0.31328180956053947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614</v>
      </c>
      <c r="C194" s="378">
        <f>IF(C193=0,0,C189/C193)</f>
        <v>4180.2863862978575</v>
      </c>
      <c r="D194" s="378">
        <f>IF(LN_IF6=0,0,LN_IF2/LN_IF6)</f>
        <v>4510.9960465840932</v>
      </c>
      <c r="E194" s="378">
        <f t="shared" si="20"/>
        <v>330.7096602862357</v>
      </c>
      <c r="F194" s="362">
        <f t="shared" si="21"/>
        <v>7.9111723390587738E-2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670</v>
      </c>
      <c r="C195" s="378">
        <f>C48-C194</f>
        <v>3067.5869275655514</v>
      </c>
      <c r="D195" s="378">
        <f>LN_IB7-LN_IF7</f>
        <v>2055.4234638424668</v>
      </c>
      <c r="E195" s="378">
        <f t="shared" si="20"/>
        <v>-1012.1634637230845</v>
      </c>
      <c r="F195" s="362">
        <f t="shared" si="21"/>
        <v>-0.3299542890301535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671</v>
      </c>
      <c r="C196" s="378">
        <f>C21-C194</f>
        <v>2594.0062753595957</v>
      </c>
      <c r="D196" s="378">
        <f>LN_IA7-LN_IF7</f>
        <v>2130.089898078264</v>
      </c>
      <c r="E196" s="378">
        <f t="shared" si="20"/>
        <v>-463.91637728133173</v>
      </c>
      <c r="F196" s="362">
        <f t="shared" si="21"/>
        <v>-0.17884165573848546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631</v>
      </c>
      <c r="C197" s="391">
        <f>C127+C162</f>
        <v>973661.18929848319</v>
      </c>
      <c r="D197" s="391">
        <f>LN_IF9*LN_IF6</f>
        <v>1050008.2184306178</v>
      </c>
      <c r="E197" s="391">
        <f t="shared" si="20"/>
        <v>76347.02913213463</v>
      </c>
      <c r="F197" s="362">
        <f t="shared" si="21"/>
        <v>7.8412316287498521E-2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1267</v>
      </c>
      <c r="D198" s="369">
        <f>LN_ID11+LN_IE11</f>
        <v>1770</v>
      </c>
      <c r="E198" s="369">
        <f t="shared" si="20"/>
        <v>503</v>
      </c>
      <c r="F198" s="362">
        <f t="shared" si="21"/>
        <v>0.39700078926598265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615</v>
      </c>
      <c r="C199" s="432">
        <f>IF(C198=0,0,C189/C198)</f>
        <v>1238.4151539068666</v>
      </c>
      <c r="D199" s="432">
        <f>IF(LN_IF11=0,0,LN_IF2/LN_IF11)</f>
        <v>1256.3016949152543</v>
      </c>
      <c r="E199" s="432">
        <f t="shared" si="20"/>
        <v>17.886541008387667</v>
      </c>
      <c r="F199" s="362">
        <f t="shared" si="21"/>
        <v>1.44430895826496E-2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616</v>
      </c>
      <c r="C200" s="379">
        <f>IF(C191=0,0,C198/C191)</f>
        <v>3.0677966101694913</v>
      </c>
      <c r="D200" s="379">
        <f>IF(LN_IF4=0,0,LN_IF11/LN_IF4)</f>
        <v>3.4104046242774566</v>
      </c>
      <c r="E200" s="379">
        <f t="shared" si="20"/>
        <v>0.34260801410796526</v>
      </c>
      <c r="F200" s="362">
        <f t="shared" si="21"/>
        <v>0.1116788554274583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672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618</v>
      </c>
      <c r="C203" s="361">
        <f>C133+C168</f>
        <v>11853589</v>
      </c>
      <c r="D203" s="361">
        <f>LN_ID14+LN_IE14</f>
        <v>12370783</v>
      </c>
      <c r="E203" s="361">
        <f t="shared" ref="E203:E211" si="22">D203-C203</f>
        <v>517194</v>
      </c>
      <c r="F203" s="362">
        <f t="shared" ref="F203:F211" si="23">IF(C203=0,0,E203/C203)</f>
        <v>4.3631848548148583E-2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619</v>
      </c>
      <c r="C204" s="361">
        <f>C134+C169</f>
        <v>2498520</v>
      </c>
      <c r="D204" s="361">
        <f>LN_ID15+LN_IE15</f>
        <v>3051683</v>
      </c>
      <c r="E204" s="361">
        <f t="shared" si="22"/>
        <v>553163</v>
      </c>
      <c r="F204" s="362">
        <f t="shared" si="23"/>
        <v>0.22139626658982117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620</v>
      </c>
      <c r="C205" s="366">
        <f>IF(C203=0,0,C204/C203)</f>
        <v>0.2107817303265703</v>
      </c>
      <c r="D205" s="366">
        <f>IF(LN_IF14=0,0,LN_IF15/LN_IF14)</f>
        <v>0.24668470863970374</v>
      </c>
      <c r="E205" s="367">
        <f t="shared" si="22"/>
        <v>3.5902978313133438E-2</v>
      </c>
      <c r="F205" s="362">
        <f t="shared" si="23"/>
        <v>0.17033249635776262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621</v>
      </c>
      <c r="C206" s="366">
        <f>IF(C188=0,0,C203/C188)</f>
        <v>1.9298670716043931</v>
      </c>
      <c r="D206" s="366">
        <f>IF(LN_IF1=0,0,LN_IF14/LN_IF1)</f>
        <v>1.6106945169413636</v>
      </c>
      <c r="E206" s="367">
        <f t="shared" si="22"/>
        <v>-0.31917255466302952</v>
      </c>
      <c r="F206" s="362">
        <f t="shared" si="23"/>
        <v>-0.16538577156906756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622</v>
      </c>
      <c r="C207" s="376">
        <f>C137+C172</f>
        <v>797.64622718673445</v>
      </c>
      <c r="D207" s="376">
        <f>LN_ID18+LN_IE18</f>
        <v>836.02044832262061</v>
      </c>
      <c r="E207" s="376">
        <f t="shared" si="22"/>
        <v>38.37422113588616</v>
      </c>
      <c r="F207" s="362">
        <f t="shared" si="23"/>
        <v>4.8109324444786085E-2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623</v>
      </c>
      <c r="C208" s="378">
        <f>IF(C207=0,0,C204/C207)</f>
        <v>3132.3660977024583</v>
      </c>
      <c r="D208" s="378">
        <f>IF(LN_IF18=0,0,LN_IF15/LN_IF18)</f>
        <v>3650.2492326866559</v>
      </c>
      <c r="E208" s="378">
        <f t="shared" si="22"/>
        <v>517.88313498419757</v>
      </c>
      <c r="F208" s="362">
        <f t="shared" si="23"/>
        <v>0.16533288856754541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673</v>
      </c>
      <c r="C209" s="378">
        <f>C61-C208</f>
        <v>5428.9092392547745</v>
      </c>
      <c r="D209" s="378">
        <f>LN_IB18-LN_IF19</f>
        <v>3681.5236665758348</v>
      </c>
      <c r="E209" s="378">
        <f t="shared" si="22"/>
        <v>-1747.3855726789398</v>
      </c>
      <c r="F209" s="362">
        <f t="shared" si="23"/>
        <v>-0.32186678680205805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674</v>
      </c>
      <c r="C210" s="378">
        <f>C32-C208</f>
        <v>4566.6843800258539</v>
      </c>
      <c r="D210" s="378">
        <f>LN_IA16-LN_IF19</f>
        <v>5011.162362789717</v>
      </c>
      <c r="E210" s="378">
        <f t="shared" si="22"/>
        <v>444.47798276386311</v>
      </c>
      <c r="F210" s="362">
        <f t="shared" si="23"/>
        <v>9.7330567601290358E-2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634</v>
      </c>
      <c r="C211" s="391">
        <f>C141+C176</f>
        <v>3642598.5664802138</v>
      </c>
      <c r="D211" s="353">
        <f>LN_IF21*LN_IF18</f>
        <v>4189434.2051569019</v>
      </c>
      <c r="E211" s="353">
        <f t="shared" si="22"/>
        <v>546835.63867668808</v>
      </c>
      <c r="F211" s="362">
        <f t="shared" si="23"/>
        <v>0.15012239990120207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675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625</v>
      </c>
      <c r="C214" s="361">
        <f>C188+C203</f>
        <v>17995768</v>
      </c>
      <c r="D214" s="361">
        <f>LN_IF1+LN_IF14</f>
        <v>20051186</v>
      </c>
      <c r="E214" s="361">
        <f>D214-C214</f>
        <v>2055418</v>
      </c>
      <c r="F214" s="362">
        <f>IF(C214=0,0,E214/C214)</f>
        <v>0.11421674251412887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626</v>
      </c>
      <c r="C215" s="361">
        <f>C189+C204</f>
        <v>4067592</v>
      </c>
      <c r="D215" s="361">
        <f>LN_IF2+LN_IF15</f>
        <v>5275337</v>
      </c>
      <c r="E215" s="361">
        <f>D215-C215</f>
        <v>1207745</v>
      </c>
      <c r="F215" s="362">
        <f>IF(C215=0,0,E215/C215)</f>
        <v>0.29691891418805033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627</v>
      </c>
      <c r="C216" s="361">
        <f>C214-C215</f>
        <v>13928176</v>
      </c>
      <c r="D216" s="361">
        <f>LN_IF23-LN_IF24</f>
        <v>14775849</v>
      </c>
      <c r="E216" s="361">
        <f>D216-C216</f>
        <v>847673</v>
      </c>
      <c r="F216" s="362">
        <f>IF(C216=0,0,E216/C216)</f>
        <v>6.0860302167347682E-2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676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677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609</v>
      </c>
      <c r="C221" s="361">
        <v>152291</v>
      </c>
      <c r="D221" s="361">
        <v>105839</v>
      </c>
      <c r="E221" s="361">
        <f t="shared" ref="E221:E230" si="24">D221-C221</f>
        <v>-46452</v>
      </c>
      <c r="F221" s="362">
        <f t="shared" ref="F221:F230" si="25">IF(C221=0,0,E221/C221)</f>
        <v>-0.30502130789081427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610</v>
      </c>
      <c r="C222" s="361">
        <v>37915</v>
      </c>
      <c r="D222" s="361">
        <v>46183</v>
      </c>
      <c r="E222" s="361">
        <f t="shared" si="24"/>
        <v>8268</v>
      </c>
      <c r="F222" s="362">
        <f t="shared" si="25"/>
        <v>0.21806672820783332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611</v>
      </c>
      <c r="C223" s="366">
        <f>IF(C221=0,0,C222/C221)</f>
        <v>0.24896415415224799</v>
      </c>
      <c r="D223" s="366">
        <f>IF(LN_IG1=0,0,LN_IG2/LN_IG1)</f>
        <v>0.4363514394504861</v>
      </c>
      <c r="E223" s="367">
        <f t="shared" si="24"/>
        <v>0.18738728529823812</v>
      </c>
      <c r="F223" s="362">
        <f t="shared" si="25"/>
        <v>0.75266773217338734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12</v>
      </c>
      <c r="D224" s="369">
        <v>8</v>
      </c>
      <c r="E224" s="369">
        <f t="shared" si="24"/>
        <v>-4</v>
      </c>
      <c r="F224" s="362">
        <f t="shared" si="25"/>
        <v>-0.33333333333333331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612</v>
      </c>
      <c r="C225" s="372">
        <v>0.71243999999999996</v>
      </c>
      <c r="D225" s="372">
        <v>0.89710000000000001</v>
      </c>
      <c r="E225" s="373">
        <f t="shared" si="24"/>
        <v>0.18466000000000005</v>
      </c>
      <c r="F225" s="362">
        <f t="shared" si="25"/>
        <v>0.25919375666722821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613</v>
      </c>
      <c r="C226" s="376">
        <f>C224*C225</f>
        <v>8.5492799999999995</v>
      </c>
      <c r="D226" s="376">
        <f>LN_IG3*LN_IG4</f>
        <v>7.1768000000000001</v>
      </c>
      <c r="E226" s="376">
        <f t="shared" si="24"/>
        <v>-1.3724799999999995</v>
      </c>
      <c r="F226" s="362">
        <f t="shared" si="25"/>
        <v>-0.16053749555518121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614</v>
      </c>
      <c r="C227" s="378">
        <f>IF(C226=0,0,C222/C226)</f>
        <v>4434.8763872513246</v>
      </c>
      <c r="D227" s="378">
        <f>IF(LN_IG5=0,0,LN_IG2/LN_IG5)</f>
        <v>6435.0406866570056</v>
      </c>
      <c r="E227" s="378">
        <f t="shared" si="24"/>
        <v>2000.164299405681</v>
      </c>
      <c r="F227" s="362">
        <f t="shared" si="25"/>
        <v>0.45100790298359483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30</v>
      </c>
      <c r="D228" s="369">
        <v>27</v>
      </c>
      <c r="E228" s="369">
        <f t="shared" si="24"/>
        <v>-3</v>
      </c>
      <c r="F228" s="362">
        <f t="shared" si="25"/>
        <v>-0.1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615</v>
      </c>
      <c r="C229" s="378">
        <f>IF(C228=0,0,C222/C228)</f>
        <v>1263.8333333333333</v>
      </c>
      <c r="D229" s="378">
        <f>IF(LN_IG6=0,0,LN_IG2/LN_IG6)</f>
        <v>1710.4814814814815</v>
      </c>
      <c r="E229" s="378">
        <f t="shared" si="24"/>
        <v>446.64814814814827</v>
      </c>
      <c r="F229" s="362">
        <f t="shared" si="25"/>
        <v>0.35340747578648157</v>
      </c>
      <c r="Q229" s="330"/>
      <c r="U229" s="375"/>
    </row>
    <row r="230" spans="1:21" ht="11.25" customHeight="1" x14ac:dyDescent="0.2">
      <c r="A230" s="364">
        <v>10</v>
      </c>
      <c r="B230" s="360" t="s">
        <v>616</v>
      </c>
      <c r="C230" s="379">
        <f>IF(C224=0,0,C228/C224)</f>
        <v>2.5</v>
      </c>
      <c r="D230" s="379">
        <f>IF(LN_IG3=0,0,LN_IG6/LN_IG3)</f>
        <v>3.375</v>
      </c>
      <c r="E230" s="379">
        <f t="shared" si="24"/>
        <v>0.875</v>
      </c>
      <c r="F230" s="362">
        <f t="shared" si="25"/>
        <v>0.35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678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618</v>
      </c>
      <c r="C233" s="361">
        <v>213143</v>
      </c>
      <c r="D233" s="361">
        <v>218812</v>
      </c>
      <c r="E233" s="361">
        <f>D233-C233</f>
        <v>5669</v>
      </c>
      <c r="F233" s="362">
        <f>IF(C233=0,0,E233/C233)</f>
        <v>2.6597167160075631E-2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619</v>
      </c>
      <c r="C234" s="361">
        <v>57711</v>
      </c>
      <c r="D234" s="361">
        <v>84314</v>
      </c>
      <c r="E234" s="361">
        <f>D234-C234</f>
        <v>26603</v>
      </c>
      <c r="F234" s="362">
        <f>IF(C234=0,0,E234/C234)</f>
        <v>0.46096931260938123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679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625</v>
      </c>
      <c r="C237" s="361">
        <f>C221+C233</f>
        <v>365434</v>
      </c>
      <c r="D237" s="361">
        <f>LN_IG1+LN_IG9</f>
        <v>324651</v>
      </c>
      <c r="E237" s="361">
        <f>D237-C237</f>
        <v>-40783</v>
      </c>
      <c r="F237" s="362">
        <f>IF(C237=0,0,E237/C237)</f>
        <v>-0.11160154774870427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626</v>
      </c>
      <c r="C238" s="361">
        <f>C222+C234</f>
        <v>95626</v>
      </c>
      <c r="D238" s="361">
        <f>LN_IG2+LN_IG10</f>
        <v>130497</v>
      </c>
      <c r="E238" s="361">
        <f>D238-C238</f>
        <v>34871</v>
      </c>
      <c r="F238" s="362">
        <f>IF(C238=0,0,E238/C238)</f>
        <v>0.36466023884717547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627</v>
      </c>
      <c r="C239" s="361">
        <f>C237-C238</f>
        <v>269808</v>
      </c>
      <c r="D239" s="361">
        <f>LN_IG13-LN_IG14</f>
        <v>194154</v>
      </c>
      <c r="E239" s="361">
        <f>D239-C239</f>
        <v>-75654</v>
      </c>
      <c r="F239" s="362">
        <f>IF(C239=0,0,E239/C239)</f>
        <v>-0.2803993951254225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680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681</v>
      </c>
      <c r="C243" s="361">
        <v>779865</v>
      </c>
      <c r="D243" s="361">
        <v>653094</v>
      </c>
      <c r="E243" s="353">
        <f>D243-C243</f>
        <v>-126771</v>
      </c>
      <c r="F243" s="415">
        <f>IF(C243=0,0,E243/C243)</f>
        <v>-0.16255505760612413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682</v>
      </c>
      <c r="C244" s="361">
        <v>86047738</v>
      </c>
      <c r="D244" s="361">
        <v>85587522</v>
      </c>
      <c r="E244" s="353">
        <f>D244-C244</f>
        <v>-460216</v>
      </c>
      <c r="F244" s="415">
        <f>IF(C244=0,0,E244/C244)</f>
        <v>-5.3483799887918031E-3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683</v>
      </c>
      <c r="C245" s="400">
        <v>386028</v>
      </c>
      <c r="D245" s="400">
        <v>0</v>
      </c>
      <c r="E245" s="400">
        <f>D245-C245</f>
        <v>-386028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684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685</v>
      </c>
      <c r="C248" s="353">
        <v>299029</v>
      </c>
      <c r="D248" s="353">
        <v>187766</v>
      </c>
      <c r="E248" s="353">
        <f>D248-C248</f>
        <v>-111263</v>
      </c>
      <c r="F248" s="362">
        <f>IF(C248=0,0,E248/C248)</f>
        <v>-0.3720809687354738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686</v>
      </c>
      <c r="C249" s="353">
        <v>6738669</v>
      </c>
      <c r="D249" s="353">
        <v>7611773</v>
      </c>
      <c r="E249" s="353">
        <f>D249-C249</f>
        <v>873104</v>
      </c>
      <c r="F249" s="362">
        <f>IF(C249=0,0,E249/C249)</f>
        <v>0.12956623926772484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687</v>
      </c>
      <c r="C250" s="353">
        <f>C248+C249</f>
        <v>7037698</v>
      </c>
      <c r="D250" s="353">
        <f>LN_IH4+LN_IH5</f>
        <v>7799539</v>
      </c>
      <c r="E250" s="353">
        <f>D250-C250</f>
        <v>761841</v>
      </c>
      <c r="F250" s="362">
        <f>IF(C250=0,0,E250/C250)</f>
        <v>0.10825144812977198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688</v>
      </c>
      <c r="C251" s="353">
        <f>C250*C313</f>
        <v>2427925.5322237946</v>
      </c>
      <c r="D251" s="353">
        <f>LN_IH6*LN_III10</f>
        <v>2970123.4896200956</v>
      </c>
      <c r="E251" s="353">
        <f>D251-C251</f>
        <v>542197.95739630098</v>
      </c>
      <c r="F251" s="362">
        <f>IF(C251=0,0,E251/C251)</f>
        <v>0.22331737534787116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689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625</v>
      </c>
      <c r="C254" s="353">
        <f>C188+C203</f>
        <v>17995768</v>
      </c>
      <c r="D254" s="353">
        <f>LN_IF23</f>
        <v>20051186</v>
      </c>
      <c r="E254" s="353">
        <f>D254-C254</f>
        <v>2055418</v>
      </c>
      <c r="F254" s="362">
        <f>IF(C254=0,0,E254/C254)</f>
        <v>0.11421674251412887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626</v>
      </c>
      <c r="C255" s="353">
        <f>C189+C204</f>
        <v>4067592</v>
      </c>
      <c r="D255" s="353">
        <f>LN_IF24</f>
        <v>5275337</v>
      </c>
      <c r="E255" s="353">
        <f>D255-C255</f>
        <v>1207745</v>
      </c>
      <c r="F255" s="362">
        <f>IF(C255=0,0,E255/C255)</f>
        <v>0.29691891418805033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690</v>
      </c>
      <c r="C256" s="353">
        <f>C254*C313</f>
        <v>6208334.6854576496</v>
      </c>
      <c r="D256" s="353">
        <f>LN_IH8*LN_III10</f>
        <v>7635643.4057630338</v>
      </c>
      <c r="E256" s="353">
        <f>D256-C256</f>
        <v>1427308.7203053841</v>
      </c>
      <c r="F256" s="362">
        <f>IF(C256=0,0,E256/C256)</f>
        <v>0.22990202568310306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691</v>
      </c>
      <c r="C257" s="353">
        <f>C256-C255</f>
        <v>2140742.6854576496</v>
      </c>
      <c r="D257" s="353">
        <f>LN_IH10-LN_IH9</f>
        <v>2360306.4057630338</v>
      </c>
      <c r="E257" s="353">
        <f>D257-C257</f>
        <v>219563.72030538414</v>
      </c>
      <c r="F257" s="362">
        <f>IF(C257=0,0,E257/C257)</f>
        <v>0.10256427444405615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692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693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694</v>
      </c>
      <c r="C261" s="361">
        <f>C15+C42+C188+C221</f>
        <v>115664811</v>
      </c>
      <c r="D261" s="361">
        <f>LN_IA1+LN_IB1+LN_IF1+LN_IG1</f>
        <v>95337039</v>
      </c>
      <c r="E261" s="361">
        <f t="shared" ref="E261:E274" si="26">D261-C261</f>
        <v>-20327772</v>
      </c>
      <c r="F261" s="415">
        <f t="shared" ref="F261:F274" si="27">IF(C261=0,0,E261/C261)</f>
        <v>-0.17574724606604855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695</v>
      </c>
      <c r="C262" s="361">
        <f>C16+C43+C189+C222</f>
        <v>40180832</v>
      </c>
      <c r="D262" s="361">
        <f>+LN_IA2+LN_IB2+LN_IF2+LN_IG2</f>
        <v>36540630</v>
      </c>
      <c r="E262" s="361">
        <f t="shared" si="26"/>
        <v>-3640202</v>
      </c>
      <c r="F262" s="415">
        <f t="shared" si="27"/>
        <v>-9.0595485927220221E-2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696</v>
      </c>
      <c r="C263" s="366">
        <f>IF(C261=0,0,C262/C261)</f>
        <v>0.34739028795888494</v>
      </c>
      <c r="D263" s="366">
        <f>IF(LN_IIA1=0,0,LN_IIA2/LN_IIA1)</f>
        <v>0.38327842340477974</v>
      </c>
      <c r="E263" s="367">
        <f t="shared" si="26"/>
        <v>3.5888135445894809E-2</v>
      </c>
      <c r="F263" s="371">
        <f t="shared" si="27"/>
        <v>0.10330782606721094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697</v>
      </c>
      <c r="C264" s="369">
        <f>C18+C45+C191+C224</f>
        <v>4540</v>
      </c>
      <c r="D264" s="369">
        <f>LN_IA4+LN_IB4+LN_IF4+LN_IG3</f>
        <v>4374</v>
      </c>
      <c r="E264" s="369">
        <f t="shared" si="26"/>
        <v>-166</v>
      </c>
      <c r="F264" s="415">
        <f t="shared" si="27"/>
        <v>-3.656387665198238E-2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698</v>
      </c>
      <c r="C265" s="439">
        <f>IF(C264=0,0,C266/C264)</f>
        <v>1.3080150132158592</v>
      </c>
      <c r="D265" s="439">
        <f>IF(LN_IIA4=0,0,LN_IIA6/LN_IIA4)</f>
        <v>1.2994525880201189</v>
      </c>
      <c r="E265" s="439">
        <f t="shared" si="26"/>
        <v>-8.562425195740353E-3</v>
      </c>
      <c r="F265" s="415">
        <f t="shared" si="27"/>
        <v>-6.5461214964872214E-3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699</v>
      </c>
      <c r="C266" s="376">
        <f>C20+C47+C193+C226</f>
        <v>5938.3881600000004</v>
      </c>
      <c r="D266" s="376">
        <f>LN_IA6+LN_IB6+LN_IF6+LN_IG5</f>
        <v>5683.8056200000001</v>
      </c>
      <c r="E266" s="376">
        <f t="shared" si="26"/>
        <v>-254.58254000000034</v>
      </c>
      <c r="F266" s="415">
        <f t="shared" si="27"/>
        <v>-4.2870646569523052E-2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700</v>
      </c>
      <c r="C267" s="361">
        <f>C27+C56+C203+C233</f>
        <v>88631335</v>
      </c>
      <c r="D267" s="361">
        <f>LN_IA11+LN_IB13+LN_IF14+LN_IG9</f>
        <v>88772941</v>
      </c>
      <c r="E267" s="361">
        <f t="shared" si="26"/>
        <v>141606</v>
      </c>
      <c r="F267" s="415">
        <f t="shared" si="27"/>
        <v>1.5976967965110759E-3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621</v>
      </c>
      <c r="C268" s="366">
        <f>IF(C261=0,0,C267/C261)</f>
        <v>0.76627743765560641</v>
      </c>
      <c r="D268" s="366">
        <f>IF(LN_IIA1=0,0,LN_IIA7/LN_IIA1)</f>
        <v>0.93114850147590589</v>
      </c>
      <c r="E268" s="367">
        <f t="shared" si="26"/>
        <v>0.16487106382029948</v>
      </c>
      <c r="F268" s="371">
        <f t="shared" si="27"/>
        <v>0.21515844747395352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701</v>
      </c>
      <c r="C269" s="361">
        <f>C28+C57+C204+C234</f>
        <v>29880936</v>
      </c>
      <c r="D269" s="361">
        <f>LN_IA12+LN_IB14+LN_IF15+LN_IG10</f>
        <v>32804598</v>
      </c>
      <c r="E269" s="361">
        <f t="shared" si="26"/>
        <v>2923662</v>
      </c>
      <c r="F269" s="415">
        <f t="shared" si="27"/>
        <v>9.7843722164526567E-2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620</v>
      </c>
      <c r="C270" s="366">
        <f>IF(C267=0,0,C269/C267)</f>
        <v>0.33713737923500758</v>
      </c>
      <c r="D270" s="366">
        <f>IF(LN_IIA7=0,0,LN_IIA9/LN_IIA7)</f>
        <v>0.36953375240772973</v>
      </c>
      <c r="E270" s="367">
        <f t="shared" si="26"/>
        <v>3.2396373172722148E-2</v>
      </c>
      <c r="F270" s="371">
        <f t="shared" si="27"/>
        <v>9.6092498690688588E-2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702</v>
      </c>
      <c r="C271" s="353">
        <f>C261+C267</f>
        <v>204296146</v>
      </c>
      <c r="D271" s="353">
        <f>LN_IIA1+LN_IIA7</f>
        <v>184109980</v>
      </c>
      <c r="E271" s="353">
        <f t="shared" si="26"/>
        <v>-20186166</v>
      </c>
      <c r="F271" s="415">
        <f t="shared" si="27"/>
        <v>-9.8808354417023611E-2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703</v>
      </c>
      <c r="C272" s="353">
        <f>C262+C269</f>
        <v>70061768</v>
      </c>
      <c r="D272" s="353">
        <f>LN_IIA2+LN_IIA9</f>
        <v>69345228</v>
      </c>
      <c r="E272" s="353">
        <f t="shared" si="26"/>
        <v>-716540</v>
      </c>
      <c r="F272" s="415">
        <f t="shared" si="27"/>
        <v>-1.0227261179021346E-2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704</v>
      </c>
      <c r="C273" s="366">
        <f>IF(C271=0,0,C272/C271)</f>
        <v>0.34294219138132936</v>
      </c>
      <c r="D273" s="366">
        <f>IF(LN_IIA11=0,0,LN_IIA12/LN_IIA11)</f>
        <v>0.37665110821260206</v>
      </c>
      <c r="E273" s="367">
        <f t="shared" si="26"/>
        <v>3.3708916831272695E-2</v>
      </c>
      <c r="F273" s="371">
        <f t="shared" si="27"/>
        <v>9.8293291634655056E-2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17708</v>
      </c>
      <c r="D274" s="421">
        <f>LN_IA8+LN_IB10+LN_IF11+LN_IG6</f>
        <v>17312</v>
      </c>
      <c r="E274" s="442">
        <f t="shared" si="26"/>
        <v>-396</v>
      </c>
      <c r="F274" s="371">
        <f t="shared" si="27"/>
        <v>-2.2362773887508472E-2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705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706</v>
      </c>
      <c r="C277" s="361">
        <f>C15+C188+C221</f>
        <v>79021319</v>
      </c>
      <c r="D277" s="361">
        <f>LN_IA1+LN_IF1+LN_IG1</f>
        <v>64959716</v>
      </c>
      <c r="E277" s="361">
        <f t="shared" ref="E277:E291" si="28">D277-C277</f>
        <v>-14061603</v>
      </c>
      <c r="F277" s="415">
        <f t="shared" ref="F277:F291" si="29">IF(C277=0,0,E277/C277)</f>
        <v>-0.17794695378344672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707</v>
      </c>
      <c r="C278" s="361">
        <f>C16+C189+C222</f>
        <v>25701111</v>
      </c>
      <c r="D278" s="361">
        <f>LN_IA2+LN_IF2+LN_IG2</f>
        <v>22951208</v>
      </c>
      <c r="E278" s="361">
        <f t="shared" si="28"/>
        <v>-2749903</v>
      </c>
      <c r="F278" s="415">
        <f t="shared" si="29"/>
        <v>-0.10699549136222165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708</v>
      </c>
      <c r="C279" s="366">
        <f>IF(C277=0,0,C278/C277)</f>
        <v>0.32524274873214909</v>
      </c>
      <c r="D279" s="366">
        <f>IF(D277=0,0,LN_IIB2/D277)</f>
        <v>0.35331447569752306</v>
      </c>
      <c r="E279" s="367">
        <f t="shared" si="28"/>
        <v>2.8071726965373967E-2</v>
      </c>
      <c r="F279" s="371">
        <f t="shared" si="29"/>
        <v>8.6310077856623327E-2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709</v>
      </c>
      <c r="C280" s="369">
        <f>C18+C191+C224</f>
        <v>2787</v>
      </c>
      <c r="D280" s="369">
        <f>LN_IA4+LN_IF4+LN_IG3</f>
        <v>2577</v>
      </c>
      <c r="E280" s="369">
        <f t="shared" si="28"/>
        <v>-210</v>
      </c>
      <c r="F280" s="415">
        <f t="shared" si="29"/>
        <v>-7.5349838536060282E-2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710</v>
      </c>
      <c r="C281" s="439">
        <f>IF(C280=0,0,C282/C280)</f>
        <v>1.4139215069967708</v>
      </c>
      <c r="D281" s="439">
        <f>IF(LN_IIB4=0,0,LN_IIB6/LN_IIB4)</f>
        <v>1.4025116802483506</v>
      </c>
      <c r="E281" s="439">
        <f t="shared" si="28"/>
        <v>-1.1409826748420171E-2</v>
      </c>
      <c r="F281" s="415">
        <f t="shared" si="29"/>
        <v>-8.0696323607490246E-3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711</v>
      </c>
      <c r="C282" s="376">
        <f>C20+C193+C226</f>
        <v>3940.59924</v>
      </c>
      <c r="D282" s="376">
        <f>LN_IA6+LN_IF6+LN_IG5</f>
        <v>3614.2725999999998</v>
      </c>
      <c r="E282" s="376">
        <f t="shared" si="28"/>
        <v>-326.32664000000022</v>
      </c>
      <c r="F282" s="415">
        <f t="shared" si="29"/>
        <v>-8.2811425401381394E-2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712</v>
      </c>
      <c r="C283" s="361">
        <f>C27+C203+C233</f>
        <v>37352401</v>
      </c>
      <c r="D283" s="361">
        <f>LN_IA11+LN_IF14+LN_IG9</f>
        <v>39981578</v>
      </c>
      <c r="E283" s="361">
        <f t="shared" si="28"/>
        <v>2629177</v>
      </c>
      <c r="F283" s="415">
        <f t="shared" si="29"/>
        <v>7.0388433664545419E-2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713</v>
      </c>
      <c r="C284" s="366">
        <f>IF(C277=0,0,C283/C277)</f>
        <v>0.47268764268538721</v>
      </c>
      <c r="D284" s="366">
        <f>IF(D277=0,0,LN_IIB7/D277)</f>
        <v>0.61548264773817674</v>
      </c>
      <c r="E284" s="367">
        <f t="shared" si="28"/>
        <v>0.14279500505278953</v>
      </c>
      <c r="F284" s="371">
        <f t="shared" si="29"/>
        <v>0.30209168202823411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714</v>
      </c>
      <c r="C285" s="361">
        <f>C28+C204+C234</f>
        <v>8878846</v>
      </c>
      <c r="D285" s="361">
        <f>LN_IA12+LN_IF15+LN_IG10</f>
        <v>11642899</v>
      </c>
      <c r="E285" s="361">
        <f t="shared" si="28"/>
        <v>2764053</v>
      </c>
      <c r="F285" s="415">
        <f t="shared" si="29"/>
        <v>0.31130768570600276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715</v>
      </c>
      <c r="C286" s="366">
        <f>IF(C283=0,0,C285/C283)</f>
        <v>0.23770482652507399</v>
      </c>
      <c r="D286" s="366">
        <f>IF(LN_IIB7=0,0,LN_IIB9/LN_IIB7)</f>
        <v>0.29120659019511436</v>
      </c>
      <c r="E286" s="367">
        <f t="shared" si="28"/>
        <v>5.3501763670040364E-2</v>
      </c>
      <c r="F286" s="371">
        <f t="shared" si="29"/>
        <v>0.22507647174087481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716</v>
      </c>
      <c r="C287" s="353">
        <f>C277+C283</f>
        <v>116373720</v>
      </c>
      <c r="D287" s="353">
        <f>D277+LN_IIB7</f>
        <v>104941294</v>
      </c>
      <c r="E287" s="353">
        <f t="shared" si="28"/>
        <v>-11432426</v>
      </c>
      <c r="F287" s="415">
        <f t="shared" si="29"/>
        <v>-9.8238897923001861E-2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717</v>
      </c>
      <c r="C288" s="353">
        <f>C278+C285</f>
        <v>34579957</v>
      </c>
      <c r="D288" s="353">
        <f>LN_IIB2+LN_IIB9</f>
        <v>34594107</v>
      </c>
      <c r="E288" s="353">
        <f t="shared" si="28"/>
        <v>14150</v>
      </c>
      <c r="F288" s="415">
        <f t="shared" si="29"/>
        <v>4.0919657592402442E-4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718</v>
      </c>
      <c r="C289" s="366">
        <f>IF(C287=0,0,C288/C287)</f>
        <v>0.29714575593183751</v>
      </c>
      <c r="D289" s="366">
        <f>IF(LN_IIB11=0,0,LN_IIB12/LN_IIB11)</f>
        <v>0.32965199571486131</v>
      </c>
      <c r="E289" s="367">
        <f t="shared" si="28"/>
        <v>3.2506239783023805E-2</v>
      </c>
      <c r="F289" s="371">
        <f t="shared" si="29"/>
        <v>0.10939493206317386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12119</v>
      </c>
      <c r="D290" s="421">
        <f>LN_IA8+LN_IF11+LN_IG6</f>
        <v>11374</v>
      </c>
      <c r="E290" s="442">
        <f t="shared" si="28"/>
        <v>-745</v>
      </c>
      <c r="F290" s="371">
        <f t="shared" si="29"/>
        <v>-6.1473718953709053E-2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719</v>
      </c>
      <c r="C291" s="361">
        <f>C287-C288</f>
        <v>81793763</v>
      </c>
      <c r="D291" s="429">
        <f>LN_IIB11-LN_IIB12</f>
        <v>70347187</v>
      </c>
      <c r="E291" s="353">
        <f t="shared" si="28"/>
        <v>-11446576</v>
      </c>
      <c r="F291" s="415">
        <f t="shared" si="29"/>
        <v>-0.13994436226145995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616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607</v>
      </c>
      <c r="C294" s="379">
        <f>IF(C18=0,0,C22/C18)</f>
        <v>4.5817104149026253</v>
      </c>
      <c r="D294" s="379">
        <f>IF(LN_IA4=0,0,LN_IA8/LN_IA4)</f>
        <v>4.6717073170731709</v>
      </c>
      <c r="E294" s="379">
        <f t="shared" ref="E294:E300" si="30">D294-C294</f>
        <v>8.9996902170545567E-2</v>
      </c>
      <c r="F294" s="415">
        <f t="shared" ref="F294:F300" si="31">IF(C294=0,0,E294/C294)</f>
        <v>1.9642643035190224E-2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628</v>
      </c>
      <c r="C295" s="379">
        <f>IF(C45=0,0,C51/C45)</f>
        <v>3.188248716486024</v>
      </c>
      <c r="D295" s="379">
        <f>IF(LN_IB4=0,0,(LN_IB10)/(LN_IB4))</f>
        <v>3.3043962159154145</v>
      </c>
      <c r="E295" s="379">
        <f t="shared" si="30"/>
        <v>0.11614749942939051</v>
      </c>
      <c r="F295" s="415">
        <f t="shared" si="31"/>
        <v>3.6429874127701121E-2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643</v>
      </c>
      <c r="C296" s="379">
        <f>IF(C86=0,0,C93/C86)</f>
        <v>3.518987341772152</v>
      </c>
      <c r="D296" s="379">
        <f>IF(LN_IC4=0,0,LN_IC11/LN_IC4)</f>
        <v>3.9871794871794872</v>
      </c>
      <c r="E296" s="379">
        <f t="shared" si="30"/>
        <v>0.46819214540733523</v>
      </c>
      <c r="F296" s="415">
        <f t="shared" si="31"/>
        <v>0.13304740822726432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3.0714285714285716</v>
      </c>
      <c r="D297" s="379">
        <f>IF(LN_ID4=0,0,LN_ID11/LN_ID4)</f>
        <v>3.4081237911025144</v>
      </c>
      <c r="E297" s="379">
        <f t="shared" si="30"/>
        <v>0.33669521967394278</v>
      </c>
      <c r="F297" s="415">
        <f t="shared" si="31"/>
        <v>0.10962169942872554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720</v>
      </c>
      <c r="C298" s="379">
        <f>IF(C156=0,0,C163/C156)</f>
        <v>2.8571428571428572</v>
      </c>
      <c r="D298" s="379">
        <f>IF(LN_IE4=0,0,LN_IE11/LN_IE4)</f>
        <v>4</v>
      </c>
      <c r="E298" s="379">
        <f t="shared" si="30"/>
        <v>1.1428571428571428</v>
      </c>
      <c r="F298" s="415">
        <f t="shared" si="31"/>
        <v>0.39999999999999997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2.5</v>
      </c>
      <c r="D299" s="379">
        <f>IF(LN_IG3=0,0,LN_IG6/LN_IG3)</f>
        <v>3.375</v>
      </c>
      <c r="E299" s="379">
        <f t="shared" si="30"/>
        <v>0.875</v>
      </c>
      <c r="F299" s="415">
        <f t="shared" si="31"/>
        <v>0.35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721</v>
      </c>
      <c r="C300" s="379">
        <f>IF(C264=0,0,C274/C264)</f>
        <v>3.9004405286343613</v>
      </c>
      <c r="D300" s="379">
        <f>IF(LN_IIA4=0,0,LN_IIA14/LN_IIA4)</f>
        <v>3.9579332418838593</v>
      </c>
      <c r="E300" s="379">
        <f t="shared" si="30"/>
        <v>5.7492713249498006E-2</v>
      </c>
      <c r="F300" s="415">
        <f t="shared" si="31"/>
        <v>1.4740056367332333E-2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722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716</v>
      </c>
      <c r="C304" s="353">
        <f>C35+C66+C214+C221+C233</f>
        <v>204296146</v>
      </c>
      <c r="D304" s="353">
        <f>LN_IIA11</f>
        <v>184109980</v>
      </c>
      <c r="E304" s="353">
        <f t="shared" ref="E304:E316" si="32">D304-C304</f>
        <v>-20186166</v>
      </c>
      <c r="F304" s="362">
        <f>IF(C304=0,0,E304/C304)</f>
        <v>-9.8808354417023611E-2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719</v>
      </c>
      <c r="C305" s="353">
        <f>C291</f>
        <v>81793763</v>
      </c>
      <c r="D305" s="353">
        <f>LN_IIB14</f>
        <v>70347187</v>
      </c>
      <c r="E305" s="353">
        <f t="shared" si="32"/>
        <v>-11446576</v>
      </c>
      <c r="F305" s="362">
        <f>IF(C305=0,0,E305/C305)</f>
        <v>-0.13994436226145995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723</v>
      </c>
      <c r="C306" s="353">
        <f>C250</f>
        <v>7037698</v>
      </c>
      <c r="D306" s="353">
        <f>LN_IH6</f>
        <v>7799539</v>
      </c>
      <c r="E306" s="353">
        <f t="shared" si="32"/>
        <v>761841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724</v>
      </c>
      <c r="C307" s="353">
        <f>C73-C74</f>
        <v>43941413</v>
      </c>
      <c r="D307" s="353">
        <f>LN_IB32-LN_IB33</f>
        <v>34534290</v>
      </c>
      <c r="E307" s="353">
        <f t="shared" si="32"/>
        <v>-9407123</v>
      </c>
      <c r="F307" s="362">
        <f t="shared" ref="F307:F316" si="33">IF(C307=0,0,E307/C307)</f>
        <v>-0.21408330678851861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725</v>
      </c>
      <c r="C308" s="353">
        <v>1429460</v>
      </c>
      <c r="D308" s="353">
        <v>1318490</v>
      </c>
      <c r="E308" s="353">
        <f t="shared" si="32"/>
        <v>-110970</v>
      </c>
      <c r="F308" s="362">
        <f t="shared" si="33"/>
        <v>-7.7630713696081044E-2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726</v>
      </c>
      <c r="C309" s="353">
        <f>C305+C307+C308+C306</f>
        <v>134202334</v>
      </c>
      <c r="D309" s="353">
        <f>LN_III2+LN_III3+LN_III4+LN_III5</f>
        <v>113999506</v>
      </c>
      <c r="E309" s="353">
        <f t="shared" si="32"/>
        <v>-20202828</v>
      </c>
      <c r="F309" s="362">
        <f t="shared" si="33"/>
        <v>-0.15054006437771791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727</v>
      </c>
      <c r="C310" s="353">
        <f>C304-C309</f>
        <v>70093812</v>
      </c>
      <c r="D310" s="353">
        <f>LN_III1-LN_III6</f>
        <v>70110474</v>
      </c>
      <c r="E310" s="353">
        <f t="shared" si="32"/>
        <v>16662</v>
      </c>
      <c r="F310" s="362">
        <f t="shared" si="33"/>
        <v>2.3770999927925164E-4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728</v>
      </c>
      <c r="C311" s="353">
        <f>C245</f>
        <v>386028</v>
      </c>
      <c r="D311" s="353">
        <f>LN_IH3</f>
        <v>0</v>
      </c>
      <c r="E311" s="353">
        <f t="shared" si="32"/>
        <v>-386028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729</v>
      </c>
      <c r="C312" s="353">
        <f>C310+C311</f>
        <v>70479840</v>
      </c>
      <c r="D312" s="353">
        <f>LN_III7+LN_III8</f>
        <v>70110474</v>
      </c>
      <c r="E312" s="353">
        <f t="shared" si="32"/>
        <v>-369366</v>
      </c>
      <c r="F312" s="362">
        <f t="shared" si="33"/>
        <v>-5.2407326690866495E-3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730</v>
      </c>
      <c r="C313" s="448">
        <f>IF(C304=0,0,C312/C304)</f>
        <v>0.34498859317688746</v>
      </c>
      <c r="D313" s="448">
        <f>IF(LN_III1=0,0,LN_III9/LN_III1)</f>
        <v>0.3808075694755928</v>
      </c>
      <c r="E313" s="448">
        <f t="shared" si="32"/>
        <v>3.5818976298705341E-2</v>
      </c>
      <c r="F313" s="362">
        <f t="shared" si="33"/>
        <v>0.10382655255021642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688</v>
      </c>
      <c r="C314" s="353">
        <f>C306*C313</f>
        <v>2427925.5322237946</v>
      </c>
      <c r="D314" s="353">
        <f>D313*LN_III5</f>
        <v>2970123.4896200956</v>
      </c>
      <c r="E314" s="353">
        <f t="shared" si="32"/>
        <v>542197.95739630098</v>
      </c>
      <c r="F314" s="362">
        <f t="shared" si="33"/>
        <v>0.22331737534787116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691</v>
      </c>
      <c r="C315" s="353">
        <f>(C214*C313)-C215</f>
        <v>2140742.6854576496</v>
      </c>
      <c r="D315" s="353">
        <f>D313*LN_IH8-LN_IH9</f>
        <v>2360306.4057630338</v>
      </c>
      <c r="E315" s="353">
        <f t="shared" si="32"/>
        <v>219563.72030538414</v>
      </c>
      <c r="F315" s="362">
        <f t="shared" si="33"/>
        <v>0.10256427444405615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731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732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733</v>
      </c>
      <c r="C318" s="353">
        <f>C314+C315+C316</f>
        <v>4568668.2176814443</v>
      </c>
      <c r="D318" s="353">
        <f>D314+D315+D316</f>
        <v>5330429.8953831289</v>
      </c>
      <c r="E318" s="353">
        <f>D318-C318</f>
        <v>761761.67770168465</v>
      </c>
      <c r="F318" s="362">
        <f>IF(C318=0,0,E318/C318)</f>
        <v>0.16673604678789117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734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3594236.3173828409</v>
      </c>
      <c r="D322" s="353">
        <f>LN_ID22</f>
        <v>4192047.2537176842</v>
      </c>
      <c r="E322" s="353">
        <f>LN_IV2-C322</f>
        <v>597810.93633484328</v>
      </c>
      <c r="F322" s="362">
        <f>IF(C322=0,0,E322/C322)</f>
        <v>0.16632488338166421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720</v>
      </c>
      <c r="C323" s="353">
        <f>C162+C176</f>
        <v>88886.640146152989</v>
      </c>
      <c r="D323" s="353">
        <f>LN_IE10+LN_IE22</f>
        <v>-12170.633284471185</v>
      </c>
      <c r="E323" s="353">
        <f>LN_IV3-C323</f>
        <v>-101057.27343062418</v>
      </c>
      <c r="F323" s="362">
        <f>IF(C323=0,0,E323/C323)</f>
        <v>-1.1369230883793051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735</v>
      </c>
      <c r="C324" s="353">
        <f>C92+C106</f>
        <v>1578435.8571888448</v>
      </c>
      <c r="D324" s="353">
        <f>LN_IC10+LN_IC22</f>
        <v>1789846.448770937</v>
      </c>
      <c r="E324" s="353">
        <f>LN_IV1-C324</f>
        <v>211410.59158209222</v>
      </c>
      <c r="F324" s="362">
        <f>IF(C324=0,0,E324/C324)</f>
        <v>0.13393676443628774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736</v>
      </c>
      <c r="C325" s="429">
        <f>C324+C322+C323</f>
        <v>5261558.8147178385</v>
      </c>
      <c r="D325" s="429">
        <f>LN_IV1+LN_IV2+LN_IV3</f>
        <v>5969723.0692041507</v>
      </c>
      <c r="E325" s="353">
        <f>LN_IV4-C325</f>
        <v>708164.25448631216</v>
      </c>
      <c r="F325" s="362">
        <f>IF(C325=0,0,E325/C325)</f>
        <v>0.1345921008248368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737</v>
      </c>
      <c r="B327" s="446" t="s">
        <v>738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739</v>
      </c>
      <c r="C329" s="431">
        <v>2327861</v>
      </c>
      <c r="D329" s="431">
        <v>2287171</v>
      </c>
      <c r="E329" s="431">
        <f t="shared" ref="E329:E335" si="34">D329-C329</f>
        <v>-40690</v>
      </c>
      <c r="F329" s="462">
        <f t="shared" ref="F329:F335" si="35">IF(C329=0,0,E329/C329)</f>
        <v>-1.7479566005014904E-2</v>
      </c>
    </row>
    <row r="330" spans="1:22" s="333" customFormat="1" ht="11.25" customHeight="1" x14ac:dyDescent="0.2">
      <c r="A330" s="364">
        <v>2</v>
      </c>
      <c r="B330" s="360" t="s">
        <v>740</v>
      </c>
      <c r="C330" s="429">
        <v>8168129</v>
      </c>
      <c r="D330" s="429">
        <v>10515305</v>
      </c>
      <c r="E330" s="431">
        <f t="shared" si="34"/>
        <v>2347176</v>
      </c>
      <c r="F330" s="463">
        <f t="shared" si="35"/>
        <v>0.28735785147369736</v>
      </c>
    </row>
    <row r="331" spans="1:22" s="333" customFormat="1" ht="11.25" customHeight="1" x14ac:dyDescent="0.2">
      <c r="A331" s="339">
        <v>3</v>
      </c>
      <c r="B331" s="360" t="s">
        <v>741</v>
      </c>
      <c r="C331" s="429">
        <v>78615925</v>
      </c>
      <c r="D331" s="429">
        <v>79860535</v>
      </c>
      <c r="E331" s="431">
        <f t="shared" si="34"/>
        <v>1244610</v>
      </c>
      <c r="F331" s="462">
        <f t="shared" si="35"/>
        <v>1.583152522850809E-2</v>
      </c>
    </row>
    <row r="332" spans="1:22" s="333" customFormat="1" ht="11.25" customHeight="1" x14ac:dyDescent="0.2">
      <c r="A332" s="364">
        <v>4</v>
      </c>
      <c r="B332" s="360" t="s">
        <v>742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743</v>
      </c>
      <c r="C333" s="429">
        <v>204296146</v>
      </c>
      <c r="D333" s="429">
        <v>184109979</v>
      </c>
      <c r="E333" s="431">
        <f t="shared" si="34"/>
        <v>-20186167</v>
      </c>
      <c r="F333" s="462">
        <f t="shared" si="35"/>
        <v>-9.8808359311878549E-2</v>
      </c>
    </row>
    <row r="334" spans="1:22" s="333" customFormat="1" ht="11.25" customHeight="1" x14ac:dyDescent="0.2">
      <c r="A334" s="339">
        <v>6</v>
      </c>
      <c r="B334" s="360" t="s">
        <v>744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745</v>
      </c>
      <c r="C335" s="429">
        <v>7037698</v>
      </c>
      <c r="D335" s="429">
        <v>7799539</v>
      </c>
      <c r="E335" s="429">
        <f t="shared" si="34"/>
        <v>761841</v>
      </c>
      <c r="F335" s="462">
        <f t="shared" si="35"/>
        <v>0.10825144812977198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598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746</v>
      </c>
      <c r="B5" s="710"/>
      <c r="C5" s="710"/>
      <c r="D5" s="710"/>
      <c r="E5" s="710"/>
    </row>
    <row r="6" spans="1:5" s="338" customFormat="1" ht="15.75" customHeight="1" x14ac:dyDescent="0.25">
      <c r="A6" s="710" t="s">
        <v>747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748</v>
      </c>
      <c r="D9" s="494" t="s">
        <v>749</v>
      </c>
      <c r="E9" s="495" t="s">
        <v>750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751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752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628</v>
      </c>
      <c r="C14" s="513">
        <v>36643492</v>
      </c>
      <c r="D14" s="513">
        <v>30377323</v>
      </c>
      <c r="E14" s="514">
        <f t="shared" ref="E14:E22" si="0">D14-C14</f>
        <v>-6266169</v>
      </c>
    </row>
    <row r="15" spans="1:5" s="506" customFormat="1" x14ac:dyDescent="0.2">
      <c r="A15" s="512">
        <v>2</v>
      </c>
      <c r="B15" s="511" t="s">
        <v>607</v>
      </c>
      <c r="C15" s="513">
        <v>72726849</v>
      </c>
      <c r="D15" s="515">
        <v>57173474</v>
      </c>
      <c r="E15" s="514">
        <f t="shared" si="0"/>
        <v>-15553375</v>
      </c>
    </row>
    <row r="16" spans="1:5" s="506" customFormat="1" x14ac:dyDescent="0.2">
      <c r="A16" s="512">
        <v>3</v>
      </c>
      <c r="B16" s="511" t="s">
        <v>753</v>
      </c>
      <c r="C16" s="513">
        <v>6142179</v>
      </c>
      <c r="D16" s="515">
        <v>7680403</v>
      </c>
      <c r="E16" s="514">
        <f t="shared" si="0"/>
        <v>1538224</v>
      </c>
    </row>
    <row r="17" spans="1:5" s="506" customFormat="1" x14ac:dyDescent="0.2">
      <c r="A17" s="512">
        <v>4</v>
      </c>
      <c r="B17" s="511" t="s">
        <v>114</v>
      </c>
      <c r="C17" s="513">
        <v>5974004</v>
      </c>
      <c r="D17" s="515">
        <v>7651286</v>
      </c>
      <c r="E17" s="514">
        <f t="shared" si="0"/>
        <v>1677282</v>
      </c>
    </row>
    <row r="18" spans="1:5" s="506" customFormat="1" x14ac:dyDescent="0.2">
      <c r="A18" s="512">
        <v>5</v>
      </c>
      <c r="B18" s="511" t="s">
        <v>720</v>
      </c>
      <c r="C18" s="513">
        <v>168175</v>
      </c>
      <c r="D18" s="515">
        <v>29117</v>
      </c>
      <c r="E18" s="514">
        <f t="shared" si="0"/>
        <v>-139058</v>
      </c>
    </row>
    <row r="19" spans="1:5" s="506" customFormat="1" x14ac:dyDescent="0.2">
      <c r="A19" s="512">
        <v>6</v>
      </c>
      <c r="B19" s="511" t="s">
        <v>418</v>
      </c>
      <c r="C19" s="513">
        <v>152291</v>
      </c>
      <c r="D19" s="515">
        <v>105839</v>
      </c>
      <c r="E19" s="514">
        <f t="shared" si="0"/>
        <v>-46452</v>
      </c>
    </row>
    <row r="20" spans="1:5" s="506" customFormat="1" x14ac:dyDescent="0.2">
      <c r="A20" s="512">
        <v>7</v>
      </c>
      <c r="B20" s="511" t="s">
        <v>735</v>
      </c>
      <c r="C20" s="513">
        <v>1744121</v>
      </c>
      <c r="D20" s="515">
        <v>1800823</v>
      </c>
      <c r="E20" s="514">
        <f t="shared" si="0"/>
        <v>56702</v>
      </c>
    </row>
    <row r="21" spans="1:5" s="506" customFormat="1" x14ac:dyDescent="0.2">
      <c r="A21" s="512"/>
      <c r="B21" s="516" t="s">
        <v>754</v>
      </c>
      <c r="C21" s="517">
        <f>SUM(C15+C16+C19)</f>
        <v>79021319</v>
      </c>
      <c r="D21" s="517">
        <f>SUM(D15+D16+D19)</f>
        <v>64959716</v>
      </c>
      <c r="E21" s="517">
        <f t="shared" si="0"/>
        <v>-14061603</v>
      </c>
    </row>
    <row r="22" spans="1:5" s="506" customFormat="1" x14ac:dyDescent="0.2">
      <c r="A22" s="512"/>
      <c r="B22" s="516" t="s">
        <v>694</v>
      </c>
      <c r="C22" s="517">
        <f>SUM(C14+C21)</f>
        <v>115664811</v>
      </c>
      <c r="D22" s="517">
        <f>SUM(D14+D21)</f>
        <v>95337039</v>
      </c>
      <c r="E22" s="517">
        <f t="shared" si="0"/>
        <v>-20327772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755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628</v>
      </c>
      <c r="C25" s="513">
        <v>51278934</v>
      </c>
      <c r="D25" s="513">
        <v>48791363</v>
      </c>
      <c r="E25" s="514">
        <f t="shared" ref="E25:E33" si="1">D25-C25</f>
        <v>-2487571</v>
      </c>
    </row>
    <row r="26" spans="1:5" s="506" customFormat="1" x14ac:dyDescent="0.2">
      <c r="A26" s="512">
        <v>2</v>
      </c>
      <c r="B26" s="511" t="s">
        <v>607</v>
      </c>
      <c r="C26" s="513">
        <v>25285669</v>
      </c>
      <c r="D26" s="515">
        <v>27391983</v>
      </c>
      <c r="E26" s="514">
        <f t="shared" si="1"/>
        <v>2106314</v>
      </c>
    </row>
    <row r="27" spans="1:5" s="506" customFormat="1" x14ac:dyDescent="0.2">
      <c r="A27" s="512">
        <v>3</v>
      </c>
      <c r="B27" s="511" t="s">
        <v>753</v>
      </c>
      <c r="C27" s="513">
        <v>11853589</v>
      </c>
      <c r="D27" s="515">
        <v>12370783</v>
      </c>
      <c r="E27" s="514">
        <f t="shared" si="1"/>
        <v>517194</v>
      </c>
    </row>
    <row r="28" spans="1:5" s="506" customFormat="1" x14ac:dyDescent="0.2">
      <c r="A28" s="512">
        <v>4</v>
      </c>
      <c r="B28" s="511" t="s">
        <v>114</v>
      </c>
      <c r="C28" s="513">
        <v>11552237</v>
      </c>
      <c r="D28" s="515">
        <v>12261281</v>
      </c>
      <c r="E28" s="514">
        <f t="shared" si="1"/>
        <v>709044</v>
      </c>
    </row>
    <row r="29" spans="1:5" s="506" customFormat="1" x14ac:dyDescent="0.2">
      <c r="A29" s="512">
        <v>5</v>
      </c>
      <c r="B29" s="511" t="s">
        <v>720</v>
      </c>
      <c r="C29" s="513">
        <v>301352</v>
      </c>
      <c r="D29" s="515">
        <v>109502</v>
      </c>
      <c r="E29" s="514">
        <f t="shared" si="1"/>
        <v>-191850</v>
      </c>
    </row>
    <row r="30" spans="1:5" s="506" customFormat="1" x14ac:dyDescent="0.2">
      <c r="A30" s="512">
        <v>6</v>
      </c>
      <c r="B30" s="511" t="s">
        <v>418</v>
      </c>
      <c r="C30" s="513">
        <v>213143</v>
      </c>
      <c r="D30" s="515">
        <v>218812</v>
      </c>
      <c r="E30" s="514">
        <f t="shared" si="1"/>
        <v>5669</v>
      </c>
    </row>
    <row r="31" spans="1:5" s="506" customFormat="1" x14ac:dyDescent="0.2">
      <c r="A31" s="512">
        <v>7</v>
      </c>
      <c r="B31" s="511" t="s">
        <v>735</v>
      </c>
      <c r="C31" s="514">
        <v>3962849</v>
      </c>
      <c r="D31" s="518">
        <v>3757990</v>
      </c>
      <c r="E31" s="514">
        <f t="shared" si="1"/>
        <v>-204859</v>
      </c>
    </row>
    <row r="32" spans="1:5" s="506" customFormat="1" x14ac:dyDescent="0.2">
      <c r="A32" s="512"/>
      <c r="B32" s="516" t="s">
        <v>756</v>
      </c>
      <c r="C32" s="517">
        <f>SUM(C26+C27+C30)</f>
        <v>37352401</v>
      </c>
      <c r="D32" s="517">
        <f>SUM(D26+D27+D30)</f>
        <v>39981578</v>
      </c>
      <c r="E32" s="517">
        <f t="shared" si="1"/>
        <v>2629177</v>
      </c>
    </row>
    <row r="33" spans="1:5" s="506" customFormat="1" x14ac:dyDescent="0.2">
      <c r="A33" s="512"/>
      <c r="B33" s="516" t="s">
        <v>700</v>
      </c>
      <c r="C33" s="517">
        <f>SUM(C25+C32)</f>
        <v>88631335</v>
      </c>
      <c r="D33" s="517">
        <f>SUM(D25+D32)</f>
        <v>88772941</v>
      </c>
      <c r="E33" s="517">
        <f t="shared" si="1"/>
        <v>141606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625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757</v>
      </c>
      <c r="C36" s="514">
        <f t="shared" ref="C36:D42" si="2">C14+C25</f>
        <v>87922426</v>
      </c>
      <c r="D36" s="514">
        <f t="shared" si="2"/>
        <v>79168686</v>
      </c>
      <c r="E36" s="514">
        <f t="shared" ref="E36:E44" si="3">D36-C36</f>
        <v>-8753740</v>
      </c>
    </row>
    <row r="37" spans="1:5" s="506" customFormat="1" x14ac:dyDescent="0.2">
      <c r="A37" s="512">
        <v>2</v>
      </c>
      <c r="B37" s="511" t="s">
        <v>758</v>
      </c>
      <c r="C37" s="514">
        <f t="shared" si="2"/>
        <v>98012518</v>
      </c>
      <c r="D37" s="514">
        <f t="shared" si="2"/>
        <v>84565457</v>
      </c>
      <c r="E37" s="514">
        <f t="shared" si="3"/>
        <v>-13447061</v>
      </c>
    </row>
    <row r="38" spans="1:5" s="506" customFormat="1" x14ac:dyDescent="0.2">
      <c r="A38" s="512">
        <v>3</v>
      </c>
      <c r="B38" s="511" t="s">
        <v>759</v>
      </c>
      <c r="C38" s="514">
        <f t="shared" si="2"/>
        <v>17995768</v>
      </c>
      <c r="D38" s="514">
        <f t="shared" si="2"/>
        <v>20051186</v>
      </c>
      <c r="E38" s="514">
        <f t="shared" si="3"/>
        <v>2055418</v>
      </c>
    </row>
    <row r="39" spans="1:5" s="506" customFormat="1" x14ac:dyDescent="0.2">
      <c r="A39" s="512">
        <v>4</v>
      </c>
      <c r="B39" s="511" t="s">
        <v>760</v>
      </c>
      <c r="C39" s="514">
        <f t="shared" si="2"/>
        <v>17526241</v>
      </c>
      <c r="D39" s="514">
        <f t="shared" si="2"/>
        <v>19912567</v>
      </c>
      <c r="E39" s="514">
        <f t="shared" si="3"/>
        <v>2386326</v>
      </c>
    </row>
    <row r="40" spans="1:5" s="506" customFormat="1" x14ac:dyDescent="0.2">
      <c r="A40" s="512">
        <v>5</v>
      </c>
      <c r="B40" s="511" t="s">
        <v>761</v>
      </c>
      <c r="C40" s="514">
        <f t="shared" si="2"/>
        <v>469527</v>
      </c>
      <c r="D40" s="514">
        <f t="shared" si="2"/>
        <v>138619</v>
      </c>
      <c r="E40" s="514">
        <f t="shared" si="3"/>
        <v>-330908</v>
      </c>
    </row>
    <row r="41" spans="1:5" s="506" customFormat="1" x14ac:dyDescent="0.2">
      <c r="A41" s="512">
        <v>6</v>
      </c>
      <c r="B41" s="511" t="s">
        <v>762</v>
      </c>
      <c r="C41" s="514">
        <f t="shared" si="2"/>
        <v>365434</v>
      </c>
      <c r="D41" s="514">
        <f t="shared" si="2"/>
        <v>324651</v>
      </c>
      <c r="E41" s="514">
        <f t="shared" si="3"/>
        <v>-40783</v>
      </c>
    </row>
    <row r="42" spans="1:5" s="506" customFormat="1" x14ac:dyDescent="0.2">
      <c r="A42" s="512">
        <v>7</v>
      </c>
      <c r="B42" s="511" t="s">
        <v>763</v>
      </c>
      <c r="C42" s="514">
        <f t="shared" si="2"/>
        <v>5706970</v>
      </c>
      <c r="D42" s="514">
        <f t="shared" si="2"/>
        <v>5558813</v>
      </c>
      <c r="E42" s="514">
        <f t="shared" si="3"/>
        <v>-148157</v>
      </c>
    </row>
    <row r="43" spans="1:5" s="506" customFormat="1" x14ac:dyDescent="0.2">
      <c r="A43" s="512"/>
      <c r="B43" s="516" t="s">
        <v>764</v>
      </c>
      <c r="C43" s="517">
        <f>SUM(C37+C38+C41)</f>
        <v>116373720</v>
      </c>
      <c r="D43" s="517">
        <f>SUM(D37+D38+D41)</f>
        <v>104941294</v>
      </c>
      <c r="E43" s="517">
        <f t="shared" si="3"/>
        <v>-11432426</v>
      </c>
    </row>
    <row r="44" spans="1:5" s="506" customFormat="1" x14ac:dyDescent="0.2">
      <c r="A44" s="512"/>
      <c r="B44" s="516" t="s">
        <v>702</v>
      </c>
      <c r="C44" s="517">
        <f>SUM(C36+C43)</f>
        <v>204296146</v>
      </c>
      <c r="D44" s="517">
        <f>SUM(D36+D43)</f>
        <v>184109980</v>
      </c>
      <c r="E44" s="517">
        <f t="shared" si="3"/>
        <v>-20186166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765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628</v>
      </c>
      <c r="C47" s="513">
        <v>14479721</v>
      </c>
      <c r="D47" s="513">
        <v>13589422</v>
      </c>
      <c r="E47" s="514">
        <f t="shared" ref="E47:E55" si="4">D47-C47</f>
        <v>-890299</v>
      </c>
    </row>
    <row r="48" spans="1:5" s="506" customFormat="1" x14ac:dyDescent="0.2">
      <c r="A48" s="512">
        <v>2</v>
      </c>
      <c r="B48" s="511" t="s">
        <v>607</v>
      </c>
      <c r="C48" s="513">
        <v>24094124</v>
      </c>
      <c r="D48" s="515">
        <v>20681371</v>
      </c>
      <c r="E48" s="514">
        <f t="shared" si="4"/>
        <v>-3412753</v>
      </c>
    </row>
    <row r="49" spans="1:5" s="506" customFormat="1" x14ac:dyDescent="0.2">
      <c r="A49" s="512">
        <v>3</v>
      </c>
      <c r="B49" s="511" t="s">
        <v>753</v>
      </c>
      <c r="C49" s="513">
        <v>1569072</v>
      </c>
      <c r="D49" s="515">
        <v>2223654</v>
      </c>
      <c r="E49" s="514">
        <f t="shared" si="4"/>
        <v>654582</v>
      </c>
    </row>
    <row r="50" spans="1:5" s="506" customFormat="1" x14ac:dyDescent="0.2">
      <c r="A50" s="512">
        <v>4</v>
      </c>
      <c r="B50" s="511" t="s">
        <v>114</v>
      </c>
      <c r="C50" s="513">
        <v>1555529</v>
      </c>
      <c r="D50" s="515">
        <v>2205637</v>
      </c>
      <c r="E50" s="514">
        <f t="shared" si="4"/>
        <v>650108</v>
      </c>
    </row>
    <row r="51" spans="1:5" s="506" customFormat="1" x14ac:dyDescent="0.2">
      <c r="A51" s="512">
        <v>5</v>
      </c>
      <c r="B51" s="511" t="s">
        <v>720</v>
      </c>
      <c r="C51" s="513">
        <v>13543</v>
      </c>
      <c r="D51" s="515">
        <v>18017</v>
      </c>
      <c r="E51" s="514">
        <f t="shared" si="4"/>
        <v>4474</v>
      </c>
    </row>
    <row r="52" spans="1:5" s="506" customFormat="1" x14ac:dyDescent="0.2">
      <c r="A52" s="512">
        <v>6</v>
      </c>
      <c r="B52" s="511" t="s">
        <v>418</v>
      </c>
      <c r="C52" s="513">
        <v>37915</v>
      </c>
      <c r="D52" s="515">
        <v>46183</v>
      </c>
      <c r="E52" s="514">
        <f t="shared" si="4"/>
        <v>8268</v>
      </c>
    </row>
    <row r="53" spans="1:5" s="506" customFormat="1" x14ac:dyDescent="0.2">
      <c r="A53" s="512">
        <v>7</v>
      </c>
      <c r="B53" s="511" t="s">
        <v>735</v>
      </c>
      <c r="C53" s="513">
        <v>25685</v>
      </c>
      <c r="D53" s="515">
        <v>34130</v>
      </c>
      <c r="E53" s="514">
        <f t="shared" si="4"/>
        <v>8445</v>
      </c>
    </row>
    <row r="54" spans="1:5" s="506" customFormat="1" x14ac:dyDescent="0.2">
      <c r="A54" s="512"/>
      <c r="B54" s="516" t="s">
        <v>766</v>
      </c>
      <c r="C54" s="517">
        <f>SUM(C48+C49+C52)</f>
        <v>25701111</v>
      </c>
      <c r="D54" s="517">
        <f>SUM(D48+D49+D52)</f>
        <v>22951208</v>
      </c>
      <c r="E54" s="517">
        <f t="shared" si="4"/>
        <v>-2749903</v>
      </c>
    </row>
    <row r="55" spans="1:5" s="506" customFormat="1" x14ac:dyDescent="0.2">
      <c r="A55" s="512"/>
      <c r="B55" s="516" t="s">
        <v>695</v>
      </c>
      <c r="C55" s="517">
        <f>SUM(C47+C54)</f>
        <v>40180832</v>
      </c>
      <c r="D55" s="517">
        <f>SUM(D47+D54)</f>
        <v>36540630</v>
      </c>
      <c r="E55" s="517">
        <f t="shared" si="4"/>
        <v>-3640202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767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628</v>
      </c>
      <c r="C58" s="513">
        <v>21002090</v>
      </c>
      <c r="D58" s="513">
        <v>21161699</v>
      </c>
      <c r="E58" s="514">
        <f t="shared" ref="E58:E66" si="5">D58-C58</f>
        <v>159609</v>
      </c>
    </row>
    <row r="59" spans="1:5" s="506" customFormat="1" x14ac:dyDescent="0.2">
      <c r="A59" s="512">
        <v>2</v>
      </c>
      <c r="B59" s="511" t="s">
        <v>607</v>
      </c>
      <c r="C59" s="513">
        <v>6322615</v>
      </c>
      <c r="D59" s="515">
        <v>8506902</v>
      </c>
      <c r="E59" s="514">
        <f t="shared" si="5"/>
        <v>2184287</v>
      </c>
    </row>
    <row r="60" spans="1:5" s="506" customFormat="1" x14ac:dyDescent="0.2">
      <c r="A60" s="512">
        <v>3</v>
      </c>
      <c r="B60" s="511" t="s">
        <v>753</v>
      </c>
      <c r="C60" s="513">
        <f>C61+C62</f>
        <v>2498520</v>
      </c>
      <c r="D60" s="515">
        <f>D61+D62</f>
        <v>3051683</v>
      </c>
      <c r="E60" s="514">
        <f t="shared" si="5"/>
        <v>553163</v>
      </c>
    </row>
    <row r="61" spans="1:5" s="506" customFormat="1" x14ac:dyDescent="0.2">
      <c r="A61" s="512">
        <v>4</v>
      </c>
      <c r="B61" s="511" t="s">
        <v>114</v>
      </c>
      <c r="C61" s="513">
        <v>2450311</v>
      </c>
      <c r="D61" s="515">
        <v>2983923</v>
      </c>
      <c r="E61" s="514">
        <f t="shared" si="5"/>
        <v>533612</v>
      </c>
    </row>
    <row r="62" spans="1:5" s="506" customFormat="1" x14ac:dyDescent="0.2">
      <c r="A62" s="512">
        <v>5</v>
      </c>
      <c r="B62" s="511" t="s">
        <v>720</v>
      </c>
      <c r="C62" s="513">
        <v>48209</v>
      </c>
      <c r="D62" s="515">
        <v>67760</v>
      </c>
      <c r="E62" s="514">
        <f t="shared" si="5"/>
        <v>19551</v>
      </c>
    </row>
    <row r="63" spans="1:5" s="506" customFormat="1" x14ac:dyDescent="0.2">
      <c r="A63" s="512">
        <v>6</v>
      </c>
      <c r="B63" s="511" t="s">
        <v>418</v>
      </c>
      <c r="C63" s="513">
        <v>57711</v>
      </c>
      <c r="D63" s="515">
        <v>84314</v>
      </c>
      <c r="E63" s="514">
        <f t="shared" si="5"/>
        <v>26603</v>
      </c>
    </row>
    <row r="64" spans="1:5" s="506" customFormat="1" x14ac:dyDescent="0.2">
      <c r="A64" s="512">
        <v>7</v>
      </c>
      <c r="B64" s="511" t="s">
        <v>735</v>
      </c>
      <c r="C64" s="513">
        <v>317583</v>
      </c>
      <c r="D64" s="515">
        <v>246883</v>
      </c>
      <c r="E64" s="514">
        <f t="shared" si="5"/>
        <v>-70700</v>
      </c>
    </row>
    <row r="65" spans="1:5" s="506" customFormat="1" x14ac:dyDescent="0.2">
      <c r="A65" s="512"/>
      <c r="B65" s="516" t="s">
        <v>768</v>
      </c>
      <c r="C65" s="517">
        <f>SUM(C59+C60+C63)</f>
        <v>8878846</v>
      </c>
      <c r="D65" s="517">
        <f>SUM(D59+D60+D63)</f>
        <v>11642899</v>
      </c>
      <c r="E65" s="517">
        <f t="shared" si="5"/>
        <v>2764053</v>
      </c>
    </row>
    <row r="66" spans="1:5" s="506" customFormat="1" x14ac:dyDescent="0.2">
      <c r="A66" s="512"/>
      <c r="B66" s="516" t="s">
        <v>701</v>
      </c>
      <c r="C66" s="517">
        <f>SUM(C58+C65)</f>
        <v>29880936</v>
      </c>
      <c r="D66" s="517">
        <f>SUM(D58+D65)</f>
        <v>32804598</v>
      </c>
      <c r="E66" s="517">
        <f t="shared" si="5"/>
        <v>2923662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626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757</v>
      </c>
      <c r="C69" s="514">
        <f t="shared" ref="C69:D75" si="6">C47+C58</f>
        <v>35481811</v>
      </c>
      <c r="D69" s="514">
        <f t="shared" si="6"/>
        <v>34751121</v>
      </c>
      <c r="E69" s="514">
        <f t="shared" ref="E69:E77" si="7">D69-C69</f>
        <v>-730690</v>
      </c>
    </row>
    <row r="70" spans="1:5" s="506" customFormat="1" x14ac:dyDescent="0.2">
      <c r="A70" s="512">
        <v>2</v>
      </c>
      <c r="B70" s="511" t="s">
        <v>758</v>
      </c>
      <c r="C70" s="514">
        <f t="shared" si="6"/>
        <v>30416739</v>
      </c>
      <c r="D70" s="514">
        <f t="shared" si="6"/>
        <v>29188273</v>
      </c>
      <c r="E70" s="514">
        <f t="shared" si="7"/>
        <v>-1228466</v>
      </c>
    </row>
    <row r="71" spans="1:5" s="506" customFormat="1" x14ac:dyDescent="0.2">
      <c r="A71" s="512">
        <v>3</v>
      </c>
      <c r="B71" s="511" t="s">
        <v>759</v>
      </c>
      <c r="C71" s="514">
        <f t="shared" si="6"/>
        <v>4067592</v>
      </c>
      <c r="D71" s="514">
        <f t="shared" si="6"/>
        <v>5275337</v>
      </c>
      <c r="E71" s="514">
        <f t="shared" si="7"/>
        <v>1207745</v>
      </c>
    </row>
    <row r="72" spans="1:5" s="506" customFormat="1" x14ac:dyDescent="0.2">
      <c r="A72" s="512">
        <v>4</v>
      </c>
      <c r="B72" s="511" t="s">
        <v>760</v>
      </c>
      <c r="C72" s="514">
        <f t="shared" si="6"/>
        <v>4005840</v>
      </c>
      <c r="D72" s="514">
        <f t="shared" si="6"/>
        <v>5189560</v>
      </c>
      <c r="E72" s="514">
        <f t="shared" si="7"/>
        <v>1183720</v>
      </c>
    </row>
    <row r="73" spans="1:5" s="506" customFormat="1" x14ac:dyDescent="0.2">
      <c r="A73" s="512">
        <v>5</v>
      </c>
      <c r="B73" s="511" t="s">
        <v>761</v>
      </c>
      <c r="C73" s="514">
        <f t="shared" si="6"/>
        <v>61752</v>
      </c>
      <c r="D73" s="514">
        <f t="shared" si="6"/>
        <v>85777</v>
      </c>
      <c r="E73" s="514">
        <f t="shared" si="7"/>
        <v>24025</v>
      </c>
    </row>
    <row r="74" spans="1:5" s="506" customFormat="1" x14ac:dyDescent="0.2">
      <c r="A74" s="512">
        <v>6</v>
      </c>
      <c r="B74" s="511" t="s">
        <v>762</v>
      </c>
      <c r="C74" s="514">
        <f t="shared" si="6"/>
        <v>95626</v>
      </c>
      <c r="D74" s="514">
        <f t="shared" si="6"/>
        <v>130497</v>
      </c>
      <c r="E74" s="514">
        <f t="shared" si="7"/>
        <v>34871</v>
      </c>
    </row>
    <row r="75" spans="1:5" s="506" customFormat="1" x14ac:dyDescent="0.2">
      <c r="A75" s="512">
        <v>7</v>
      </c>
      <c r="B75" s="511" t="s">
        <v>763</v>
      </c>
      <c r="C75" s="514">
        <f t="shared" si="6"/>
        <v>343268</v>
      </c>
      <c r="D75" s="514">
        <f t="shared" si="6"/>
        <v>281013</v>
      </c>
      <c r="E75" s="514">
        <f t="shared" si="7"/>
        <v>-62255</v>
      </c>
    </row>
    <row r="76" spans="1:5" s="506" customFormat="1" x14ac:dyDescent="0.2">
      <c r="A76" s="512"/>
      <c r="B76" s="516" t="s">
        <v>769</v>
      </c>
      <c r="C76" s="517">
        <f>SUM(C70+C71+C74)</f>
        <v>34579957</v>
      </c>
      <c r="D76" s="517">
        <f>SUM(D70+D71+D74)</f>
        <v>34594107</v>
      </c>
      <c r="E76" s="517">
        <f t="shared" si="7"/>
        <v>14150</v>
      </c>
    </row>
    <row r="77" spans="1:5" s="506" customFormat="1" x14ac:dyDescent="0.2">
      <c r="A77" s="512"/>
      <c r="B77" s="516" t="s">
        <v>703</v>
      </c>
      <c r="C77" s="517">
        <f>SUM(C69+C76)</f>
        <v>70061768</v>
      </c>
      <c r="D77" s="517">
        <f>SUM(D69+D76)</f>
        <v>69345228</v>
      </c>
      <c r="E77" s="517">
        <f t="shared" si="7"/>
        <v>-716540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770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771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628</v>
      </c>
      <c r="C83" s="523">
        <f t="shared" ref="C83:D89" si="8">IF(C$44=0,0,C14/C$44)</f>
        <v>0.17936457792992336</v>
      </c>
      <c r="D83" s="523">
        <f t="shared" si="8"/>
        <v>0.16499552604372669</v>
      </c>
      <c r="E83" s="523">
        <f t="shared" ref="E83:E91" si="9">D83-C83</f>
        <v>-1.4369051886196665E-2</v>
      </c>
    </row>
    <row r="84" spans="1:5" s="506" customFormat="1" x14ac:dyDescent="0.2">
      <c r="A84" s="512">
        <v>2</v>
      </c>
      <c r="B84" s="511" t="s">
        <v>607</v>
      </c>
      <c r="C84" s="523">
        <f t="shared" si="8"/>
        <v>0.35598737628657956</v>
      </c>
      <c r="D84" s="523">
        <f t="shared" si="8"/>
        <v>0.31053978714244607</v>
      </c>
      <c r="E84" s="523">
        <f t="shared" si="9"/>
        <v>-4.5447589144133493E-2</v>
      </c>
    </row>
    <row r="85" spans="1:5" s="506" customFormat="1" x14ac:dyDescent="0.2">
      <c r="A85" s="512">
        <v>3</v>
      </c>
      <c r="B85" s="511" t="s">
        <v>753</v>
      </c>
      <c r="C85" s="523">
        <f t="shared" si="8"/>
        <v>3.0065075236416845E-2</v>
      </c>
      <c r="D85" s="523">
        <f t="shared" si="8"/>
        <v>4.1716386042733804E-2</v>
      </c>
      <c r="E85" s="523">
        <f t="shared" si="9"/>
        <v>1.1651310806316959E-2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2.9241883006446926E-2</v>
      </c>
      <c r="D86" s="523">
        <f t="shared" si="8"/>
        <v>4.1558236006543479E-2</v>
      </c>
      <c r="E86" s="523">
        <f t="shared" si="9"/>
        <v>1.2316353000096553E-2</v>
      </c>
    </row>
    <row r="87" spans="1:5" s="506" customFormat="1" x14ac:dyDescent="0.2">
      <c r="A87" s="512">
        <v>5</v>
      </c>
      <c r="B87" s="511" t="s">
        <v>720</v>
      </c>
      <c r="C87" s="523">
        <f t="shared" si="8"/>
        <v>8.2319222996991826E-4</v>
      </c>
      <c r="D87" s="523">
        <f t="shared" si="8"/>
        <v>1.5815003619032493E-4</v>
      </c>
      <c r="E87" s="523">
        <f t="shared" si="9"/>
        <v>-6.650421937795933E-4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7.4544235406183337E-4</v>
      </c>
      <c r="D88" s="523">
        <f t="shared" si="8"/>
        <v>5.7486834771260087E-4</v>
      </c>
      <c r="E88" s="523">
        <f t="shared" si="9"/>
        <v>-1.705740063492325E-4</v>
      </c>
    </row>
    <row r="89" spans="1:5" s="506" customFormat="1" x14ac:dyDescent="0.2">
      <c r="A89" s="512">
        <v>7</v>
      </c>
      <c r="B89" s="511" t="s">
        <v>735</v>
      </c>
      <c r="C89" s="523">
        <f t="shared" si="8"/>
        <v>8.5372192973234059E-3</v>
      </c>
      <c r="D89" s="523">
        <f t="shared" si="8"/>
        <v>9.7812351074069975E-3</v>
      </c>
      <c r="E89" s="523">
        <f t="shared" si="9"/>
        <v>1.2440158100835916E-3</v>
      </c>
    </row>
    <row r="90" spans="1:5" s="506" customFormat="1" x14ac:dyDescent="0.2">
      <c r="A90" s="512"/>
      <c r="B90" s="516" t="s">
        <v>772</v>
      </c>
      <c r="C90" s="524">
        <f>SUM(C84+C85+C88)</f>
        <v>0.38679789387705821</v>
      </c>
      <c r="D90" s="524">
        <f>SUM(D84+D85+D88)</f>
        <v>0.35283104153289246</v>
      </c>
      <c r="E90" s="525">
        <f t="shared" si="9"/>
        <v>-3.3966852344165743E-2</v>
      </c>
    </row>
    <row r="91" spans="1:5" s="506" customFormat="1" x14ac:dyDescent="0.2">
      <c r="A91" s="512"/>
      <c r="B91" s="516" t="s">
        <v>773</v>
      </c>
      <c r="C91" s="524">
        <f>SUM(C83+C90)</f>
        <v>0.56616247180698154</v>
      </c>
      <c r="D91" s="524">
        <f>SUM(D83+D90)</f>
        <v>0.51782656757661916</v>
      </c>
      <c r="E91" s="525">
        <f t="shared" si="9"/>
        <v>-4.8335904230362381E-2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774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628</v>
      </c>
      <c r="C95" s="523">
        <f t="shared" ref="C95:D101" si="10">IF(C$44=0,0,C25/C$44)</f>
        <v>0.25100294354059915</v>
      </c>
      <c r="D95" s="523">
        <f t="shared" si="10"/>
        <v>0.26501204877649759</v>
      </c>
      <c r="E95" s="523">
        <f t="shared" ref="E95:E103" si="11">D95-C95</f>
        <v>1.4009105235898434E-2</v>
      </c>
    </row>
    <row r="96" spans="1:5" s="506" customFormat="1" x14ac:dyDescent="0.2">
      <c r="A96" s="512">
        <v>2</v>
      </c>
      <c r="B96" s="511" t="s">
        <v>607</v>
      </c>
      <c r="C96" s="523">
        <f t="shared" si="10"/>
        <v>0.12376968188132144</v>
      </c>
      <c r="D96" s="523">
        <f t="shared" si="10"/>
        <v>0.14878054410738625</v>
      </c>
      <c r="E96" s="523">
        <f t="shared" si="11"/>
        <v>2.5010862226064814E-2</v>
      </c>
    </row>
    <row r="97" spans="1:5" s="506" customFormat="1" x14ac:dyDescent="0.2">
      <c r="A97" s="512">
        <v>3</v>
      </c>
      <c r="B97" s="511" t="s">
        <v>753</v>
      </c>
      <c r="C97" s="523">
        <f t="shared" si="10"/>
        <v>5.8021598704069532E-2</v>
      </c>
      <c r="D97" s="523">
        <f t="shared" si="10"/>
        <v>6.7192354265640575E-2</v>
      </c>
      <c r="E97" s="523">
        <f t="shared" si="11"/>
        <v>9.1707555615710423E-3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5.654652437741043E-2</v>
      </c>
      <c r="D98" s="523">
        <f t="shared" si="10"/>
        <v>6.6597590201248183E-2</v>
      </c>
      <c r="E98" s="523">
        <f t="shared" si="11"/>
        <v>1.0051065823837753E-2</v>
      </c>
    </row>
    <row r="99" spans="1:5" s="506" customFormat="1" x14ac:dyDescent="0.2">
      <c r="A99" s="512">
        <v>5</v>
      </c>
      <c r="B99" s="511" t="s">
        <v>720</v>
      </c>
      <c r="C99" s="523">
        <f t="shared" si="10"/>
        <v>1.4750743266591039E-3</v>
      </c>
      <c r="D99" s="523">
        <f t="shared" si="10"/>
        <v>5.9476406439238109E-4</v>
      </c>
      <c r="E99" s="523">
        <f t="shared" si="11"/>
        <v>-8.803102622667228E-4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1.0433040670282639E-3</v>
      </c>
      <c r="D100" s="523">
        <f t="shared" si="10"/>
        <v>1.1884852738564199E-3</v>
      </c>
      <c r="E100" s="523">
        <f t="shared" si="11"/>
        <v>1.4518120682815603E-4</v>
      </c>
    </row>
    <row r="101" spans="1:5" s="506" customFormat="1" x14ac:dyDescent="0.2">
      <c r="A101" s="512">
        <v>7</v>
      </c>
      <c r="B101" s="511" t="s">
        <v>735</v>
      </c>
      <c r="C101" s="523">
        <f t="shared" si="10"/>
        <v>1.9397571014384187E-2</v>
      </c>
      <c r="D101" s="523">
        <f t="shared" si="10"/>
        <v>2.041165829250538E-2</v>
      </c>
      <c r="E101" s="523">
        <f t="shared" si="11"/>
        <v>1.0140872781211931E-3</v>
      </c>
    </row>
    <row r="102" spans="1:5" s="506" customFormat="1" x14ac:dyDescent="0.2">
      <c r="A102" s="512"/>
      <c r="B102" s="516" t="s">
        <v>775</v>
      </c>
      <c r="C102" s="524">
        <f>SUM(C96+C97+C100)</f>
        <v>0.18283458465241922</v>
      </c>
      <c r="D102" s="524">
        <f>SUM(D96+D97+D100)</f>
        <v>0.21716138364688325</v>
      </c>
      <c r="E102" s="525">
        <f t="shared" si="11"/>
        <v>3.4326798994464031E-2</v>
      </c>
    </row>
    <row r="103" spans="1:5" s="506" customFormat="1" x14ac:dyDescent="0.2">
      <c r="A103" s="512"/>
      <c r="B103" s="516" t="s">
        <v>776</v>
      </c>
      <c r="C103" s="524">
        <f>SUM(C95+C102)</f>
        <v>0.43383752819301835</v>
      </c>
      <c r="D103" s="524">
        <f>SUM(D95+D102)</f>
        <v>0.48217343242338084</v>
      </c>
      <c r="E103" s="525">
        <f t="shared" si="11"/>
        <v>4.8335904230362492E-2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777</v>
      </c>
      <c r="C105" s="525">
        <f>C91+C103</f>
        <v>0.99999999999999989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778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628</v>
      </c>
      <c r="C109" s="523">
        <f t="shared" ref="C109:D115" si="12">IF(C$77=0,0,C47/C$77)</f>
        <v>0.20667079083702256</v>
      </c>
      <c r="D109" s="523">
        <f t="shared" si="12"/>
        <v>0.19596765908679398</v>
      </c>
      <c r="E109" s="523">
        <f t="shared" ref="E109:E117" si="13">D109-C109</f>
        <v>-1.0703131750228578E-2</v>
      </c>
    </row>
    <row r="110" spans="1:5" s="506" customFormat="1" x14ac:dyDescent="0.2">
      <c r="A110" s="512">
        <v>2</v>
      </c>
      <c r="B110" s="511" t="s">
        <v>607</v>
      </c>
      <c r="C110" s="523">
        <f t="shared" si="12"/>
        <v>0.34389831555492578</v>
      </c>
      <c r="D110" s="523">
        <f t="shared" si="12"/>
        <v>0.29823783981213531</v>
      </c>
      <c r="E110" s="523">
        <f t="shared" si="13"/>
        <v>-4.5660475742790474E-2</v>
      </c>
    </row>
    <row r="111" spans="1:5" s="506" customFormat="1" x14ac:dyDescent="0.2">
      <c r="A111" s="512">
        <v>3</v>
      </c>
      <c r="B111" s="511" t="s">
        <v>753</v>
      </c>
      <c r="C111" s="523">
        <f t="shared" si="12"/>
        <v>2.2395552450232201E-2</v>
      </c>
      <c r="D111" s="523">
        <f t="shared" si="12"/>
        <v>3.2066431449327699E-2</v>
      </c>
      <c r="E111" s="523">
        <f t="shared" si="13"/>
        <v>9.6708789990954981E-3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2.220225159033954E-2</v>
      </c>
      <c r="D112" s="523">
        <f t="shared" si="12"/>
        <v>3.1806615445838612E-2</v>
      </c>
      <c r="E112" s="523">
        <f t="shared" si="13"/>
        <v>9.6043638554990721E-3</v>
      </c>
    </row>
    <row r="113" spans="1:5" s="506" customFormat="1" x14ac:dyDescent="0.2">
      <c r="A113" s="512">
        <v>5</v>
      </c>
      <c r="B113" s="511" t="s">
        <v>720</v>
      </c>
      <c r="C113" s="523">
        <f t="shared" si="12"/>
        <v>1.9330085989265928E-4</v>
      </c>
      <c r="D113" s="523">
        <f t="shared" si="12"/>
        <v>2.5981600348909373E-4</v>
      </c>
      <c r="E113" s="523">
        <f t="shared" si="13"/>
        <v>6.6515143596434449E-5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5.4116533285314752E-4</v>
      </c>
      <c r="D114" s="523">
        <f t="shared" si="12"/>
        <v>6.6598670639600465E-4</v>
      </c>
      <c r="E114" s="523">
        <f t="shared" si="13"/>
        <v>1.2482137354285713E-4</v>
      </c>
    </row>
    <row r="115" spans="1:5" s="506" customFormat="1" x14ac:dyDescent="0.2">
      <c r="A115" s="512">
        <v>7</v>
      </c>
      <c r="B115" s="511" t="s">
        <v>735</v>
      </c>
      <c r="C115" s="523">
        <f t="shared" si="12"/>
        <v>3.6660507910676762E-4</v>
      </c>
      <c r="D115" s="523">
        <f t="shared" si="12"/>
        <v>4.9217517894670421E-4</v>
      </c>
      <c r="E115" s="523">
        <f t="shared" si="13"/>
        <v>1.2557009983993659E-4</v>
      </c>
    </row>
    <row r="116" spans="1:5" s="506" customFormat="1" x14ac:dyDescent="0.2">
      <c r="A116" s="512"/>
      <c r="B116" s="516" t="s">
        <v>772</v>
      </c>
      <c r="C116" s="524">
        <f>SUM(C110+C111+C114)</f>
        <v>0.36683503333801115</v>
      </c>
      <c r="D116" s="524">
        <f>SUM(D110+D111+D114)</f>
        <v>0.33097025796785901</v>
      </c>
      <c r="E116" s="525">
        <f t="shared" si="13"/>
        <v>-3.5864775370152147E-2</v>
      </c>
    </row>
    <row r="117" spans="1:5" s="506" customFormat="1" x14ac:dyDescent="0.2">
      <c r="A117" s="512"/>
      <c r="B117" s="516" t="s">
        <v>773</v>
      </c>
      <c r="C117" s="524">
        <f>SUM(C109+C116)</f>
        <v>0.57350582417503371</v>
      </c>
      <c r="D117" s="524">
        <f>SUM(D109+D116)</f>
        <v>0.52693791705465298</v>
      </c>
      <c r="E117" s="525">
        <f t="shared" si="13"/>
        <v>-4.6567907120380725E-2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779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628</v>
      </c>
      <c r="C121" s="523">
        <f t="shared" ref="C121:D127" si="14">IF(C$77=0,0,C58/C$77)</f>
        <v>0.29976534420313228</v>
      </c>
      <c r="D121" s="523">
        <f t="shared" si="14"/>
        <v>0.30516445918960711</v>
      </c>
      <c r="E121" s="523">
        <f t="shared" ref="E121:E129" si="15">D121-C121</f>
        <v>5.3991149864748289E-3</v>
      </c>
    </row>
    <row r="122" spans="1:5" s="506" customFormat="1" x14ac:dyDescent="0.2">
      <c r="A122" s="512">
        <v>2</v>
      </c>
      <c r="B122" s="511" t="s">
        <v>607</v>
      </c>
      <c r="C122" s="523">
        <f t="shared" si="14"/>
        <v>9.0243440616571372E-2</v>
      </c>
      <c r="D122" s="523">
        <f t="shared" si="14"/>
        <v>0.12267465614216454</v>
      </c>
      <c r="E122" s="523">
        <f t="shared" si="15"/>
        <v>3.2431215525593166E-2</v>
      </c>
    </row>
    <row r="123" spans="1:5" s="506" customFormat="1" x14ac:dyDescent="0.2">
      <c r="A123" s="512">
        <v>3</v>
      </c>
      <c r="B123" s="511" t="s">
        <v>753</v>
      </c>
      <c r="C123" s="523">
        <f t="shared" si="14"/>
        <v>3.5661674995127159E-2</v>
      </c>
      <c r="D123" s="523">
        <f t="shared" si="14"/>
        <v>4.4007108895798855E-2</v>
      </c>
      <c r="E123" s="523">
        <f t="shared" si="15"/>
        <v>8.3454339006716963E-3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3.4973582168237607E-2</v>
      </c>
      <c r="D124" s="523">
        <f t="shared" si="14"/>
        <v>4.3029968839384307E-2</v>
      </c>
      <c r="E124" s="523">
        <f t="shared" si="15"/>
        <v>8.0563866711466994E-3</v>
      </c>
    </row>
    <row r="125" spans="1:5" s="506" customFormat="1" x14ac:dyDescent="0.2">
      <c r="A125" s="512">
        <v>5</v>
      </c>
      <c r="B125" s="511" t="s">
        <v>720</v>
      </c>
      <c r="C125" s="523">
        <f t="shared" si="14"/>
        <v>6.8809282688955266E-4</v>
      </c>
      <c r="D125" s="523">
        <f t="shared" si="14"/>
        <v>9.7714005641455232E-4</v>
      </c>
      <c r="E125" s="523">
        <f t="shared" si="15"/>
        <v>2.8904722952499966E-4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8.2371601013551358E-4</v>
      </c>
      <c r="D126" s="523">
        <f t="shared" si="14"/>
        <v>1.2158587177765138E-3</v>
      </c>
      <c r="E126" s="523">
        <f t="shared" si="15"/>
        <v>3.9214270764100021E-4</v>
      </c>
    </row>
    <row r="127" spans="1:5" s="506" customFormat="1" x14ac:dyDescent="0.2">
      <c r="A127" s="512">
        <v>7</v>
      </c>
      <c r="B127" s="511" t="s">
        <v>735</v>
      </c>
      <c r="C127" s="523">
        <f t="shared" si="14"/>
        <v>4.532900168890971E-3</v>
      </c>
      <c r="D127" s="523">
        <f t="shared" si="14"/>
        <v>3.5602017200087655E-3</v>
      </c>
      <c r="E127" s="523">
        <f t="shared" si="15"/>
        <v>-9.7269844888220542E-4</v>
      </c>
    </row>
    <row r="128" spans="1:5" s="506" customFormat="1" x14ac:dyDescent="0.2">
      <c r="A128" s="512"/>
      <c r="B128" s="516" t="s">
        <v>775</v>
      </c>
      <c r="C128" s="524">
        <f>SUM(C122+C123+C126)</f>
        <v>0.12672883162183404</v>
      </c>
      <c r="D128" s="524">
        <f>SUM(D122+D123+D126)</f>
        <v>0.16789762375573991</v>
      </c>
      <c r="E128" s="525">
        <f t="shared" si="15"/>
        <v>4.1168792133905868E-2</v>
      </c>
    </row>
    <row r="129" spans="1:5" s="506" customFormat="1" x14ac:dyDescent="0.2">
      <c r="A129" s="512"/>
      <c r="B129" s="516" t="s">
        <v>776</v>
      </c>
      <c r="C129" s="524">
        <f>SUM(C121+C128)</f>
        <v>0.42649417582496629</v>
      </c>
      <c r="D129" s="524">
        <f>SUM(D121+D128)</f>
        <v>0.47306208294534702</v>
      </c>
      <c r="E129" s="525">
        <f t="shared" si="15"/>
        <v>4.6567907120380725E-2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780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781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782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628</v>
      </c>
      <c r="C137" s="530">
        <v>1753</v>
      </c>
      <c r="D137" s="530">
        <v>1797</v>
      </c>
      <c r="E137" s="531">
        <f t="shared" ref="E137:E145" si="16">D137-C137</f>
        <v>44</v>
      </c>
    </row>
    <row r="138" spans="1:5" s="506" customFormat="1" x14ac:dyDescent="0.2">
      <c r="A138" s="512">
        <v>2</v>
      </c>
      <c r="B138" s="511" t="s">
        <v>607</v>
      </c>
      <c r="C138" s="530">
        <v>2362</v>
      </c>
      <c r="D138" s="530">
        <v>2050</v>
      </c>
      <c r="E138" s="531">
        <f t="shared" si="16"/>
        <v>-312</v>
      </c>
    </row>
    <row r="139" spans="1:5" s="506" customFormat="1" x14ac:dyDescent="0.2">
      <c r="A139" s="512">
        <v>3</v>
      </c>
      <c r="B139" s="511" t="s">
        <v>753</v>
      </c>
      <c r="C139" s="530">
        <f>C140+C141</f>
        <v>413</v>
      </c>
      <c r="D139" s="530">
        <f>D140+D141</f>
        <v>519</v>
      </c>
      <c r="E139" s="531">
        <f t="shared" si="16"/>
        <v>106</v>
      </c>
    </row>
    <row r="140" spans="1:5" s="506" customFormat="1" x14ac:dyDescent="0.2">
      <c r="A140" s="512">
        <v>4</v>
      </c>
      <c r="B140" s="511" t="s">
        <v>114</v>
      </c>
      <c r="C140" s="530">
        <v>406</v>
      </c>
      <c r="D140" s="530">
        <v>517</v>
      </c>
      <c r="E140" s="531">
        <f t="shared" si="16"/>
        <v>111</v>
      </c>
    </row>
    <row r="141" spans="1:5" s="506" customFormat="1" x14ac:dyDescent="0.2">
      <c r="A141" s="512">
        <v>5</v>
      </c>
      <c r="B141" s="511" t="s">
        <v>720</v>
      </c>
      <c r="C141" s="530">
        <v>7</v>
      </c>
      <c r="D141" s="530">
        <v>2</v>
      </c>
      <c r="E141" s="531">
        <f t="shared" si="16"/>
        <v>-5</v>
      </c>
    </row>
    <row r="142" spans="1:5" s="506" customFormat="1" x14ac:dyDescent="0.2">
      <c r="A142" s="512">
        <v>6</v>
      </c>
      <c r="B142" s="511" t="s">
        <v>418</v>
      </c>
      <c r="C142" s="530">
        <v>12</v>
      </c>
      <c r="D142" s="530">
        <v>8</v>
      </c>
      <c r="E142" s="531">
        <f t="shared" si="16"/>
        <v>-4</v>
      </c>
    </row>
    <row r="143" spans="1:5" s="506" customFormat="1" x14ac:dyDescent="0.2">
      <c r="A143" s="512">
        <v>7</v>
      </c>
      <c r="B143" s="511" t="s">
        <v>735</v>
      </c>
      <c r="C143" s="530">
        <v>79</v>
      </c>
      <c r="D143" s="530">
        <v>78</v>
      </c>
      <c r="E143" s="531">
        <f t="shared" si="16"/>
        <v>-1</v>
      </c>
    </row>
    <row r="144" spans="1:5" s="506" customFormat="1" x14ac:dyDescent="0.2">
      <c r="A144" s="512"/>
      <c r="B144" s="516" t="s">
        <v>783</v>
      </c>
      <c r="C144" s="532">
        <f>SUM(C138+C139+C142)</f>
        <v>2787</v>
      </c>
      <c r="D144" s="532">
        <f>SUM(D138+D139+D142)</f>
        <v>2577</v>
      </c>
      <c r="E144" s="533">
        <f t="shared" si="16"/>
        <v>-210</v>
      </c>
    </row>
    <row r="145" spans="1:5" s="506" customFormat="1" x14ac:dyDescent="0.2">
      <c r="A145" s="512"/>
      <c r="B145" s="516" t="s">
        <v>697</v>
      </c>
      <c r="C145" s="532">
        <f>SUM(C137+C144)</f>
        <v>4540</v>
      </c>
      <c r="D145" s="532">
        <f>SUM(D137+D144)</f>
        <v>4374</v>
      </c>
      <c r="E145" s="533">
        <f t="shared" si="16"/>
        <v>-166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628</v>
      </c>
      <c r="C149" s="534">
        <v>5589</v>
      </c>
      <c r="D149" s="534">
        <v>5938</v>
      </c>
      <c r="E149" s="531">
        <f t="shared" ref="E149:E157" si="17">D149-C149</f>
        <v>349</v>
      </c>
    </row>
    <row r="150" spans="1:5" s="506" customFormat="1" x14ac:dyDescent="0.2">
      <c r="A150" s="512">
        <v>2</v>
      </c>
      <c r="B150" s="511" t="s">
        <v>607</v>
      </c>
      <c r="C150" s="534">
        <v>10822</v>
      </c>
      <c r="D150" s="534">
        <v>9577</v>
      </c>
      <c r="E150" s="531">
        <f t="shared" si="17"/>
        <v>-1245</v>
      </c>
    </row>
    <row r="151" spans="1:5" s="506" customFormat="1" x14ac:dyDescent="0.2">
      <c r="A151" s="512">
        <v>3</v>
      </c>
      <c r="B151" s="511" t="s">
        <v>753</v>
      </c>
      <c r="C151" s="534">
        <f>C152+C153</f>
        <v>1267</v>
      </c>
      <c r="D151" s="534">
        <f>D152+D153</f>
        <v>1770</v>
      </c>
      <c r="E151" s="531">
        <f t="shared" si="17"/>
        <v>503</v>
      </c>
    </row>
    <row r="152" spans="1:5" s="506" customFormat="1" x14ac:dyDescent="0.2">
      <c r="A152" s="512">
        <v>4</v>
      </c>
      <c r="B152" s="511" t="s">
        <v>114</v>
      </c>
      <c r="C152" s="534">
        <v>1247</v>
      </c>
      <c r="D152" s="534">
        <v>1762</v>
      </c>
      <c r="E152" s="531">
        <f t="shared" si="17"/>
        <v>515</v>
      </c>
    </row>
    <row r="153" spans="1:5" s="506" customFormat="1" x14ac:dyDescent="0.2">
      <c r="A153" s="512">
        <v>5</v>
      </c>
      <c r="B153" s="511" t="s">
        <v>720</v>
      </c>
      <c r="C153" s="535">
        <v>20</v>
      </c>
      <c r="D153" s="534">
        <v>8</v>
      </c>
      <c r="E153" s="531">
        <f t="shared" si="17"/>
        <v>-12</v>
      </c>
    </row>
    <row r="154" spans="1:5" s="506" customFormat="1" x14ac:dyDescent="0.2">
      <c r="A154" s="512">
        <v>6</v>
      </c>
      <c r="B154" s="511" t="s">
        <v>418</v>
      </c>
      <c r="C154" s="534">
        <v>30</v>
      </c>
      <c r="D154" s="534">
        <v>27</v>
      </c>
      <c r="E154" s="531">
        <f t="shared" si="17"/>
        <v>-3</v>
      </c>
    </row>
    <row r="155" spans="1:5" s="506" customFormat="1" x14ac:dyDescent="0.2">
      <c r="A155" s="512">
        <v>7</v>
      </c>
      <c r="B155" s="511" t="s">
        <v>735</v>
      </c>
      <c r="C155" s="534">
        <v>278</v>
      </c>
      <c r="D155" s="534">
        <v>311</v>
      </c>
      <c r="E155" s="531">
        <f t="shared" si="17"/>
        <v>33</v>
      </c>
    </row>
    <row r="156" spans="1:5" s="506" customFormat="1" x14ac:dyDescent="0.2">
      <c r="A156" s="512"/>
      <c r="B156" s="516" t="s">
        <v>784</v>
      </c>
      <c r="C156" s="532">
        <f>SUM(C150+C151+C154)</f>
        <v>12119</v>
      </c>
      <c r="D156" s="532">
        <f>SUM(D150+D151+D154)</f>
        <v>11374</v>
      </c>
      <c r="E156" s="533">
        <f t="shared" si="17"/>
        <v>-745</v>
      </c>
    </row>
    <row r="157" spans="1:5" s="506" customFormat="1" x14ac:dyDescent="0.2">
      <c r="A157" s="512"/>
      <c r="B157" s="516" t="s">
        <v>785</v>
      </c>
      <c r="C157" s="532">
        <f>SUM(C149+C156)</f>
        <v>17708</v>
      </c>
      <c r="D157" s="532">
        <f>SUM(D149+D156)</f>
        <v>17312</v>
      </c>
      <c r="E157" s="533">
        <f t="shared" si="17"/>
        <v>-396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786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628</v>
      </c>
      <c r="C161" s="536">
        <f t="shared" ref="C161:D169" si="18">IF(C137=0,0,C149/C137)</f>
        <v>3.188248716486024</v>
      </c>
      <c r="D161" s="536">
        <f t="shared" si="18"/>
        <v>3.3043962159154145</v>
      </c>
      <c r="E161" s="537">
        <f t="shared" ref="E161:E169" si="19">D161-C161</f>
        <v>0.11614749942939051</v>
      </c>
    </row>
    <row r="162" spans="1:5" s="506" customFormat="1" x14ac:dyDescent="0.2">
      <c r="A162" s="512">
        <v>2</v>
      </c>
      <c r="B162" s="511" t="s">
        <v>607</v>
      </c>
      <c r="C162" s="536">
        <f t="shared" si="18"/>
        <v>4.5817104149026253</v>
      </c>
      <c r="D162" s="536">
        <f t="shared" si="18"/>
        <v>4.6717073170731709</v>
      </c>
      <c r="E162" s="537">
        <f t="shared" si="19"/>
        <v>8.9996902170545567E-2</v>
      </c>
    </row>
    <row r="163" spans="1:5" s="506" customFormat="1" x14ac:dyDescent="0.2">
      <c r="A163" s="512">
        <v>3</v>
      </c>
      <c r="B163" s="511" t="s">
        <v>753</v>
      </c>
      <c r="C163" s="536">
        <f t="shared" si="18"/>
        <v>3.0677966101694913</v>
      </c>
      <c r="D163" s="536">
        <f t="shared" si="18"/>
        <v>3.4104046242774566</v>
      </c>
      <c r="E163" s="537">
        <f t="shared" si="19"/>
        <v>0.34260801410796526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3.0714285714285716</v>
      </c>
      <c r="D164" s="536">
        <f t="shared" si="18"/>
        <v>3.4081237911025144</v>
      </c>
      <c r="E164" s="537">
        <f t="shared" si="19"/>
        <v>0.33669521967394278</v>
      </c>
    </row>
    <row r="165" spans="1:5" s="506" customFormat="1" x14ac:dyDescent="0.2">
      <c r="A165" s="512">
        <v>5</v>
      </c>
      <c r="B165" s="511" t="s">
        <v>720</v>
      </c>
      <c r="C165" s="536">
        <f t="shared" si="18"/>
        <v>2.8571428571428572</v>
      </c>
      <c r="D165" s="536">
        <f t="shared" si="18"/>
        <v>4</v>
      </c>
      <c r="E165" s="537">
        <f t="shared" si="19"/>
        <v>1.1428571428571428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2.5</v>
      </c>
      <c r="D166" s="536">
        <f t="shared" si="18"/>
        <v>3.375</v>
      </c>
      <c r="E166" s="537">
        <f t="shared" si="19"/>
        <v>0.875</v>
      </c>
    </row>
    <row r="167" spans="1:5" s="506" customFormat="1" x14ac:dyDescent="0.2">
      <c r="A167" s="512">
        <v>7</v>
      </c>
      <c r="B167" s="511" t="s">
        <v>735</v>
      </c>
      <c r="C167" s="536">
        <f t="shared" si="18"/>
        <v>3.518987341772152</v>
      </c>
      <c r="D167" s="536">
        <f t="shared" si="18"/>
        <v>3.9871794871794872</v>
      </c>
      <c r="E167" s="537">
        <f t="shared" si="19"/>
        <v>0.46819214540733523</v>
      </c>
    </row>
    <row r="168" spans="1:5" s="506" customFormat="1" x14ac:dyDescent="0.2">
      <c r="A168" s="512"/>
      <c r="B168" s="516" t="s">
        <v>787</v>
      </c>
      <c r="C168" s="538">
        <f t="shared" si="18"/>
        <v>4.3484033010405456</v>
      </c>
      <c r="D168" s="538">
        <f t="shared" si="18"/>
        <v>4.4136592937524251</v>
      </c>
      <c r="E168" s="539">
        <f t="shared" si="19"/>
        <v>6.5255992711879429E-2</v>
      </c>
    </row>
    <row r="169" spans="1:5" s="506" customFormat="1" x14ac:dyDescent="0.2">
      <c r="A169" s="512"/>
      <c r="B169" s="516" t="s">
        <v>721</v>
      </c>
      <c r="C169" s="538">
        <f t="shared" si="18"/>
        <v>3.9004405286343613</v>
      </c>
      <c r="D169" s="538">
        <f t="shared" si="18"/>
        <v>3.9579332418838593</v>
      </c>
      <c r="E169" s="539">
        <f t="shared" si="19"/>
        <v>5.7492713249498006E-2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788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628</v>
      </c>
      <c r="C173" s="541">
        <f t="shared" ref="C173:D181" si="20">IF(C137=0,0,C203/C137)</f>
        <v>1.13964</v>
      </c>
      <c r="D173" s="541">
        <f t="shared" si="20"/>
        <v>1.1516599999999999</v>
      </c>
      <c r="E173" s="542">
        <f t="shared" ref="E173:E181" si="21">D173-C173</f>
        <v>1.201999999999992E-2</v>
      </c>
    </row>
    <row r="174" spans="1:5" s="506" customFormat="1" x14ac:dyDescent="0.2">
      <c r="A174" s="512">
        <v>2</v>
      </c>
      <c r="B174" s="511" t="s">
        <v>607</v>
      </c>
      <c r="C174" s="541">
        <f t="shared" si="20"/>
        <v>1.5058</v>
      </c>
      <c r="D174" s="541">
        <f t="shared" si="20"/>
        <v>1.5190999999999999</v>
      </c>
      <c r="E174" s="542">
        <f t="shared" si="21"/>
        <v>1.3299999999999867E-2</v>
      </c>
    </row>
    <row r="175" spans="1:5" s="506" customFormat="1" x14ac:dyDescent="0.2">
      <c r="A175" s="512">
        <v>0</v>
      </c>
      <c r="B175" s="511" t="s">
        <v>753</v>
      </c>
      <c r="C175" s="541">
        <f t="shared" si="20"/>
        <v>0.90883864406779669</v>
      </c>
      <c r="D175" s="541">
        <f t="shared" si="20"/>
        <v>0.9497895953757225</v>
      </c>
      <c r="E175" s="542">
        <f t="shared" si="21"/>
        <v>4.0950951307925809E-2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0.90485000000000004</v>
      </c>
      <c r="D176" s="541">
        <f t="shared" si="20"/>
        <v>0.95099999999999996</v>
      </c>
      <c r="E176" s="542">
        <f t="shared" si="21"/>
        <v>4.6149999999999913E-2</v>
      </c>
    </row>
    <row r="177" spans="1:5" s="506" customFormat="1" x14ac:dyDescent="0.2">
      <c r="A177" s="512">
        <v>5</v>
      </c>
      <c r="B177" s="511" t="s">
        <v>720</v>
      </c>
      <c r="C177" s="541">
        <f t="shared" si="20"/>
        <v>1.14018</v>
      </c>
      <c r="D177" s="541">
        <f t="shared" si="20"/>
        <v>0.63690000000000002</v>
      </c>
      <c r="E177" s="542">
        <f t="shared" si="21"/>
        <v>-0.50327999999999995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0.71243999999999996</v>
      </c>
      <c r="D178" s="541">
        <f t="shared" si="20"/>
        <v>0.89710000000000001</v>
      </c>
      <c r="E178" s="542">
        <f t="shared" si="21"/>
        <v>0.18466000000000005</v>
      </c>
    </row>
    <row r="179" spans="1:5" s="506" customFormat="1" x14ac:dyDescent="0.2">
      <c r="A179" s="512">
        <v>7</v>
      </c>
      <c r="B179" s="511" t="s">
        <v>735</v>
      </c>
      <c r="C179" s="541">
        <f t="shared" si="20"/>
        <v>1.0085500000000001</v>
      </c>
      <c r="D179" s="541">
        <f t="shared" si="20"/>
        <v>1.2761</v>
      </c>
      <c r="E179" s="542">
        <f t="shared" si="21"/>
        <v>0.26754999999999995</v>
      </c>
    </row>
    <row r="180" spans="1:5" s="506" customFormat="1" x14ac:dyDescent="0.2">
      <c r="A180" s="512"/>
      <c r="B180" s="516" t="s">
        <v>789</v>
      </c>
      <c r="C180" s="543">
        <f t="shared" si="20"/>
        <v>1.4139215069967708</v>
      </c>
      <c r="D180" s="543">
        <f t="shared" si="20"/>
        <v>1.4025116802483506</v>
      </c>
      <c r="E180" s="544">
        <f t="shared" si="21"/>
        <v>-1.1409826748420171E-2</v>
      </c>
    </row>
    <row r="181" spans="1:5" s="506" customFormat="1" x14ac:dyDescent="0.2">
      <c r="A181" s="512"/>
      <c r="B181" s="516" t="s">
        <v>698</v>
      </c>
      <c r="C181" s="543">
        <f t="shared" si="20"/>
        <v>1.3080150132158592</v>
      </c>
      <c r="D181" s="543">
        <f t="shared" si="20"/>
        <v>1.2994525880201186</v>
      </c>
      <c r="E181" s="544">
        <f t="shared" si="21"/>
        <v>-8.562425195740575E-3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790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791</v>
      </c>
      <c r="C185" s="513">
        <v>79887595</v>
      </c>
      <c r="D185" s="513">
        <v>71322702</v>
      </c>
      <c r="E185" s="514">
        <f>D185-C185</f>
        <v>-8564893</v>
      </c>
    </row>
    <row r="186" spans="1:5" s="506" customFormat="1" ht="25.5" x14ac:dyDescent="0.2">
      <c r="A186" s="512">
        <v>2</v>
      </c>
      <c r="B186" s="511" t="s">
        <v>792</v>
      </c>
      <c r="C186" s="513">
        <v>35946182</v>
      </c>
      <c r="D186" s="513">
        <v>36788412</v>
      </c>
      <c r="E186" s="514">
        <f>D186-C186</f>
        <v>842230</v>
      </c>
    </row>
    <row r="187" spans="1:5" s="506" customFormat="1" x14ac:dyDescent="0.2">
      <c r="A187" s="512"/>
      <c r="B187" s="511" t="s">
        <v>640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724</v>
      </c>
      <c r="C188" s="546">
        <f>+C185-C186</f>
        <v>43941413</v>
      </c>
      <c r="D188" s="546">
        <f>+D185-D186</f>
        <v>34534290</v>
      </c>
      <c r="E188" s="514">
        <f t="shared" ref="E188:E197" si="22">D188-C188</f>
        <v>-9407123</v>
      </c>
    </row>
    <row r="189" spans="1:5" s="506" customFormat="1" x14ac:dyDescent="0.2">
      <c r="A189" s="512">
        <v>4</v>
      </c>
      <c r="B189" s="511" t="s">
        <v>642</v>
      </c>
      <c r="C189" s="547">
        <f>IF(C185=0,0,+C188/C185)</f>
        <v>0.55004050378534985</v>
      </c>
      <c r="D189" s="547">
        <f>IF(D185=0,0,+D188/D185)</f>
        <v>0.48419772430943514</v>
      </c>
      <c r="E189" s="523">
        <f t="shared" si="22"/>
        <v>-6.5842779475914714E-2</v>
      </c>
    </row>
    <row r="190" spans="1:5" s="506" customFormat="1" x14ac:dyDescent="0.2">
      <c r="A190" s="512">
        <v>5</v>
      </c>
      <c r="B190" s="511" t="s">
        <v>739</v>
      </c>
      <c r="C190" s="513">
        <v>2327861</v>
      </c>
      <c r="D190" s="513">
        <v>2287171</v>
      </c>
      <c r="E190" s="546">
        <f t="shared" si="22"/>
        <v>-40690</v>
      </c>
    </row>
    <row r="191" spans="1:5" s="506" customFormat="1" x14ac:dyDescent="0.2">
      <c r="A191" s="512">
        <v>6</v>
      </c>
      <c r="B191" s="511" t="s">
        <v>725</v>
      </c>
      <c r="C191" s="513">
        <v>1429460</v>
      </c>
      <c r="D191" s="513">
        <v>1318490</v>
      </c>
      <c r="E191" s="546">
        <f t="shared" si="22"/>
        <v>-110970</v>
      </c>
    </row>
    <row r="192" spans="1:5" ht="29.25" x14ac:dyDescent="0.2">
      <c r="A192" s="512">
        <v>7</v>
      </c>
      <c r="B192" s="548" t="s">
        <v>793</v>
      </c>
      <c r="C192" s="513">
        <v>386028</v>
      </c>
      <c r="D192" s="513">
        <v>0</v>
      </c>
      <c r="E192" s="546">
        <f t="shared" si="22"/>
        <v>-386028</v>
      </c>
    </row>
    <row r="193" spans="1:5" s="506" customFormat="1" x14ac:dyDescent="0.2">
      <c r="A193" s="512">
        <v>8</v>
      </c>
      <c r="B193" s="511" t="s">
        <v>794</v>
      </c>
      <c r="C193" s="513">
        <v>299029</v>
      </c>
      <c r="D193" s="513">
        <v>187766</v>
      </c>
      <c r="E193" s="546">
        <f t="shared" si="22"/>
        <v>-111263</v>
      </c>
    </row>
    <row r="194" spans="1:5" s="506" customFormat="1" x14ac:dyDescent="0.2">
      <c r="A194" s="512">
        <v>9</v>
      </c>
      <c r="B194" s="511" t="s">
        <v>795</v>
      </c>
      <c r="C194" s="513">
        <v>6738669</v>
      </c>
      <c r="D194" s="513">
        <v>7611773</v>
      </c>
      <c r="E194" s="546">
        <f t="shared" si="22"/>
        <v>873104</v>
      </c>
    </row>
    <row r="195" spans="1:5" s="506" customFormat="1" x14ac:dyDescent="0.2">
      <c r="A195" s="512">
        <v>10</v>
      </c>
      <c r="B195" s="511" t="s">
        <v>796</v>
      </c>
      <c r="C195" s="513">
        <f>+C193+C194</f>
        <v>7037698</v>
      </c>
      <c r="D195" s="513">
        <f>+D193+D194</f>
        <v>7799539</v>
      </c>
      <c r="E195" s="549">
        <f t="shared" si="22"/>
        <v>761841</v>
      </c>
    </row>
    <row r="196" spans="1:5" s="506" customFormat="1" x14ac:dyDescent="0.2">
      <c r="A196" s="512">
        <v>11</v>
      </c>
      <c r="B196" s="511" t="s">
        <v>797</v>
      </c>
      <c r="C196" s="513">
        <v>79887595</v>
      </c>
      <c r="D196" s="513">
        <v>71322702</v>
      </c>
      <c r="E196" s="546">
        <f t="shared" si="22"/>
        <v>-8564893</v>
      </c>
    </row>
    <row r="197" spans="1:5" s="506" customFormat="1" x14ac:dyDescent="0.2">
      <c r="A197" s="512">
        <v>12</v>
      </c>
      <c r="B197" s="511" t="s">
        <v>682</v>
      </c>
      <c r="C197" s="513">
        <v>86047738</v>
      </c>
      <c r="D197" s="513">
        <v>85587522</v>
      </c>
      <c r="E197" s="546">
        <f t="shared" si="22"/>
        <v>-460216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798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799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628</v>
      </c>
      <c r="C203" s="553">
        <v>1997.78892</v>
      </c>
      <c r="D203" s="553">
        <v>2069.5330199999999</v>
      </c>
      <c r="E203" s="554">
        <f t="shared" ref="E203:E211" si="23">D203-C203</f>
        <v>71.744099999999889</v>
      </c>
    </row>
    <row r="204" spans="1:5" s="506" customFormat="1" x14ac:dyDescent="0.2">
      <c r="A204" s="512">
        <v>2</v>
      </c>
      <c r="B204" s="511" t="s">
        <v>607</v>
      </c>
      <c r="C204" s="553">
        <v>3556.6995999999999</v>
      </c>
      <c r="D204" s="553">
        <v>3114.1549999999997</v>
      </c>
      <c r="E204" s="554">
        <f t="shared" si="23"/>
        <v>-442.54460000000017</v>
      </c>
    </row>
    <row r="205" spans="1:5" s="506" customFormat="1" x14ac:dyDescent="0.2">
      <c r="A205" s="512">
        <v>3</v>
      </c>
      <c r="B205" s="511" t="s">
        <v>753</v>
      </c>
      <c r="C205" s="553">
        <f>C206+C207</f>
        <v>375.35036000000002</v>
      </c>
      <c r="D205" s="553">
        <f>D206+D207</f>
        <v>492.94079999999997</v>
      </c>
      <c r="E205" s="554">
        <f t="shared" si="23"/>
        <v>117.59043999999994</v>
      </c>
    </row>
    <row r="206" spans="1:5" s="506" customFormat="1" x14ac:dyDescent="0.2">
      <c r="A206" s="512">
        <v>4</v>
      </c>
      <c r="B206" s="511" t="s">
        <v>114</v>
      </c>
      <c r="C206" s="553">
        <v>367.3691</v>
      </c>
      <c r="D206" s="553">
        <v>491.66699999999997</v>
      </c>
      <c r="E206" s="554">
        <f t="shared" si="23"/>
        <v>124.29789999999997</v>
      </c>
    </row>
    <row r="207" spans="1:5" s="506" customFormat="1" x14ac:dyDescent="0.2">
      <c r="A207" s="512">
        <v>5</v>
      </c>
      <c r="B207" s="511" t="s">
        <v>720</v>
      </c>
      <c r="C207" s="553">
        <v>7.9812599999999998</v>
      </c>
      <c r="D207" s="553">
        <v>1.2738</v>
      </c>
      <c r="E207" s="554">
        <f t="shared" si="23"/>
        <v>-6.7074599999999993</v>
      </c>
    </row>
    <row r="208" spans="1:5" s="506" customFormat="1" x14ac:dyDescent="0.2">
      <c r="A208" s="512">
        <v>6</v>
      </c>
      <c r="B208" s="511" t="s">
        <v>418</v>
      </c>
      <c r="C208" s="553">
        <v>8.5492799999999995</v>
      </c>
      <c r="D208" s="553">
        <v>7.1768000000000001</v>
      </c>
      <c r="E208" s="554">
        <f t="shared" si="23"/>
        <v>-1.3724799999999995</v>
      </c>
    </row>
    <row r="209" spans="1:5" s="506" customFormat="1" x14ac:dyDescent="0.2">
      <c r="A209" s="512">
        <v>7</v>
      </c>
      <c r="B209" s="511" t="s">
        <v>735</v>
      </c>
      <c r="C209" s="553">
        <v>79.675449999999998</v>
      </c>
      <c r="D209" s="553">
        <v>99.535799999999995</v>
      </c>
      <c r="E209" s="554">
        <f t="shared" si="23"/>
        <v>19.860349999999997</v>
      </c>
    </row>
    <row r="210" spans="1:5" s="506" customFormat="1" x14ac:dyDescent="0.2">
      <c r="A210" s="512"/>
      <c r="B210" s="516" t="s">
        <v>800</v>
      </c>
      <c r="C210" s="555">
        <f>C204+C205+C208</f>
        <v>3940.59924</v>
      </c>
      <c r="D210" s="555">
        <f>D204+D205+D208</f>
        <v>3614.2725999999998</v>
      </c>
      <c r="E210" s="556">
        <f t="shared" si="23"/>
        <v>-326.32664000000022</v>
      </c>
    </row>
    <row r="211" spans="1:5" s="506" customFormat="1" x14ac:dyDescent="0.2">
      <c r="A211" s="512"/>
      <c r="B211" s="516" t="s">
        <v>699</v>
      </c>
      <c r="C211" s="555">
        <f>C210+C203</f>
        <v>5938.3881600000004</v>
      </c>
      <c r="D211" s="555">
        <f>D210+D203</f>
        <v>5683.8056199999992</v>
      </c>
      <c r="E211" s="556">
        <f t="shared" si="23"/>
        <v>-254.58254000000125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801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628</v>
      </c>
      <c r="C215" s="557">
        <f>IF(C14*C137=0,0,C25/C14*C137)</f>
        <v>2453.1496971413098</v>
      </c>
      <c r="D215" s="557">
        <f>IF(D14*D137=0,0,D25/D14*D137)</f>
        <v>2886.3003929279744</v>
      </c>
      <c r="E215" s="557">
        <f t="shared" ref="E215:E223" si="24">D215-C215</f>
        <v>433.15069578666453</v>
      </c>
    </row>
    <row r="216" spans="1:5" s="506" customFormat="1" x14ac:dyDescent="0.2">
      <c r="A216" s="512">
        <v>2</v>
      </c>
      <c r="B216" s="511" t="s">
        <v>607</v>
      </c>
      <c r="C216" s="557">
        <f>IF(C15*C138=0,0,C26/C15*C138)</f>
        <v>821.22009958110516</v>
      </c>
      <c r="D216" s="557">
        <f>IF(D15*D138=0,0,D26/D15*D138)</f>
        <v>982.16115308998019</v>
      </c>
      <c r="E216" s="557">
        <f t="shared" si="24"/>
        <v>160.94105350887503</v>
      </c>
    </row>
    <row r="217" spans="1:5" s="506" customFormat="1" x14ac:dyDescent="0.2">
      <c r="A217" s="512">
        <v>3</v>
      </c>
      <c r="B217" s="511" t="s">
        <v>753</v>
      </c>
      <c r="C217" s="557">
        <f>C218+C219</f>
        <v>797.64622718673445</v>
      </c>
      <c r="D217" s="557">
        <f>D218+D219</f>
        <v>836.02044832262061</v>
      </c>
      <c r="E217" s="557">
        <f t="shared" si="24"/>
        <v>38.37422113588616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785.10295975697375</v>
      </c>
      <c r="D218" s="557">
        <f t="shared" si="25"/>
        <v>828.49893168285689</v>
      </c>
      <c r="E218" s="557">
        <f t="shared" si="24"/>
        <v>43.395971925883146</v>
      </c>
    </row>
    <row r="219" spans="1:5" s="506" customFormat="1" x14ac:dyDescent="0.2">
      <c r="A219" s="512">
        <v>5</v>
      </c>
      <c r="B219" s="511" t="s">
        <v>720</v>
      </c>
      <c r="C219" s="557">
        <f t="shared" si="25"/>
        <v>12.543267429760665</v>
      </c>
      <c r="D219" s="557">
        <f t="shared" si="25"/>
        <v>7.5215166397637123</v>
      </c>
      <c r="E219" s="557">
        <f t="shared" si="24"/>
        <v>-5.0217507899969522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16.794925504461851</v>
      </c>
      <c r="D220" s="557">
        <f t="shared" si="25"/>
        <v>16.53923411974792</v>
      </c>
      <c r="E220" s="557">
        <f t="shared" si="24"/>
        <v>-0.2556913847139306</v>
      </c>
    </row>
    <row r="221" spans="1:5" s="506" customFormat="1" x14ac:dyDescent="0.2">
      <c r="A221" s="512">
        <v>7</v>
      </c>
      <c r="B221" s="511" t="s">
        <v>735</v>
      </c>
      <c r="C221" s="557">
        <f t="shared" si="25"/>
        <v>179.49733476060433</v>
      </c>
      <c r="D221" s="557">
        <f t="shared" si="25"/>
        <v>162.7718104444468</v>
      </c>
      <c r="E221" s="557">
        <f t="shared" si="24"/>
        <v>-16.725524316157532</v>
      </c>
    </row>
    <row r="222" spans="1:5" s="506" customFormat="1" x14ac:dyDescent="0.2">
      <c r="A222" s="512"/>
      <c r="B222" s="516" t="s">
        <v>802</v>
      </c>
      <c r="C222" s="558">
        <f>C216+C218+C219+C220</f>
        <v>1635.6612522723015</v>
      </c>
      <c r="D222" s="558">
        <f>D216+D218+D219+D220</f>
        <v>1834.7208355323487</v>
      </c>
      <c r="E222" s="558">
        <f t="shared" si="24"/>
        <v>199.05958326004725</v>
      </c>
    </row>
    <row r="223" spans="1:5" s="506" customFormat="1" x14ac:dyDescent="0.2">
      <c r="A223" s="512"/>
      <c r="B223" s="516" t="s">
        <v>803</v>
      </c>
      <c r="C223" s="558">
        <f>C215+C222</f>
        <v>4088.8109494136115</v>
      </c>
      <c r="D223" s="558">
        <f>D215+D222</f>
        <v>4721.0212284603231</v>
      </c>
      <c r="E223" s="558">
        <f t="shared" si="24"/>
        <v>632.21027904671155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804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628</v>
      </c>
      <c r="C227" s="560">
        <f t="shared" ref="C227:D235" si="26">IF(C203=0,0,C47/C203)</f>
        <v>7247.8733138634088</v>
      </c>
      <c r="D227" s="560">
        <f t="shared" si="26"/>
        <v>6566.41951042656</v>
      </c>
      <c r="E227" s="560">
        <f t="shared" ref="E227:E235" si="27">D227-C227</f>
        <v>-681.45380343684883</v>
      </c>
    </row>
    <row r="228" spans="1:5" s="506" customFormat="1" x14ac:dyDescent="0.2">
      <c r="A228" s="512">
        <v>2</v>
      </c>
      <c r="B228" s="511" t="s">
        <v>607</v>
      </c>
      <c r="C228" s="560">
        <f t="shared" si="26"/>
        <v>6774.2926616574532</v>
      </c>
      <c r="D228" s="560">
        <f t="shared" si="26"/>
        <v>6641.0859446623572</v>
      </c>
      <c r="E228" s="560">
        <f t="shared" si="27"/>
        <v>-133.20671699509603</v>
      </c>
    </row>
    <row r="229" spans="1:5" s="506" customFormat="1" x14ac:dyDescent="0.2">
      <c r="A229" s="512">
        <v>3</v>
      </c>
      <c r="B229" s="511" t="s">
        <v>753</v>
      </c>
      <c r="C229" s="560">
        <f t="shared" si="26"/>
        <v>4180.2863862978575</v>
      </c>
      <c r="D229" s="560">
        <f t="shared" si="26"/>
        <v>4510.9960465840932</v>
      </c>
      <c r="E229" s="560">
        <f t="shared" si="27"/>
        <v>330.7096602862357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4234.2401688111495</v>
      </c>
      <c r="D230" s="560">
        <f t="shared" si="26"/>
        <v>4486.0383145502956</v>
      </c>
      <c r="E230" s="560">
        <f t="shared" si="27"/>
        <v>251.79814573914609</v>
      </c>
    </row>
    <row r="231" spans="1:5" s="506" customFormat="1" x14ac:dyDescent="0.2">
      <c r="A231" s="512">
        <v>5</v>
      </c>
      <c r="B231" s="511" t="s">
        <v>720</v>
      </c>
      <c r="C231" s="560">
        <f t="shared" si="26"/>
        <v>1696.8498708224015</v>
      </c>
      <c r="D231" s="560">
        <f t="shared" si="26"/>
        <v>14144.29266760873</v>
      </c>
      <c r="E231" s="560">
        <f t="shared" si="27"/>
        <v>12447.442796786328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4434.8763872513246</v>
      </c>
      <c r="D232" s="560">
        <f t="shared" si="26"/>
        <v>6435.0406866570056</v>
      </c>
      <c r="E232" s="560">
        <f t="shared" si="27"/>
        <v>2000.164299405681</v>
      </c>
    </row>
    <row r="233" spans="1:5" s="506" customFormat="1" x14ac:dyDescent="0.2">
      <c r="A233" s="512">
        <v>7</v>
      </c>
      <c r="B233" s="511" t="s">
        <v>735</v>
      </c>
      <c r="C233" s="560">
        <f t="shared" si="26"/>
        <v>322.37031607603097</v>
      </c>
      <c r="D233" s="560">
        <f t="shared" si="26"/>
        <v>342.89170328665665</v>
      </c>
      <c r="E233" s="560">
        <f t="shared" si="27"/>
        <v>20.521387210625676</v>
      </c>
    </row>
    <row r="234" spans="1:5" x14ac:dyDescent="0.2">
      <c r="A234" s="512"/>
      <c r="B234" s="516" t="s">
        <v>805</v>
      </c>
      <c r="C234" s="561">
        <f t="shared" si="26"/>
        <v>6522.1326591942397</v>
      </c>
      <c r="D234" s="561">
        <f t="shared" si="26"/>
        <v>6350.1596420812311</v>
      </c>
      <c r="E234" s="561">
        <f t="shared" si="27"/>
        <v>-171.97301711300861</v>
      </c>
    </row>
    <row r="235" spans="1:5" s="506" customFormat="1" x14ac:dyDescent="0.2">
      <c r="A235" s="512"/>
      <c r="B235" s="516" t="s">
        <v>806</v>
      </c>
      <c r="C235" s="561">
        <f t="shared" si="26"/>
        <v>6766.2858872465486</v>
      </c>
      <c r="D235" s="561">
        <f t="shared" si="26"/>
        <v>6428.9021199848848</v>
      </c>
      <c r="E235" s="561">
        <f t="shared" si="27"/>
        <v>-337.38376726166371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807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628</v>
      </c>
      <c r="C239" s="560">
        <f t="shared" ref="C239:D247" si="28">IF(C215=0,0,C58/C215)</f>
        <v>8561.2753369572329</v>
      </c>
      <c r="D239" s="560">
        <f t="shared" si="28"/>
        <v>7331.7728992624907</v>
      </c>
      <c r="E239" s="562">
        <f t="shared" ref="E239:E247" si="29">D239-C239</f>
        <v>-1229.5024376947422</v>
      </c>
    </row>
    <row r="240" spans="1:5" s="506" customFormat="1" x14ac:dyDescent="0.2">
      <c r="A240" s="512">
        <v>2</v>
      </c>
      <c r="B240" s="511" t="s">
        <v>607</v>
      </c>
      <c r="C240" s="560">
        <f t="shared" si="28"/>
        <v>7699.0504777283122</v>
      </c>
      <c r="D240" s="560">
        <f t="shared" si="28"/>
        <v>8661.4115954763729</v>
      </c>
      <c r="E240" s="562">
        <f t="shared" si="29"/>
        <v>962.36111774806068</v>
      </c>
    </row>
    <row r="241" spans="1:5" x14ac:dyDescent="0.2">
      <c r="A241" s="512">
        <v>3</v>
      </c>
      <c r="B241" s="511" t="s">
        <v>753</v>
      </c>
      <c r="C241" s="560">
        <f t="shared" si="28"/>
        <v>3132.3660977024583</v>
      </c>
      <c r="D241" s="560">
        <f t="shared" si="28"/>
        <v>3650.2492326866559</v>
      </c>
      <c r="E241" s="562">
        <f t="shared" si="29"/>
        <v>517.88313498419757</v>
      </c>
    </row>
    <row r="242" spans="1:5" x14ac:dyDescent="0.2">
      <c r="A242" s="512">
        <v>4</v>
      </c>
      <c r="B242" s="511" t="s">
        <v>114</v>
      </c>
      <c r="C242" s="560">
        <f t="shared" si="28"/>
        <v>3121.0059388369727</v>
      </c>
      <c r="D242" s="560">
        <f t="shared" si="28"/>
        <v>3601.6015059174792</v>
      </c>
      <c r="E242" s="562">
        <f t="shared" si="29"/>
        <v>480.5955670805065</v>
      </c>
    </row>
    <row r="243" spans="1:5" x14ac:dyDescent="0.2">
      <c r="A243" s="512">
        <v>5</v>
      </c>
      <c r="B243" s="511" t="s">
        <v>720</v>
      </c>
      <c r="C243" s="560">
        <f t="shared" si="28"/>
        <v>3843.4164200005312</v>
      </c>
      <c r="D243" s="560">
        <f t="shared" si="28"/>
        <v>9008.8213913901109</v>
      </c>
      <c r="E243" s="562">
        <f t="shared" si="29"/>
        <v>5165.4049713895802</v>
      </c>
    </row>
    <row r="244" spans="1:5" x14ac:dyDescent="0.2">
      <c r="A244" s="512">
        <v>6</v>
      </c>
      <c r="B244" s="511" t="s">
        <v>418</v>
      </c>
      <c r="C244" s="560">
        <f t="shared" si="28"/>
        <v>3436.2164919795632</v>
      </c>
      <c r="D244" s="560">
        <f t="shared" si="28"/>
        <v>5097.8176733908558</v>
      </c>
      <c r="E244" s="562">
        <f t="shared" si="29"/>
        <v>1661.6011814112926</v>
      </c>
    </row>
    <row r="245" spans="1:5" x14ac:dyDescent="0.2">
      <c r="A245" s="512">
        <v>7</v>
      </c>
      <c r="B245" s="511" t="s">
        <v>735</v>
      </c>
      <c r="C245" s="560">
        <f t="shared" si="28"/>
        <v>1769.2908946172408</v>
      </c>
      <c r="D245" s="560">
        <f t="shared" si="28"/>
        <v>1516.7429748793015</v>
      </c>
      <c r="E245" s="562">
        <f t="shared" si="29"/>
        <v>-252.54791973793931</v>
      </c>
    </row>
    <row r="246" spans="1:5" ht="25.5" x14ac:dyDescent="0.2">
      <c r="A246" s="512"/>
      <c r="B246" s="516" t="s">
        <v>808</v>
      </c>
      <c r="C246" s="561">
        <f t="shared" si="28"/>
        <v>5428.2914556209516</v>
      </c>
      <c r="D246" s="561">
        <f t="shared" si="28"/>
        <v>6345.8695047858791</v>
      </c>
      <c r="E246" s="563">
        <f t="shared" si="29"/>
        <v>917.57804916492751</v>
      </c>
    </row>
    <row r="247" spans="1:5" x14ac:dyDescent="0.2">
      <c r="A247" s="512"/>
      <c r="B247" s="516" t="s">
        <v>809</v>
      </c>
      <c r="C247" s="561">
        <f t="shared" si="28"/>
        <v>7307.9769081241857</v>
      </c>
      <c r="D247" s="561">
        <f t="shared" si="28"/>
        <v>6948.6232771502773</v>
      </c>
      <c r="E247" s="563">
        <f t="shared" si="29"/>
        <v>-359.35363097390837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737</v>
      </c>
      <c r="B249" s="550" t="s">
        <v>734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3594236.3173828409</v>
      </c>
      <c r="D251" s="546">
        <f>((IF((IF(D15=0,0,D26/D15)*D138)=0,0,D59/(IF(D15=0,0,D26/D15)*D138)))-(IF((IF(D17=0,0,D28/D17)*D140)=0,0,D61/(IF(D17=0,0,D28/D17)*D140))))*(IF(D17=0,0,D28/D17)*D140)</f>
        <v>4192047.2537176842</v>
      </c>
      <c r="E251" s="546">
        <f>D251-C251</f>
        <v>597810.93633484328</v>
      </c>
    </row>
    <row r="252" spans="1:5" x14ac:dyDescent="0.2">
      <c r="A252" s="512">
        <v>2</v>
      </c>
      <c r="B252" s="511" t="s">
        <v>720</v>
      </c>
      <c r="C252" s="546">
        <f>IF(C231=0,0,(C228-C231)*C207)+IF(C243=0,0,(C240-C243)*C219)</f>
        <v>88886.640146152989</v>
      </c>
      <c r="D252" s="546">
        <f>IF(D231=0,0,(D228-D231)*D207)+IF(D243=0,0,(D240-D243)*D219)</f>
        <v>-12170.633284471185</v>
      </c>
      <c r="E252" s="546">
        <f>D252-C252</f>
        <v>-101057.27343062418</v>
      </c>
    </row>
    <row r="253" spans="1:5" x14ac:dyDescent="0.2">
      <c r="A253" s="512">
        <v>3</v>
      </c>
      <c r="B253" s="511" t="s">
        <v>735</v>
      </c>
      <c r="C253" s="546">
        <f>IF(C233=0,0,(C228-C233)*C209+IF(C221=0,0,(C240-C245)*C221))</f>
        <v>1578435.8571888448</v>
      </c>
      <c r="D253" s="546">
        <f>IF(D233=0,0,(D228-D233)*D209+IF(D221=0,0,(D240-D245)*D221))</f>
        <v>1789846.448770937</v>
      </c>
      <c r="E253" s="546">
        <f>D253-C253</f>
        <v>211410.59158209222</v>
      </c>
    </row>
    <row r="254" spans="1:5" ht="15" customHeight="1" x14ac:dyDescent="0.2">
      <c r="A254" s="512"/>
      <c r="B254" s="516" t="s">
        <v>736</v>
      </c>
      <c r="C254" s="564">
        <f>+C251+C252+C253</f>
        <v>5261558.8147178385</v>
      </c>
      <c r="D254" s="564">
        <f>+D251+D252+D253</f>
        <v>5969723.0692041498</v>
      </c>
      <c r="E254" s="564">
        <f>D254-C254</f>
        <v>708164.25448631123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810</v>
      </c>
      <c r="B256" s="550" t="s">
        <v>811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702</v>
      </c>
      <c r="C258" s="546">
        <f>+C44</f>
        <v>204296146</v>
      </c>
      <c r="D258" s="549">
        <f>+D44</f>
        <v>184109980</v>
      </c>
      <c r="E258" s="546">
        <f t="shared" ref="E258:E271" si="30">D258-C258</f>
        <v>-20186166</v>
      </c>
    </row>
    <row r="259" spans="1:5" x14ac:dyDescent="0.2">
      <c r="A259" s="512">
        <v>2</v>
      </c>
      <c r="B259" s="511" t="s">
        <v>719</v>
      </c>
      <c r="C259" s="546">
        <f>+(C43-C76)</f>
        <v>81793763</v>
      </c>
      <c r="D259" s="549">
        <f>+(D43-D76)</f>
        <v>70347187</v>
      </c>
      <c r="E259" s="546">
        <f t="shared" si="30"/>
        <v>-11446576</v>
      </c>
    </row>
    <row r="260" spans="1:5" x14ac:dyDescent="0.2">
      <c r="A260" s="512">
        <v>3</v>
      </c>
      <c r="B260" s="511" t="s">
        <v>723</v>
      </c>
      <c r="C260" s="546">
        <f>C195</f>
        <v>7037698</v>
      </c>
      <c r="D260" s="546">
        <f>D195</f>
        <v>7799539</v>
      </c>
      <c r="E260" s="546">
        <f t="shared" si="30"/>
        <v>761841</v>
      </c>
    </row>
    <row r="261" spans="1:5" x14ac:dyDescent="0.2">
      <c r="A261" s="512">
        <v>4</v>
      </c>
      <c r="B261" s="511" t="s">
        <v>724</v>
      </c>
      <c r="C261" s="546">
        <f>C188</f>
        <v>43941413</v>
      </c>
      <c r="D261" s="546">
        <f>D188</f>
        <v>34534290</v>
      </c>
      <c r="E261" s="546">
        <f t="shared" si="30"/>
        <v>-9407123</v>
      </c>
    </row>
    <row r="262" spans="1:5" x14ac:dyDescent="0.2">
      <c r="A262" s="512">
        <v>5</v>
      </c>
      <c r="B262" s="511" t="s">
        <v>725</v>
      </c>
      <c r="C262" s="546">
        <f>C191</f>
        <v>1429460</v>
      </c>
      <c r="D262" s="546">
        <f>D191</f>
        <v>1318490</v>
      </c>
      <c r="E262" s="546">
        <f t="shared" si="30"/>
        <v>-110970</v>
      </c>
    </row>
    <row r="263" spans="1:5" x14ac:dyDescent="0.2">
      <c r="A263" s="512">
        <v>6</v>
      </c>
      <c r="B263" s="511" t="s">
        <v>726</v>
      </c>
      <c r="C263" s="546">
        <f>+C259+C260+C261+C262</f>
        <v>134202334</v>
      </c>
      <c r="D263" s="546">
        <f>+D259+D260+D261+D262</f>
        <v>113999506</v>
      </c>
      <c r="E263" s="546">
        <f t="shared" si="30"/>
        <v>-20202828</v>
      </c>
    </row>
    <row r="264" spans="1:5" x14ac:dyDescent="0.2">
      <c r="A264" s="512">
        <v>7</v>
      </c>
      <c r="B264" s="511" t="s">
        <v>626</v>
      </c>
      <c r="C264" s="546">
        <f>+C258-C263</f>
        <v>70093812</v>
      </c>
      <c r="D264" s="546">
        <f>+D258-D263</f>
        <v>70110474</v>
      </c>
      <c r="E264" s="546">
        <f t="shared" si="30"/>
        <v>16662</v>
      </c>
    </row>
    <row r="265" spans="1:5" x14ac:dyDescent="0.2">
      <c r="A265" s="512">
        <v>8</v>
      </c>
      <c r="B265" s="511" t="s">
        <v>812</v>
      </c>
      <c r="C265" s="565">
        <f>C192</f>
        <v>386028</v>
      </c>
      <c r="D265" s="565">
        <f>D192</f>
        <v>0</v>
      </c>
      <c r="E265" s="546">
        <f t="shared" si="30"/>
        <v>-386028</v>
      </c>
    </row>
    <row r="266" spans="1:5" x14ac:dyDescent="0.2">
      <c r="A266" s="512">
        <v>9</v>
      </c>
      <c r="B266" s="511" t="s">
        <v>813</v>
      </c>
      <c r="C266" s="546">
        <f>+C264+C265</f>
        <v>70479840</v>
      </c>
      <c r="D266" s="546">
        <f>+D264+D265</f>
        <v>70110474</v>
      </c>
      <c r="E266" s="565">
        <f t="shared" si="30"/>
        <v>-369366</v>
      </c>
    </row>
    <row r="267" spans="1:5" x14ac:dyDescent="0.2">
      <c r="A267" s="512">
        <v>10</v>
      </c>
      <c r="B267" s="511" t="s">
        <v>814</v>
      </c>
      <c r="C267" s="566">
        <f>IF(C258=0,0,C266/C258)</f>
        <v>0.34498859317688746</v>
      </c>
      <c r="D267" s="566">
        <f>IF(D258=0,0,D266/D258)</f>
        <v>0.3808075694755928</v>
      </c>
      <c r="E267" s="567">
        <f t="shared" si="30"/>
        <v>3.5818976298705341E-2</v>
      </c>
    </row>
    <row r="268" spans="1:5" x14ac:dyDescent="0.2">
      <c r="A268" s="512">
        <v>11</v>
      </c>
      <c r="B268" s="511" t="s">
        <v>688</v>
      </c>
      <c r="C268" s="546">
        <f>+C260*C267</f>
        <v>2427925.5322237946</v>
      </c>
      <c r="D268" s="568">
        <f>+D260*D267</f>
        <v>2970123.4896200956</v>
      </c>
      <c r="E268" s="546">
        <f t="shared" si="30"/>
        <v>542197.95739630098</v>
      </c>
    </row>
    <row r="269" spans="1:5" x14ac:dyDescent="0.2">
      <c r="A269" s="512">
        <v>12</v>
      </c>
      <c r="B269" s="511" t="s">
        <v>815</v>
      </c>
      <c r="C269" s="546">
        <f>((C17+C18+C28+C29)*C267)-(C50+C51+C61+C62)</f>
        <v>2140742.6854576496</v>
      </c>
      <c r="D269" s="568">
        <f>((D17+D18+D28+D29)*D267)-(D50+D51+D61+D62)</f>
        <v>2360306.4057630338</v>
      </c>
      <c r="E269" s="546">
        <f t="shared" si="30"/>
        <v>219563.72030538414</v>
      </c>
    </row>
    <row r="270" spans="1:5" s="569" customFormat="1" x14ac:dyDescent="0.2">
      <c r="A270" s="570">
        <v>13</v>
      </c>
      <c r="B270" s="571" t="s">
        <v>816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817</v>
      </c>
      <c r="C271" s="546">
        <f>+C268+C269+C270</f>
        <v>4568668.2176814443</v>
      </c>
      <c r="D271" s="546">
        <f>+D268+D269+D270</f>
        <v>5330429.8953831289</v>
      </c>
      <c r="E271" s="549">
        <f t="shared" si="30"/>
        <v>761761.67770168465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818</v>
      </c>
      <c r="B273" s="550" t="s">
        <v>819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820</v>
      </c>
      <c r="C275" s="340"/>
      <c r="D275" s="340"/>
      <c r="E275" s="520"/>
    </row>
    <row r="276" spans="1:5" x14ac:dyDescent="0.2">
      <c r="A276" s="512">
        <v>1</v>
      </c>
      <c r="B276" s="511" t="s">
        <v>628</v>
      </c>
      <c r="C276" s="547">
        <f t="shared" ref="C276:D284" si="31">IF(C14=0,0,+C47/C14)</f>
        <v>0.39515123176579348</v>
      </c>
      <c r="D276" s="547">
        <f t="shared" si="31"/>
        <v>0.44735416613241397</v>
      </c>
      <c r="E276" s="574">
        <f t="shared" ref="E276:E284" si="32">D276-C276</f>
        <v>5.220293436662049E-2</v>
      </c>
    </row>
    <row r="277" spans="1:5" x14ac:dyDescent="0.2">
      <c r="A277" s="512">
        <v>2</v>
      </c>
      <c r="B277" s="511" t="s">
        <v>607</v>
      </c>
      <c r="C277" s="547">
        <f t="shared" si="31"/>
        <v>0.33129613521410778</v>
      </c>
      <c r="D277" s="547">
        <f t="shared" si="31"/>
        <v>0.36173017927859341</v>
      </c>
      <c r="E277" s="574">
        <f t="shared" si="32"/>
        <v>3.0434044064485632E-2</v>
      </c>
    </row>
    <row r="278" spans="1:5" x14ac:dyDescent="0.2">
      <c r="A278" s="512">
        <v>3</v>
      </c>
      <c r="B278" s="511" t="s">
        <v>753</v>
      </c>
      <c r="C278" s="547">
        <f t="shared" si="31"/>
        <v>0.25545852701459859</v>
      </c>
      <c r="D278" s="547">
        <f t="shared" si="31"/>
        <v>0.28952308882750033</v>
      </c>
      <c r="E278" s="574">
        <f t="shared" si="32"/>
        <v>3.4064561812901739E-2</v>
      </c>
    </row>
    <row r="279" spans="1:5" x14ac:dyDescent="0.2">
      <c r="A279" s="512">
        <v>4</v>
      </c>
      <c r="B279" s="511" t="s">
        <v>114</v>
      </c>
      <c r="C279" s="547">
        <f t="shared" si="31"/>
        <v>0.26038298601741816</v>
      </c>
      <c r="D279" s="547">
        <f t="shared" si="31"/>
        <v>0.28827010256837871</v>
      </c>
      <c r="E279" s="574">
        <f t="shared" si="32"/>
        <v>2.7887116550960545E-2</v>
      </c>
    </row>
    <row r="280" spans="1:5" x14ac:dyDescent="0.2">
      <c r="A280" s="512">
        <v>5</v>
      </c>
      <c r="B280" s="511" t="s">
        <v>720</v>
      </c>
      <c r="C280" s="547">
        <f t="shared" si="31"/>
        <v>8.0529210643674742E-2</v>
      </c>
      <c r="D280" s="547">
        <f t="shared" si="31"/>
        <v>0.61877940721915037</v>
      </c>
      <c r="E280" s="574">
        <f t="shared" si="32"/>
        <v>0.53825019657547557</v>
      </c>
    </row>
    <row r="281" spans="1:5" x14ac:dyDescent="0.2">
      <c r="A281" s="512">
        <v>6</v>
      </c>
      <c r="B281" s="511" t="s">
        <v>418</v>
      </c>
      <c r="C281" s="547">
        <f t="shared" si="31"/>
        <v>0.24896415415224799</v>
      </c>
      <c r="D281" s="547">
        <f t="shared" si="31"/>
        <v>0.4363514394504861</v>
      </c>
      <c r="E281" s="574">
        <f t="shared" si="32"/>
        <v>0.18738728529823812</v>
      </c>
    </row>
    <row r="282" spans="1:5" x14ac:dyDescent="0.2">
      <c r="A282" s="512">
        <v>7</v>
      </c>
      <c r="B282" s="511" t="s">
        <v>735</v>
      </c>
      <c r="C282" s="547">
        <f t="shared" si="31"/>
        <v>1.4726615871261225E-2</v>
      </c>
      <c r="D282" s="547">
        <f t="shared" si="31"/>
        <v>1.8952445631802792E-2</v>
      </c>
      <c r="E282" s="574">
        <f t="shared" si="32"/>
        <v>4.2258297605415676E-3</v>
      </c>
    </row>
    <row r="283" spans="1:5" ht="29.25" customHeight="1" x14ac:dyDescent="0.2">
      <c r="A283" s="512"/>
      <c r="B283" s="516" t="s">
        <v>821</v>
      </c>
      <c r="C283" s="575">
        <f t="shared" si="31"/>
        <v>0.32524274873214909</v>
      </c>
      <c r="D283" s="575">
        <f t="shared" si="31"/>
        <v>0.35331447569752306</v>
      </c>
      <c r="E283" s="576">
        <f t="shared" si="32"/>
        <v>2.8071726965373967E-2</v>
      </c>
    </row>
    <row r="284" spans="1:5" x14ac:dyDescent="0.2">
      <c r="A284" s="512"/>
      <c r="B284" s="516" t="s">
        <v>822</v>
      </c>
      <c r="C284" s="575">
        <f t="shared" si="31"/>
        <v>0.34739028795888494</v>
      </c>
      <c r="D284" s="575">
        <f t="shared" si="31"/>
        <v>0.38327842340477974</v>
      </c>
      <c r="E284" s="576">
        <f t="shared" si="32"/>
        <v>3.5888135445894809E-2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823</v>
      </c>
      <c r="C286" s="520"/>
      <c r="D286" s="520"/>
      <c r="E286" s="520"/>
    </row>
    <row r="287" spans="1:5" x14ac:dyDescent="0.2">
      <c r="A287" s="512">
        <v>1</v>
      </c>
      <c r="B287" s="511" t="s">
        <v>628</v>
      </c>
      <c r="C287" s="547">
        <f t="shared" ref="C287:D295" si="33">IF(C25=0,0,+C58/C25)</f>
        <v>0.40956565126724359</v>
      </c>
      <c r="D287" s="547">
        <f t="shared" si="33"/>
        <v>0.43371813572824353</v>
      </c>
      <c r="E287" s="574">
        <f t="shared" ref="E287:E295" si="34">D287-C287</f>
        <v>2.4152484460999935E-2</v>
      </c>
    </row>
    <row r="288" spans="1:5" x14ac:dyDescent="0.2">
      <c r="A288" s="512">
        <v>2</v>
      </c>
      <c r="B288" s="511" t="s">
        <v>607</v>
      </c>
      <c r="C288" s="547">
        <f t="shared" si="33"/>
        <v>0.25004736872890332</v>
      </c>
      <c r="D288" s="547">
        <f t="shared" si="33"/>
        <v>0.31056174355832505</v>
      </c>
      <c r="E288" s="574">
        <f t="shared" si="34"/>
        <v>6.0514374829421735E-2</v>
      </c>
    </row>
    <row r="289" spans="1:5" x14ac:dyDescent="0.2">
      <c r="A289" s="512">
        <v>3</v>
      </c>
      <c r="B289" s="511" t="s">
        <v>753</v>
      </c>
      <c r="C289" s="547">
        <f t="shared" si="33"/>
        <v>0.2107817303265703</v>
      </c>
      <c r="D289" s="547">
        <f t="shared" si="33"/>
        <v>0.24668470863970374</v>
      </c>
      <c r="E289" s="574">
        <f t="shared" si="34"/>
        <v>3.5902978313133438E-2</v>
      </c>
    </row>
    <row r="290" spans="1:5" x14ac:dyDescent="0.2">
      <c r="A290" s="512">
        <v>4</v>
      </c>
      <c r="B290" s="511" t="s">
        <v>114</v>
      </c>
      <c r="C290" s="547">
        <f t="shared" si="33"/>
        <v>0.21210705770665889</v>
      </c>
      <c r="D290" s="547">
        <f t="shared" si="33"/>
        <v>0.24336143996699855</v>
      </c>
      <c r="E290" s="574">
        <f t="shared" si="34"/>
        <v>3.1254382260339664E-2</v>
      </c>
    </row>
    <row r="291" spans="1:5" x14ac:dyDescent="0.2">
      <c r="A291" s="512">
        <v>5</v>
      </c>
      <c r="B291" s="511" t="s">
        <v>720</v>
      </c>
      <c r="C291" s="547">
        <f t="shared" si="33"/>
        <v>0.15997570946932491</v>
      </c>
      <c r="D291" s="547">
        <f t="shared" si="33"/>
        <v>0.6188014830779347</v>
      </c>
      <c r="E291" s="574">
        <f t="shared" si="34"/>
        <v>0.45882577360860977</v>
      </c>
    </row>
    <row r="292" spans="1:5" x14ac:dyDescent="0.2">
      <c r="A292" s="512">
        <v>6</v>
      </c>
      <c r="B292" s="511" t="s">
        <v>418</v>
      </c>
      <c r="C292" s="547">
        <f t="shared" si="33"/>
        <v>0.27076188286737074</v>
      </c>
      <c r="D292" s="547">
        <f t="shared" si="33"/>
        <v>0.38532621611246182</v>
      </c>
      <c r="E292" s="574">
        <f t="shared" si="34"/>
        <v>0.11456433324509108</v>
      </c>
    </row>
    <row r="293" spans="1:5" x14ac:dyDescent="0.2">
      <c r="A293" s="512">
        <v>7</v>
      </c>
      <c r="B293" s="511" t="s">
        <v>735</v>
      </c>
      <c r="C293" s="547">
        <f t="shared" si="33"/>
        <v>8.0140070943909292E-2</v>
      </c>
      <c r="D293" s="547">
        <f t="shared" si="33"/>
        <v>6.569549147283521E-2</v>
      </c>
      <c r="E293" s="574">
        <f t="shared" si="34"/>
        <v>-1.4444579471074082E-2</v>
      </c>
    </row>
    <row r="294" spans="1:5" ht="29.25" customHeight="1" x14ac:dyDescent="0.2">
      <c r="A294" s="512"/>
      <c r="B294" s="516" t="s">
        <v>824</v>
      </c>
      <c r="C294" s="575">
        <f t="shared" si="33"/>
        <v>0.23770482652507399</v>
      </c>
      <c r="D294" s="575">
        <f t="shared" si="33"/>
        <v>0.29120659019511436</v>
      </c>
      <c r="E294" s="576">
        <f t="shared" si="34"/>
        <v>5.3501763670040364E-2</v>
      </c>
    </row>
    <row r="295" spans="1:5" x14ac:dyDescent="0.2">
      <c r="A295" s="512"/>
      <c r="B295" s="516" t="s">
        <v>825</v>
      </c>
      <c r="C295" s="575">
        <f t="shared" si="33"/>
        <v>0.33713737923500758</v>
      </c>
      <c r="D295" s="575">
        <f t="shared" si="33"/>
        <v>0.36953375240772973</v>
      </c>
      <c r="E295" s="576">
        <f t="shared" si="34"/>
        <v>3.2396373172722148E-2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826</v>
      </c>
      <c r="B297" s="501" t="s">
        <v>827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828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626</v>
      </c>
      <c r="C301" s="514">
        <f>+C48+C47+C50+C51+C52+C59+C58+C61+C62+C63</f>
        <v>70061768</v>
      </c>
      <c r="D301" s="514">
        <f>+D48+D47+D50+D51+D52+D59+D58+D61+D62+D63</f>
        <v>69345228</v>
      </c>
      <c r="E301" s="514">
        <f>D301-C301</f>
        <v>-716540</v>
      </c>
    </row>
    <row r="302" spans="1:5" ht="25.5" x14ac:dyDescent="0.2">
      <c r="A302" s="512">
        <v>2</v>
      </c>
      <c r="B302" s="511" t="s">
        <v>829</v>
      </c>
      <c r="C302" s="546">
        <f>C265</f>
        <v>386028</v>
      </c>
      <c r="D302" s="546">
        <f>D265</f>
        <v>0</v>
      </c>
      <c r="E302" s="514">
        <f>D302-C302</f>
        <v>-386028</v>
      </c>
    </row>
    <row r="303" spans="1:5" x14ac:dyDescent="0.2">
      <c r="A303" s="512"/>
      <c r="B303" s="516" t="s">
        <v>830</v>
      </c>
      <c r="C303" s="517">
        <f>+C301+C302</f>
        <v>70447796</v>
      </c>
      <c r="D303" s="517">
        <f>+D301+D302</f>
        <v>69345228</v>
      </c>
      <c r="E303" s="517">
        <f>D303-C303</f>
        <v>-1102568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831</v>
      </c>
      <c r="C305" s="513">
        <v>8168129</v>
      </c>
      <c r="D305" s="578">
        <v>10515305</v>
      </c>
      <c r="E305" s="579">
        <f>D305-C305</f>
        <v>2347176</v>
      </c>
    </row>
    <row r="306" spans="1:5" x14ac:dyDescent="0.2">
      <c r="A306" s="512">
        <v>4</v>
      </c>
      <c r="B306" s="516" t="s">
        <v>832</v>
      </c>
      <c r="C306" s="580">
        <f>+C303+C305</f>
        <v>78615925</v>
      </c>
      <c r="D306" s="580">
        <f>+D303+D305</f>
        <v>79860533</v>
      </c>
      <c r="E306" s="580">
        <f>D306-C306</f>
        <v>1244608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833</v>
      </c>
      <c r="C308" s="513">
        <v>78615925</v>
      </c>
      <c r="D308" s="513">
        <v>79860535</v>
      </c>
      <c r="E308" s="514">
        <f>D308-C308</f>
        <v>1244610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834</v>
      </c>
      <c r="C310" s="581">
        <f>C306-C308</f>
        <v>0</v>
      </c>
      <c r="D310" s="582">
        <f>D306-D308</f>
        <v>-2</v>
      </c>
      <c r="E310" s="580">
        <f>D310-C310</f>
        <v>-2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835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836</v>
      </c>
      <c r="C314" s="514">
        <f>+C14+C15+C16+C19+C25+C26+C27+C30</f>
        <v>204296146</v>
      </c>
      <c r="D314" s="514">
        <f>+D14+D15+D16+D19+D25+D26+D27+D30</f>
        <v>184109980</v>
      </c>
      <c r="E314" s="514">
        <f>D314-C314</f>
        <v>-20186166</v>
      </c>
    </row>
    <row r="315" spans="1:5" x14ac:dyDescent="0.2">
      <c r="A315" s="512">
        <v>2</v>
      </c>
      <c r="B315" s="583" t="s">
        <v>837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838</v>
      </c>
      <c r="C316" s="581">
        <f>C314+C315</f>
        <v>204296146</v>
      </c>
      <c r="D316" s="581">
        <f>D314+D315</f>
        <v>184109980</v>
      </c>
      <c r="E316" s="517">
        <f>D316-C316</f>
        <v>-20186166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839</v>
      </c>
      <c r="C318" s="513">
        <v>204296146</v>
      </c>
      <c r="D318" s="513">
        <v>184109979</v>
      </c>
      <c r="E318" s="514">
        <f>D318-C318</f>
        <v>-20186167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834</v>
      </c>
      <c r="C320" s="581">
        <f>C316-C318</f>
        <v>0</v>
      </c>
      <c r="D320" s="581">
        <f>D316-D318</f>
        <v>1</v>
      </c>
      <c r="E320" s="517">
        <f>D320-C320</f>
        <v>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840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841</v>
      </c>
      <c r="C324" s="513">
        <f>+C193+C194</f>
        <v>7037698</v>
      </c>
      <c r="D324" s="513">
        <f>+D193+D194</f>
        <v>7799539</v>
      </c>
      <c r="E324" s="514">
        <f>D324-C324</f>
        <v>761841</v>
      </c>
    </row>
    <row r="325" spans="1:5" x14ac:dyDescent="0.2">
      <c r="A325" s="512">
        <v>2</v>
      </c>
      <c r="B325" s="511" t="s">
        <v>842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843</v>
      </c>
      <c r="C326" s="581">
        <f>C324+C325</f>
        <v>7037698</v>
      </c>
      <c r="D326" s="581">
        <f>D324+D325</f>
        <v>7799539</v>
      </c>
      <c r="E326" s="517">
        <f>D326-C326</f>
        <v>761841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844</v>
      </c>
      <c r="C328" s="513">
        <v>7037698</v>
      </c>
      <c r="D328" s="513">
        <v>7799539</v>
      </c>
      <c r="E328" s="514">
        <f>D328-C328</f>
        <v>761841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845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598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846</v>
      </c>
      <c r="B5" s="696"/>
      <c r="C5" s="697"/>
      <c r="D5" s="585"/>
    </row>
    <row r="6" spans="1:58" s="338" customFormat="1" ht="15.75" customHeight="1" x14ac:dyDescent="0.25">
      <c r="A6" s="695" t="s">
        <v>847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848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849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752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628</v>
      </c>
      <c r="C14" s="513">
        <v>30377323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607</v>
      </c>
      <c r="C15" s="515">
        <v>57173474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753</v>
      </c>
      <c r="C16" s="515">
        <v>7680403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7651286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720</v>
      </c>
      <c r="C18" s="515">
        <v>29117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105839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735</v>
      </c>
      <c r="C20" s="515">
        <v>1800823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754</v>
      </c>
      <c r="C21" s="517">
        <f>SUM(C15+C16+C19)</f>
        <v>64959716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694</v>
      </c>
      <c r="C22" s="517">
        <f>SUM(C14+C21)</f>
        <v>95337039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755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628</v>
      </c>
      <c r="C25" s="513">
        <v>48791363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607</v>
      </c>
      <c r="C26" s="515">
        <v>27391983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753</v>
      </c>
      <c r="C27" s="515">
        <v>12370783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12261281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720</v>
      </c>
      <c r="C29" s="515">
        <v>109502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218812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735</v>
      </c>
      <c r="C31" s="518">
        <v>3757990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756</v>
      </c>
      <c r="C32" s="517">
        <f>SUM(C26+C27+C30)</f>
        <v>39981578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700</v>
      </c>
      <c r="C33" s="517">
        <f>SUM(C25+C32)</f>
        <v>88772941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625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850</v>
      </c>
      <c r="C36" s="514">
        <f>SUM(C14+C25)</f>
        <v>79168686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851</v>
      </c>
      <c r="C37" s="518">
        <f>SUM(C21+C32)</f>
        <v>104941294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625</v>
      </c>
      <c r="C38" s="517">
        <f>SUM(+C36+C37)</f>
        <v>184109980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765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628</v>
      </c>
      <c r="C41" s="513">
        <v>13589422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607</v>
      </c>
      <c r="C42" s="515">
        <v>20681371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753</v>
      </c>
      <c r="C43" s="515">
        <v>2223654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2205637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720</v>
      </c>
      <c r="C45" s="515">
        <v>18017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46183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735</v>
      </c>
      <c r="C47" s="515">
        <v>34130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766</v>
      </c>
      <c r="C48" s="517">
        <f>SUM(C42+C43+C46)</f>
        <v>22951208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695</v>
      </c>
      <c r="C49" s="517">
        <f>SUM(C41+C48)</f>
        <v>36540630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767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628</v>
      </c>
      <c r="C52" s="513">
        <v>21161699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607</v>
      </c>
      <c r="C53" s="515">
        <v>8506902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753</v>
      </c>
      <c r="C54" s="515">
        <v>3051683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2983923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720</v>
      </c>
      <c r="C56" s="515">
        <v>67760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84314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735</v>
      </c>
      <c r="C58" s="515">
        <v>246883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768</v>
      </c>
      <c r="C59" s="517">
        <f>SUM(C53+C54+C57)</f>
        <v>11642899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701</v>
      </c>
      <c r="C60" s="517">
        <f>SUM(C52+C59)</f>
        <v>32804598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626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852</v>
      </c>
      <c r="C63" s="514">
        <f>SUM(C41+C52)</f>
        <v>34751121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853</v>
      </c>
      <c r="C64" s="518">
        <f>SUM(C48+C59)</f>
        <v>34594107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626</v>
      </c>
      <c r="C65" s="517">
        <f>SUM(+C63+C64)</f>
        <v>69345228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854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855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628</v>
      </c>
      <c r="C70" s="530">
        <v>1797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607</v>
      </c>
      <c r="C71" s="530">
        <v>2050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753</v>
      </c>
      <c r="C72" s="530">
        <v>519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517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720</v>
      </c>
      <c r="C74" s="530">
        <v>2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735</v>
      </c>
      <c r="C76" s="545">
        <v>78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783</v>
      </c>
      <c r="C77" s="532">
        <f>SUM(C71+C72+C75)</f>
        <v>2577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697</v>
      </c>
      <c r="C78" s="596">
        <f>SUM(C70+C77)</f>
        <v>4374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788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628</v>
      </c>
      <c r="C81" s="541">
        <v>1.1516599999999999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607</v>
      </c>
      <c r="C82" s="541">
        <v>1.5190999999999999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753</v>
      </c>
      <c r="C83" s="541">
        <f>((C73*C84)+(C74*C85))/(C73+C74)</f>
        <v>0.9497895953757225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0.95099999999999996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720</v>
      </c>
      <c r="C85" s="541">
        <v>0.63690000000000002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0.89710000000000001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735</v>
      </c>
      <c r="C87" s="541">
        <v>1.2761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789</v>
      </c>
      <c r="C88" s="543">
        <f>((C71*C82)+(C73*C84)+(C74*C85)+(C75*C86))/(C71+C73+C74+C75)</f>
        <v>1.4025116802483506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698</v>
      </c>
      <c r="C89" s="543">
        <f>((C70*C81)+(C71*C82)+(C73*C84)+(C74*C85)+(C75*C86))/(C70+C71+C73+C74+C75)</f>
        <v>1.2994525880201189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790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791</v>
      </c>
      <c r="C92" s="513">
        <v>71322702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792</v>
      </c>
      <c r="C93" s="546">
        <v>36788412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640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724</v>
      </c>
      <c r="C95" s="513">
        <f>+C92-C93</f>
        <v>34534290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642</v>
      </c>
      <c r="C96" s="597">
        <f>(+C92-C93)/C92</f>
        <v>0.48419772430943514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739</v>
      </c>
      <c r="C98" s="513">
        <v>2287171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725</v>
      </c>
      <c r="C99" s="513">
        <v>1318490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856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794</v>
      </c>
      <c r="C103" s="513">
        <v>187766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795</v>
      </c>
      <c r="C104" s="513">
        <v>7611773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796</v>
      </c>
      <c r="C105" s="578">
        <f>+C103+C104</f>
        <v>7799539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797</v>
      </c>
      <c r="C107" s="513">
        <v>653094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682</v>
      </c>
      <c r="C108" s="513">
        <v>85587522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827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828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626</v>
      </c>
      <c r="C114" s="514">
        <f>+C65</f>
        <v>69345228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829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830</v>
      </c>
      <c r="C116" s="517">
        <f>+C114+C115</f>
        <v>69345228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831</v>
      </c>
      <c r="C118" s="578">
        <v>10515305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832</v>
      </c>
      <c r="C119" s="580">
        <f>+C116+C118</f>
        <v>79860533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833</v>
      </c>
      <c r="C121" s="513">
        <v>79860535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834</v>
      </c>
      <c r="C123" s="582">
        <f>C119-C121</f>
        <v>-2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835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836</v>
      </c>
      <c r="C127" s="514">
        <f>+C38</f>
        <v>184109980</v>
      </c>
      <c r="D127" s="588"/>
      <c r="AR127" s="507"/>
    </row>
    <row r="128" spans="1:58" s="506" customFormat="1" x14ac:dyDescent="0.2">
      <c r="A128" s="512">
        <v>2</v>
      </c>
      <c r="B128" s="583" t="s">
        <v>837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838</v>
      </c>
      <c r="C129" s="581">
        <f>C127+C128</f>
        <v>184109980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839</v>
      </c>
      <c r="C131" s="513">
        <v>184109979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834</v>
      </c>
      <c r="C133" s="581">
        <f>C129-C131</f>
        <v>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840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841</v>
      </c>
      <c r="C137" s="513">
        <f>C105</f>
        <v>7799539</v>
      </c>
      <c r="D137" s="588"/>
      <c r="AR137" s="507"/>
    </row>
    <row r="138" spans="1:44" s="506" customFormat="1" x14ac:dyDescent="0.2">
      <c r="A138" s="512">
        <v>2</v>
      </c>
      <c r="B138" s="511" t="s">
        <v>857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843</v>
      </c>
      <c r="C139" s="581">
        <f>C137+C138</f>
        <v>7799539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858</v>
      </c>
      <c r="C141" s="513">
        <v>7799539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845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859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602</v>
      </c>
      <c r="D8" s="35" t="s">
        <v>602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604</v>
      </c>
      <c r="D9" s="607" t="s">
        <v>605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860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861</v>
      </c>
      <c r="C12" s="49">
        <v>52</v>
      </c>
      <c r="D12" s="49">
        <v>42</v>
      </c>
      <c r="E12" s="49">
        <f>+D12-C12</f>
        <v>-10</v>
      </c>
      <c r="F12" s="70">
        <f>IF(C12=0,0,+E12/C12)</f>
        <v>-0.19230769230769232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862</v>
      </c>
      <c r="C13" s="49">
        <v>31</v>
      </c>
      <c r="D13" s="49">
        <v>22</v>
      </c>
      <c r="E13" s="49">
        <f>+D13-C13</f>
        <v>-9</v>
      </c>
      <c r="F13" s="70">
        <f>IF(C13=0,0,+E13/C13)</f>
        <v>-0.29032258064516131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863</v>
      </c>
      <c r="C15" s="51">
        <v>299029</v>
      </c>
      <c r="D15" s="51">
        <v>187766</v>
      </c>
      <c r="E15" s="51">
        <f>+D15-C15</f>
        <v>-111263</v>
      </c>
      <c r="F15" s="70">
        <f>IF(C15=0,0,+E15/C15)</f>
        <v>-0.3720809687354738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864</v>
      </c>
      <c r="C16" s="27">
        <f>IF(C13=0,0,+C15/+C13)</f>
        <v>9646.0967741935492</v>
      </c>
      <c r="D16" s="27">
        <f>IF(D13=0,0,+D15/+D13)</f>
        <v>8534.818181818182</v>
      </c>
      <c r="E16" s="27">
        <f>+D16-C16</f>
        <v>-1111.2785923753672</v>
      </c>
      <c r="F16" s="28">
        <f>IF(C16=0,0,+E16/C16)</f>
        <v>-0.11520500139998589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865</v>
      </c>
      <c r="C18" s="210">
        <v>0.40242</v>
      </c>
      <c r="D18" s="210">
        <v>0.41985899999999998</v>
      </c>
      <c r="E18" s="210">
        <f>+D18-C18</f>
        <v>1.7438999999999982E-2</v>
      </c>
      <c r="F18" s="70">
        <f>IF(C18=0,0,+E18/C18)</f>
        <v>4.333532130609806E-2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866</v>
      </c>
      <c r="C19" s="27">
        <f>+C15*C18</f>
        <v>120335.25018</v>
      </c>
      <c r="D19" s="27">
        <f>+D15*D18</f>
        <v>78835.244993999993</v>
      </c>
      <c r="E19" s="27">
        <f>+D19-C19</f>
        <v>-41500.005186000009</v>
      </c>
      <c r="F19" s="28">
        <f>IF(C19=0,0,+E19/C19)</f>
        <v>-0.3448698957614118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867</v>
      </c>
      <c r="C20" s="27">
        <f>IF(C13=0,0,+C19/C13)</f>
        <v>3881.7822638709677</v>
      </c>
      <c r="D20" s="27">
        <f>IF(D13=0,0,+D19/D13)</f>
        <v>3583.4202269999996</v>
      </c>
      <c r="E20" s="27">
        <f>+D20-C20</f>
        <v>-298.36203687096804</v>
      </c>
      <c r="F20" s="28">
        <f>IF(C20=0,0,+E20/C20)</f>
        <v>-7.686212584562567E-2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868</v>
      </c>
      <c r="C22" s="51">
        <v>184494</v>
      </c>
      <c r="D22" s="51">
        <v>110349</v>
      </c>
      <c r="E22" s="51">
        <f>+D22-C22</f>
        <v>-74145</v>
      </c>
      <c r="F22" s="70">
        <f>IF(C22=0,0,+E22/C22)</f>
        <v>-0.4018829880646525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869</v>
      </c>
      <c r="C23" s="49">
        <v>102356</v>
      </c>
      <c r="D23" s="49">
        <v>18605</v>
      </c>
      <c r="E23" s="49">
        <f>+D23-C23</f>
        <v>-83751</v>
      </c>
      <c r="F23" s="70">
        <f>IF(C23=0,0,+E23/C23)</f>
        <v>-0.81823244362812142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870</v>
      </c>
      <c r="C24" s="49">
        <v>12179</v>
      </c>
      <c r="D24" s="49">
        <v>58812</v>
      </c>
      <c r="E24" s="49">
        <f>+D24-C24</f>
        <v>46633</v>
      </c>
      <c r="F24" s="70">
        <f>IF(C24=0,0,+E24/C24)</f>
        <v>3.8289678955579274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863</v>
      </c>
      <c r="C25" s="27">
        <f>+C22+C23+C24</f>
        <v>299029</v>
      </c>
      <c r="D25" s="27">
        <f>+D22+D23+D24</f>
        <v>187766</v>
      </c>
      <c r="E25" s="27">
        <f>+E22+E23+E24</f>
        <v>-111263</v>
      </c>
      <c r="F25" s="28">
        <f>IF(C25=0,0,+E25/C25)</f>
        <v>-0.3720809687354738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871</v>
      </c>
      <c r="C27" s="49">
        <v>72</v>
      </c>
      <c r="D27" s="49">
        <v>25</v>
      </c>
      <c r="E27" s="49">
        <f>+D27-C27</f>
        <v>-47</v>
      </c>
      <c r="F27" s="70">
        <f>IF(C27=0,0,+E27/C27)</f>
        <v>-0.65277777777777779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872</v>
      </c>
      <c r="C28" s="49">
        <v>8</v>
      </c>
      <c r="D28" s="49">
        <v>6</v>
      </c>
      <c r="E28" s="49">
        <f>+D28-C28</f>
        <v>-2</v>
      </c>
      <c r="F28" s="70">
        <f>IF(C28=0,0,+E28/C28)</f>
        <v>-0.25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873</v>
      </c>
      <c r="C29" s="49">
        <v>59</v>
      </c>
      <c r="D29" s="49">
        <v>29</v>
      </c>
      <c r="E29" s="49">
        <f>+D29-C29</f>
        <v>-30</v>
      </c>
      <c r="F29" s="70">
        <f>IF(C29=0,0,+E29/C29)</f>
        <v>-0.50847457627118642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874</v>
      </c>
      <c r="C30" s="49">
        <v>3</v>
      </c>
      <c r="D30" s="49">
        <v>3</v>
      </c>
      <c r="E30" s="49">
        <f>+D30-C30</f>
        <v>0</v>
      </c>
      <c r="F30" s="70">
        <f>IF(C30=0,0,+E30/C30)</f>
        <v>0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875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876</v>
      </c>
      <c r="C33" s="51">
        <v>2246583</v>
      </c>
      <c r="D33" s="51">
        <v>2445282</v>
      </c>
      <c r="E33" s="51">
        <f>+D33-C33</f>
        <v>198699</v>
      </c>
      <c r="F33" s="70">
        <f>IF(C33=0,0,+E33/C33)</f>
        <v>8.8444985117398289E-2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877</v>
      </c>
      <c r="C34" s="49">
        <v>4492086</v>
      </c>
      <c r="D34" s="49">
        <v>5166491</v>
      </c>
      <c r="E34" s="49">
        <f>+D34-C34</f>
        <v>674405</v>
      </c>
      <c r="F34" s="70">
        <f>IF(C34=0,0,+E34/C34)</f>
        <v>0.15013180958690461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878</v>
      </c>
      <c r="C35" s="49">
        <v>0</v>
      </c>
      <c r="D35" s="49">
        <v>0</v>
      </c>
      <c r="E35" s="49">
        <f>+D35-C35</f>
        <v>0</v>
      </c>
      <c r="F35" s="70">
        <f>IF(C35=0,0,+E35/C35)</f>
        <v>0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879</v>
      </c>
      <c r="C36" s="27">
        <f>+C33+C34+C35</f>
        <v>6738669</v>
      </c>
      <c r="D36" s="27">
        <f>+D33+D34+D35</f>
        <v>7611773</v>
      </c>
      <c r="E36" s="27">
        <f>+E33+E34+E35</f>
        <v>873104</v>
      </c>
      <c r="F36" s="28">
        <f>IF(C36=0,0,+E36/C36)</f>
        <v>0.12956623926772484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880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881</v>
      </c>
      <c r="C39" s="51">
        <f>+C25</f>
        <v>299029</v>
      </c>
      <c r="D39" s="51">
        <f>+D25</f>
        <v>187766</v>
      </c>
      <c r="E39" s="51">
        <f>+D39-C39</f>
        <v>-111263</v>
      </c>
      <c r="F39" s="70">
        <f>IF(C39=0,0,+E39/C39)</f>
        <v>-0.3720809687354738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882</v>
      </c>
      <c r="C40" s="49">
        <f>+C36</f>
        <v>6738669</v>
      </c>
      <c r="D40" s="49">
        <f>+D36</f>
        <v>7611773</v>
      </c>
      <c r="E40" s="49">
        <f>+D40-C40</f>
        <v>873104</v>
      </c>
      <c r="F40" s="70">
        <f>IF(C40=0,0,+E40/C40)</f>
        <v>0.12956623926772484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883</v>
      </c>
      <c r="C41" s="27">
        <f>+C39+C40</f>
        <v>7037698</v>
      </c>
      <c r="D41" s="27">
        <f>+D39+D40</f>
        <v>7799539</v>
      </c>
      <c r="E41" s="27">
        <f>+E39+E40</f>
        <v>761841</v>
      </c>
      <c r="F41" s="28">
        <f>IF(C41=0,0,+E41/C41)</f>
        <v>0.10825144812977198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884</v>
      </c>
      <c r="C43" s="51">
        <f t="shared" ref="C43:D45" si="0">+C22+C33</f>
        <v>2431077</v>
      </c>
      <c r="D43" s="51">
        <f t="shared" si="0"/>
        <v>2555631</v>
      </c>
      <c r="E43" s="51">
        <f>+D43-C43</f>
        <v>124554</v>
      </c>
      <c r="F43" s="70">
        <f>IF(C43=0,0,+E43/C43)</f>
        <v>5.1234082672000927E-2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885</v>
      </c>
      <c r="C44" s="49">
        <f t="shared" si="0"/>
        <v>4594442</v>
      </c>
      <c r="D44" s="49">
        <f t="shared" si="0"/>
        <v>5185096</v>
      </c>
      <c r="E44" s="49">
        <f>+D44-C44</f>
        <v>590654</v>
      </c>
      <c r="F44" s="70">
        <f>IF(C44=0,0,+E44/C44)</f>
        <v>0.12855837553287211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886</v>
      </c>
      <c r="C45" s="49">
        <f t="shared" si="0"/>
        <v>12179</v>
      </c>
      <c r="D45" s="49">
        <f t="shared" si="0"/>
        <v>58812</v>
      </c>
      <c r="E45" s="49">
        <f>+D45-C45</f>
        <v>46633</v>
      </c>
      <c r="F45" s="70">
        <f>IF(C45=0,0,+E45/C45)</f>
        <v>3.8289678955579274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883</v>
      </c>
      <c r="C46" s="27">
        <f>+C43+C44+C45</f>
        <v>7037698</v>
      </c>
      <c r="D46" s="27">
        <f>+D43+D44+D45</f>
        <v>7799539</v>
      </c>
      <c r="E46" s="27">
        <f>+E43+E44+E45</f>
        <v>761841</v>
      </c>
      <c r="F46" s="28">
        <f>IF(C46=0,0,+E46/C46)</f>
        <v>0.10825144812977198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887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888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889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604</v>
      </c>
      <c r="D9" s="35" t="s">
        <v>605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890</v>
      </c>
      <c r="D10" s="35" t="s">
        <v>890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891</v>
      </c>
      <c r="D11" s="605" t="s">
        <v>891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892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79887595</v>
      </c>
      <c r="D15" s="51">
        <v>71322702</v>
      </c>
      <c r="E15" s="51">
        <f>+D15-C15</f>
        <v>-8564893</v>
      </c>
      <c r="F15" s="70">
        <f>+E15/C15</f>
        <v>-0.10721180178224166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893</v>
      </c>
      <c r="C17" s="51">
        <v>43941413</v>
      </c>
      <c r="D17" s="51">
        <v>34534290</v>
      </c>
      <c r="E17" s="51">
        <f>+D17-C17</f>
        <v>-9407123</v>
      </c>
      <c r="F17" s="70">
        <f>+E17/C17</f>
        <v>-0.21408330678851861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894</v>
      </c>
      <c r="C19" s="27">
        <f>+C15-C17</f>
        <v>35946182</v>
      </c>
      <c r="D19" s="27">
        <f>+D15-D17</f>
        <v>36788412</v>
      </c>
      <c r="E19" s="27">
        <f>+D19-C19</f>
        <v>842230</v>
      </c>
      <c r="F19" s="28">
        <f>+E19/C19</f>
        <v>2.3430304781742885E-2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895</v>
      </c>
      <c r="C21" s="628">
        <f>+C17/C15</f>
        <v>0.55004050378534985</v>
      </c>
      <c r="D21" s="628">
        <f>+D17/D15</f>
        <v>0.48419772430943514</v>
      </c>
      <c r="E21" s="628">
        <f>+D21-C21</f>
        <v>-6.5842779475914714E-2</v>
      </c>
      <c r="F21" s="28">
        <f>+E21/C21</f>
        <v>-0.11970532901266027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896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897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898</v>
      </c>
      <c r="B6" s="632" t="s">
        <v>899</v>
      </c>
      <c r="C6" s="632" t="s">
        <v>900</v>
      </c>
      <c r="D6" s="632" t="s">
        <v>901</v>
      </c>
      <c r="E6" s="632" t="s">
        <v>902</v>
      </c>
    </row>
    <row r="7" spans="1:6" ht="37.5" customHeight="1" x14ac:dyDescent="0.25">
      <c r="A7" s="633" t="s">
        <v>8</v>
      </c>
      <c r="B7" s="634" t="s">
        <v>903</v>
      </c>
      <c r="C7" s="631" t="s">
        <v>904</v>
      </c>
      <c r="D7" s="631" t="s">
        <v>905</v>
      </c>
      <c r="E7" s="631" t="s">
        <v>906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907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908</v>
      </c>
      <c r="C10" s="641">
        <v>128350324</v>
      </c>
      <c r="D10" s="641">
        <v>115664811</v>
      </c>
      <c r="E10" s="641">
        <v>95337039</v>
      </c>
    </row>
    <row r="11" spans="1:6" ht="26.1" customHeight="1" x14ac:dyDescent="0.25">
      <c r="A11" s="639">
        <v>2</v>
      </c>
      <c r="B11" s="640" t="s">
        <v>909</v>
      </c>
      <c r="C11" s="641">
        <v>90789239</v>
      </c>
      <c r="D11" s="641">
        <v>88631335</v>
      </c>
      <c r="E11" s="641">
        <v>88772941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219139563</v>
      </c>
      <c r="D12" s="641">
        <f>+D11+D10</f>
        <v>204296146</v>
      </c>
      <c r="E12" s="641">
        <f>+E11+E10</f>
        <v>184109980</v>
      </c>
    </row>
    <row r="13" spans="1:6" ht="26.1" customHeight="1" x14ac:dyDescent="0.25">
      <c r="A13" s="639">
        <v>4</v>
      </c>
      <c r="B13" s="640" t="s">
        <v>484</v>
      </c>
      <c r="C13" s="641">
        <v>82468718</v>
      </c>
      <c r="D13" s="641">
        <v>78229898</v>
      </c>
      <c r="E13" s="641">
        <v>79860535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910</v>
      </c>
      <c r="C16" s="641">
        <v>88487473</v>
      </c>
      <c r="D16" s="641">
        <v>86047738</v>
      </c>
      <c r="E16" s="641">
        <v>85587522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911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20370</v>
      </c>
      <c r="D19" s="644">
        <v>17708</v>
      </c>
      <c r="E19" s="644">
        <v>17312</v>
      </c>
    </row>
    <row r="20" spans="1:5" ht="26.1" customHeight="1" x14ac:dyDescent="0.25">
      <c r="A20" s="639">
        <v>2</v>
      </c>
      <c r="B20" s="640" t="s">
        <v>373</v>
      </c>
      <c r="C20" s="645">
        <v>4800</v>
      </c>
      <c r="D20" s="645">
        <v>4540</v>
      </c>
      <c r="E20" s="645">
        <v>4374</v>
      </c>
    </row>
    <row r="21" spans="1:5" ht="26.1" customHeight="1" x14ac:dyDescent="0.25">
      <c r="A21" s="639">
        <v>3</v>
      </c>
      <c r="B21" s="640" t="s">
        <v>912</v>
      </c>
      <c r="C21" s="646">
        <f>IF(C20=0,0,+C19/C20)</f>
        <v>4.2437500000000004</v>
      </c>
      <c r="D21" s="646">
        <f>IF(D20=0,0,+D19/D20)</f>
        <v>3.9004405286343613</v>
      </c>
      <c r="E21" s="646">
        <f>IF(E20=0,0,+E19/E20)</f>
        <v>3.9579332418838593</v>
      </c>
    </row>
    <row r="22" spans="1:5" ht="26.1" customHeight="1" x14ac:dyDescent="0.25">
      <c r="A22" s="639">
        <v>4</v>
      </c>
      <c r="B22" s="640" t="s">
        <v>913</v>
      </c>
      <c r="C22" s="645">
        <f>IF(C10=0,0,C19*(C12/C10))</f>
        <v>34778.820646451968</v>
      </c>
      <c r="D22" s="645">
        <f>IF(D10=0,0,D19*(D12/D10))</f>
        <v>31277.240866005479</v>
      </c>
      <c r="E22" s="645">
        <f>IF(E10=0,0,E19*(E12/E10))</f>
        <v>33432.042857550885</v>
      </c>
    </row>
    <row r="23" spans="1:5" ht="26.1" customHeight="1" x14ac:dyDescent="0.25">
      <c r="A23" s="639">
        <v>0</v>
      </c>
      <c r="B23" s="640" t="s">
        <v>914</v>
      </c>
      <c r="C23" s="645">
        <f>IF(C10=0,0,C20*(C12/C10))</f>
        <v>8195.3038342154869</v>
      </c>
      <c r="D23" s="645">
        <f>IF(D10=0,0,D20*(D12/D10))</f>
        <v>8018.8995669564538</v>
      </c>
      <c r="E23" s="645">
        <f>IF(E10=0,0,E20*(E12/E10))</f>
        <v>8446.8435454556129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915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1.2994257145833334</v>
      </c>
      <c r="D26" s="647">
        <v>1.3080150132158592</v>
      </c>
      <c r="E26" s="647">
        <v>1.2994525880201189</v>
      </c>
    </row>
    <row r="27" spans="1:5" ht="26.1" customHeight="1" x14ac:dyDescent="0.25">
      <c r="A27" s="639">
        <v>2</v>
      </c>
      <c r="B27" s="640" t="s">
        <v>916</v>
      </c>
      <c r="C27" s="645">
        <f>C19*C26</f>
        <v>26469.301806062504</v>
      </c>
      <c r="D27" s="645">
        <f>D19*D26</f>
        <v>23162.329854026437</v>
      </c>
      <c r="E27" s="645">
        <f>E19*E26</f>
        <v>22496.123203804298</v>
      </c>
    </row>
    <row r="28" spans="1:5" ht="26.1" customHeight="1" x14ac:dyDescent="0.25">
      <c r="A28" s="639">
        <v>3</v>
      </c>
      <c r="B28" s="640" t="s">
        <v>917</v>
      </c>
      <c r="C28" s="645">
        <f>C20*C26</f>
        <v>6237.2434300000004</v>
      </c>
      <c r="D28" s="645">
        <f>D20*D26</f>
        <v>5938.3881600000004</v>
      </c>
      <c r="E28" s="645">
        <f>E20*E26</f>
        <v>5683.8056200000001</v>
      </c>
    </row>
    <row r="29" spans="1:5" ht="26.1" customHeight="1" x14ac:dyDescent="0.25">
      <c r="A29" s="639">
        <v>4</v>
      </c>
      <c r="B29" s="640" t="s">
        <v>918</v>
      </c>
      <c r="C29" s="645">
        <f>C22*C26</f>
        <v>45192.493870881437</v>
      </c>
      <c r="D29" s="645">
        <f>D22*D26</f>
        <v>40911.100624703766</v>
      </c>
      <c r="E29" s="645">
        <f>E22*E26</f>
        <v>43443.35461404403</v>
      </c>
    </row>
    <row r="30" spans="1:5" ht="26.1" customHeight="1" x14ac:dyDescent="0.25">
      <c r="A30" s="639">
        <v>5</v>
      </c>
      <c r="B30" s="640" t="s">
        <v>919</v>
      </c>
      <c r="C30" s="645">
        <f>C23*C26</f>
        <v>10649.188541002992</v>
      </c>
      <c r="D30" s="645">
        <f>D23*D26</f>
        <v>10488.841023049194</v>
      </c>
      <c r="E30" s="645">
        <f>E23*E26</f>
        <v>10976.272705743333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920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921</v>
      </c>
      <c r="C33" s="641">
        <f>IF(C19=0,0,C12/C19)</f>
        <v>10757.955964653902</v>
      </c>
      <c r="D33" s="641">
        <f>IF(D19=0,0,D12/D19)</f>
        <v>11536.940704766208</v>
      </c>
      <c r="E33" s="641">
        <f>IF(E19=0,0,E12/E19)</f>
        <v>10634.818622920518</v>
      </c>
    </row>
    <row r="34" spans="1:5" ht="26.1" customHeight="1" x14ac:dyDescent="0.25">
      <c r="A34" s="639">
        <v>2</v>
      </c>
      <c r="B34" s="640" t="s">
        <v>922</v>
      </c>
      <c r="C34" s="641">
        <f>IF(C20=0,0,C12/C20)</f>
        <v>45654.075624999998</v>
      </c>
      <c r="D34" s="641">
        <f>IF(D20=0,0,D12/D20)</f>
        <v>44999.151101321586</v>
      </c>
      <c r="E34" s="641">
        <f>IF(E20=0,0,E12/E20)</f>
        <v>42091.90214906264</v>
      </c>
    </row>
    <row r="35" spans="1:5" ht="26.1" customHeight="1" x14ac:dyDescent="0.25">
      <c r="A35" s="639">
        <v>3</v>
      </c>
      <c r="B35" s="640" t="s">
        <v>923</v>
      </c>
      <c r="C35" s="641">
        <f>IF(C22=0,0,C12/C22)</f>
        <v>6300.9486499754548</v>
      </c>
      <c r="D35" s="641">
        <f>IF(D22=0,0,D12/D22)</f>
        <v>6531.7828665010165</v>
      </c>
      <c r="E35" s="641">
        <f>IF(E22=0,0,E12/E22)</f>
        <v>5506.9916243068392</v>
      </c>
    </row>
    <row r="36" spans="1:5" ht="26.1" customHeight="1" x14ac:dyDescent="0.25">
      <c r="A36" s="639">
        <v>4</v>
      </c>
      <c r="B36" s="640" t="s">
        <v>924</v>
      </c>
      <c r="C36" s="641">
        <f>IF(C23=0,0,C12/C23)</f>
        <v>26739.650833333333</v>
      </c>
      <c r="D36" s="641">
        <f>IF(D23=0,0,D12/D23)</f>
        <v>25476.830616740088</v>
      </c>
      <c r="E36" s="641">
        <f>IF(E23=0,0,E12/E23)</f>
        <v>21796.305212620027</v>
      </c>
    </row>
    <row r="37" spans="1:5" ht="26.1" customHeight="1" x14ac:dyDescent="0.25">
      <c r="A37" s="639">
        <v>5</v>
      </c>
      <c r="B37" s="640" t="s">
        <v>925</v>
      </c>
      <c r="C37" s="641">
        <f>IF(C29=0,0,C12/C29)</f>
        <v>4849.0256728495497</v>
      </c>
      <c r="D37" s="641">
        <f>IF(D29=0,0,D12/D29)</f>
        <v>4993.6604706410117</v>
      </c>
      <c r="E37" s="641">
        <f>IF(E29=0,0,E12/E29)</f>
        <v>4237.931937707277</v>
      </c>
    </row>
    <row r="38" spans="1:5" ht="26.1" customHeight="1" x14ac:dyDescent="0.25">
      <c r="A38" s="639">
        <v>6</v>
      </c>
      <c r="B38" s="640" t="s">
        <v>926</v>
      </c>
      <c r="C38" s="641">
        <f>IF(C30=0,0,C12/C30)</f>
        <v>20578.052699155272</v>
      </c>
      <c r="D38" s="641">
        <f>IF(D30=0,0,D12/D30)</f>
        <v>19477.47568592754</v>
      </c>
      <c r="E38" s="641">
        <f>IF(E30=0,0,E12/E30)</f>
        <v>16773.451693092909</v>
      </c>
    </row>
    <row r="39" spans="1:5" ht="26.1" customHeight="1" x14ac:dyDescent="0.25">
      <c r="A39" s="639">
        <v>7</v>
      </c>
      <c r="B39" s="640" t="s">
        <v>927</v>
      </c>
      <c r="C39" s="641">
        <f>IF(C22=0,0,C10/C22)</f>
        <v>3690.4737312619</v>
      </c>
      <c r="D39" s="641">
        <f>IF(D22=0,0,D10/D22)</f>
        <v>3698.0503330047072</v>
      </c>
      <c r="E39" s="641">
        <f>IF(E22=0,0,E10/E22)</f>
        <v>2851.6665704880011</v>
      </c>
    </row>
    <row r="40" spans="1:5" ht="26.1" customHeight="1" x14ac:dyDescent="0.25">
      <c r="A40" s="639">
        <v>8</v>
      </c>
      <c r="B40" s="640" t="s">
        <v>928</v>
      </c>
      <c r="C40" s="641">
        <f>IF(C23=0,0,C10/C23)</f>
        <v>15661.447897042686</v>
      </c>
      <c r="D40" s="641">
        <f>IF(D23=0,0,D10/D23)</f>
        <v>14424.025395781355</v>
      </c>
      <c r="E40" s="641">
        <f>IF(E23=0,0,E10/E23)</f>
        <v>11286.705914103401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929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930</v>
      </c>
      <c r="C43" s="641">
        <f>IF(C19=0,0,C13/C19)</f>
        <v>4048.5379479626904</v>
      </c>
      <c r="D43" s="641">
        <f>IF(D19=0,0,D13/D19)</f>
        <v>4417.7715156991189</v>
      </c>
      <c r="E43" s="641">
        <f>IF(E19=0,0,E13/E19)</f>
        <v>4613.0161159889094</v>
      </c>
    </row>
    <row r="44" spans="1:5" ht="26.1" customHeight="1" x14ac:dyDescent="0.25">
      <c r="A44" s="639">
        <v>2</v>
      </c>
      <c r="B44" s="640" t="s">
        <v>931</v>
      </c>
      <c r="C44" s="641">
        <f>IF(C20=0,0,C13/C20)</f>
        <v>17180.982916666668</v>
      </c>
      <c r="D44" s="641">
        <f>IF(D20=0,0,D13/D20)</f>
        <v>17231.255066079295</v>
      </c>
      <c r="E44" s="641">
        <f>IF(E20=0,0,E13/E20)</f>
        <v>18258.009830818472</v>
      </c>
    </row>
    <row r="45" spans="1:5" ht="26.1" customHeight="1" x14ac:dyDescent="0.25">
      <c r="A45" s="639">
        <v>3</v>
      </c>
      <c r="B45" s="640" t="s">
        <v>932</v>
      </c>
      <c r="C45" s="641">
        <f>IF(C22=0,0,C13/C22)</f>
        <v>2371.233885080379</v>
      </c>
      <c r="D45" s="641">
        <f>IF(D22=0,0,D13/D22)</f>
        <v>2501.1764412066891</v>
      </c>
      <c r="E45" s="641">
        <f>IF(E22=0,0,E13/E22)</f>
        <v>2388.7423015181639</v>
      </c>
    </row>
    <row r="46" spans="1:5" ht="26.1" customHeight="1" x14ac:dyDescent="0.25">
      <c r="A46" s="639">
        <v>4</v>
      </c>
      <c r="B46" s="640" t="s">
        <v>933</v>
      </c>
      <c r="C46" s="641">
        <f>IF(C23=0,0,C13/C23)</f>
        <v>10062.923799809858</v>
      </c>
      <c r="D46" s="641">
        <f>IF(D23=0,0,D13/D23)</f>
        <v>9755.6899605480266</v>
      </c>
      <c r="E46" s="641">
        <f>IF(E23=0,0,E13/E23)</f>
        <v>9454.4825614728979</v>
      </c>
    </row>
    <row r="47" spans="1:5" ht="26.1" customHeight="1" x14ac:dyDescent="0.25">
      <c r="A47" s="639">
        <v>5</v>
      </c>
      <c r="B47" s="640" t="s">
        <v>934</v>
      </c>
      <c r="C47" s="641">
        <f>IF(C29=0,0,C13/C29)</f>
        <v>1824.8321996927125</v>
      </c>
      <c r="D47" s="641">
        <f>IF(D29=0,0,D13/D29)</f>
        <v>1912.1924564591559</v>
      </c>
      <c r="E47" s="641">
        <f>IF(E29=0,0,E13/E29)</f>
        <v>1838.2681473263417</v>
      </c>
    </row>
    <row r="48" spans="1:5" ht="26.1" customHeight="1" x14ac:dyDescent="0.25">
      <c r="A48" s="639">
        <v>6</v>
      </c>
      <c r="B48" s="640" t="s">
        <v>935</v>
      </c>
      <c r="C48" s="641">
        <f>IF(C30=0,0,C13/C30)</f>
        <v>7744.1316474459472</v>
      </c>
      <c r="D48" s="641">
        <f>IF(D30=0,0,D13/D30)</f>
        <v>7458.3929557221863</v>
      </c>
      <c r="E48" s="641">
        <f>IF(E30=0,0,E13/E30)</f>
        <v>7275.742607799184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936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937</v>
      </c>
      <c r="C51" s="641">
        <f>IF(C19=0,0,C16/C19)</f>
        <v>4344.0094747177218</v>
      </c>
      <c r="D51" s="641">
        <f>IF(D19=0,0,D16/D19)</f>
        <v>4859.2578495595208</v>
      </c>
      <c r="E51" s="641">
        <f>IF(E19=0,0,E16/E19)</f>
        <v>4943.8263632162661</v>
      </c>
    </row>
    <row r="52" spans="1:6" ht="26.1" customHeight="1" x14ac:dyDescent="0.25">
      <c r="A52" s="639">
        <v>2</v>
      </c>
      <c r="B52" s="640" t="s">
        <v>938</v>
      </c>
      <c r="C52" s="641">
        <f>IF(C20=0,0,C16/C20)</f>
        <v>18434.890208333334</v>
      </c>
      <c r="D52" s="641">
        <f>IF(D20=0,0,D16/D20)</f>
        <v>18953.246255506609</v>
      </c>
      <c r="E52" s="641">
        <f>IF(E20=0,0,E16/E20)</f>
        <v>19567.334705075446</v>
      </c>
    </row>
    <row r="53" spans="1:6" ht="26.1" customHeight="1" x14ac:dyDescent="0.25">
      <c r="A53" s="639">
        <v>3</v>
      </c>
      <c r="B53" s="640" t="s">
        <v>939</v>
      </c>
      <c r="C53" s="641">
        <f>IF(C22=0,0,C16/C22)</f>
        <v>2544.2919384624743</v>
      </c>
      <c r="D53" s="641">
        <f>IF(D22=0,0,D16/D22)</f>
        <v>2751.1294352540963</v>
      </c>
      <c r="E53" s="641">
        <f>IF(E22=0,0,E16/E22)</f>
        <v>2560.044636359079</v>
      </c>
    </row>
    <row r="54" spans="1:6" ht="26.1" customHeight="1" x14ac:dyDescent="0.25">
      <c r="A54" s="639">
        <v>4</v>
      </c>
      <c r="B54" s="640" t="s">
        <v>940</v>
      </c>
      <c r="C54" s="641">
        <f>IF(C23=0,0,C16/C23)</f>
        <v>10797.338913850124</v>
      </c>
      <c r="D54" s="641">
        <f>IF(D23=0,0,D16/D23)</f>
        <v>10730.616748784039</v>
      </c>
      <c r="E54" s="641">
        <f>IF(E23=0,0,E16/E23)</f>
        <v>10132.485766952075</v>
      </c>
    </row>
    <row r="55" spans="1:6" ht="26.1" customHeight="1" x14ac:dyDescent="0.25">
      <c r="A55" s="639">
        <v>5</v>
      </c>
      <c r="B55" s="640" t="s">
        <v>941</v>
      </c>
      <c r="C55" s="641">
        <f>IF(C29=0,0,C16/C29)</f>
        <v>1958.012612732012</v>
      </c>
      <c r="D55" s="641">
        <f>IF(D29=0,0,D16/D29)</f>
        <v>2103.2858242889929</v>
      </c>
      <c r="E55" s="641">
        <f>IF(E29=0,0,E16/E29)</f>
        <v>1970.0946844544994</v>
      </c>
    </row>
    <row r="56" spans="1:6" ht="26.1" customHeight="1" x14ac:dyDescent="0.25">
      <c r="A56" s="639">
        <v>6</v>
      </c>
      <c r="B56" s="640" t="s">
        <v>942</v>
      </c>
      <c r="C56" s="641">
        <f>IF(C30=0,0,C16/C30)</f>
        <v>8309.3160252814741</v>
      </c>
      <c r="D56" s="641">
        <f>IF(D30=0,0,D16/D30)</f>
        <v>8203.7412723589168</v>
      </c>
      <c r="E56" s="641">
        <f>IF(E30=0,0,E16/E30)</f>
        <v>7797.5032412611563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943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944</v>
      </c>
      <c r="C59" s="649">
        <v>17018295</v>
      </c>
      <c r="D59" s="649">
        <v>17871610</v>
      </c>
      <c r="E59" s="649">
        <v>16272813</v>
      </c>
    </row>
    <row r="60" spans="1:6" ht="26.1" customHeight="1" x14ac:dyDescent="0.25">
      <c r="A60" s="639">
        <v>2</v>
      </c>
      <c r="B60" s="640" t="s">
        <v>945</v>
      </c>
      <c r="C60" s="649">
        <v>6911685</v>
      </c>
      <c r="D60" s="649">
        <v>7469549</v>
      </c>
      <c r="E60" s="649">
        <v>6268543</v>
      </c>
    </row>
    <row r="61" spans="1:6" ht="26.1" customHeight="1" x14ac:dyDescent="0.25">
      <c r="A61" s="650">
        <v>3</v>
      </c>
      <c r="B61" s="651" t="s">
        <v>946</v>
      </c>
      <c r="C61" s="652">
        <f>C59+C60</f>
        <v>23929980</v>
      </c>
      <c r="D61" s="652">
        <f>D59+D60</f>
        <v>25341159</v>
      </c>
      <c r="E61" s="652">
        <f>E59+E60</f>
        <v>22541356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947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948</v>
      </c>
      <c r="C64" s="641">
        <v>4932122</v>
      </c>
      <c r="D64" s="641">
        <v>5249817</v>
      </c>
      <c r="E64" s="649">
        <v>5349273</v>
      </c>
      <c r="F64" s="653"/>
    </row>
    <row r="65" spans="1:6" ht="26.1" customHeight="1" x14ac:dyDescent="0.25">
      <c r="A65" s="639">
        <v>2</v>
      </c>
      <c r="B65" s="640" t="s">
        <v>949</v>
      </c>
      <c r="C65" s="649">
        <v>968548</v>
      </c>
      <c r="D65" s="649">
        <v>1170003</v>
      </c>
      <c r="E65" s="649">
        <v>867350</v>
      </c>
      <c r="F65" s="653"/>
    </row>
    <row r="66" spans="1:6" ht="26.1" customHeight="1" x14ac:dyDescent="0.25">
      <c r="A66" s="650">
        <v>3</v>
      </c>
      <c r="B66" s="651" t="s">
        <v>950</v>
      </c>
      <c r="C66" s="654">
        <f>C64+C65</f>
        <v>5900670</v>
      </c>
      <c r="D66" s="654">
        <f>D64+D65</f>
        <v>6419820</v>
      </c>
      <c r="E66" s="654">
        <f>E64+E65</f>
        <v>6216623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951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952</v>
      </c>
      <c r="C69" s="649">
        <v>15222495</v>
      </c>
      <c r="D69" s="649">
        <v>14239774</v>
      </c>
      <c r="E69" s="649">
        <v>16329168</v>
      </c>
    </row>
    <row r="70" spans="1:6" ht="26.1" customHeight="1" x14ac:dyDescent="0.25">
      <c r="A70" s="639">
        <v>2</v>
      </c>
      <c r="B70" s="640" t="s">
        <v>953</v>
      </c>
      <c r="C70" s="649">
        <v>6129230</v>
      </c>
      <c r="D70" s="649">
        <v>5868930</v>
      </c>
      <c r="E70" s="649">
        <v>6291068</v>
      </c>
    </row>
    <row r="71" spans="1:6" ht="26.1" customHeight="1" x14ac:dyDescent="0.25">
      <c r="A71" s="650">
        <v>3</v>
      </c>
      <c r="B71" s="651" t="s">
        <v>954</v>
      </c>
      <c r="C71" s="652">
        <f>C69+C70</f>
        <v>21351725</v>
      </c>
      <c r="D71" s="652">
        <f>D69+D70</f>
        <v>20108704</v>
      </c>
      <c r="E71" s="652">
        <f>E69+E70</f>
        <v>22620236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955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956</v>
      </c>
      <c r="C75" s="641">
        <f t="shared" ref="C75:E76" si="0">+C59+C64+C69</f>
        <v>37172912</v>
      </c>
      <c r="D75" s="641">
        <f t="shared" si="0"/>
        <v>37361201</v>
      </c>
      <c r="E75" s="641">
        <f t="shared" si="0"/>
        <v>37951254</v>
      </c>
    </row>
    <row r="76" spans="1:6" ht="26.1" customHeight="1" x14ac:dyDescent="0.25">
      <c r="A76" s="639">
        <v>2</v>
      </c>
      <c r="B76" s="640" t="s">
        <v>957</v>
      </c>
      <c r="C76" s="641">
        <f t="shared" si="0"/>
        <v>14009463</v>
      </c>
      <c r="D76" s="641">
        <f t="shared" si="0"/>
        <v>14508482</v>
      </c>
      <c r="E76" s="641">
        <f t="shared" si="0"/>
        <v>13426961</v>
      </c>
    </row>
    <row r="77" spans="1:6" ht="26.1" customHeight="1" x14ac:dyDescent="0.25">
      <c r="A77" s="650">
        <v>3</v>
      </c>
      <c r="B77" s="651" t="s">
        <v>955</v>
      </c>
      <c r="C77" s="654">
        <f>C75+C76</f>
        <v>51182375</v>
      </c>
      <c r="D77" s="654">
        <f>D75+D76</f>
        <v>51869683</v>
      </c>
      <c r="E77" s="654">
        <f>E75+E76</f>
        <v>51378215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958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206.3</v>
      </c>
      <c r="D80" s="646">
        <v>217.4</v>
      </c>
      <c r="E80" s="646">
        <v>196</v>
      </c>
    </row>
    <row r="81" spans="1:5" ht="26.1" customHeight="1" x14ac:dyDescent="0.25">
      <c r="A81" s="639">
        <v>2</v>
      </c>
      <c r="B81" s="640" t="s">
        <v>584</v>
      </c>
      <c r="C81" s="646">
        <v>20.3</v>
      </c>
      <c r="D81" s="646">
        <v>21.2</v>
      </c>
      <c r="E81" s="646">
        <v>21.5</v>
      </c>
    </row>
    <row r="82" spans="1:5" ht="26.1" customHeight="1" x14ac:dyDescent="0.25">
      <c r="A82" s="639">
        <v>3</v>
      </c>
      <c r="B82" s="640" t="s">
        <v>959</v>
      </c>
      <c r="C82" s="646">
        <v>321.3</v>
      </c>
      <c r="D82" s="646">
        <v>285.39999999999998</v>
      </c>
      <c r="E82" s="646">
        <v>287.5</v>
      </c>
    </row>
    <row r="83" spans="1:5" ht="26.1" customHeight="1" x14ac:dyDescent="0.25">
      <c r="A83" s="650">
        <v>4</v>
      </c>
      <c r="B83" s="651" t="s">
        <v>958</v>
      </c>
      <c r="C83" s="656">
        <f>C80+C81+C82</f>
        <v>547.90000000000009</v>
      </c>
      <c r="D83" s="656">
        <f>D80+D81+D82</f>
        <v>524</v>
      </c>
      <c r="E83" s="656">
        <f>E80+E81+E82</f>
        <v>505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960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961</v>
      </c>
      <c r="C86" s="649">
        <f>IF(C80=0,0,C59/C80)</f>
        <v>82492.947164323792</v>
      </c>
      <c r="D86" s="649">
        <f>IF(D80=0,0,D59/D80)</f>
        <v>82206.117755289786</v>
      </c>
      <c r="E86" s="649">
        <f>IF(E80=0,0,E59/E80)</f>
        <v>83024.556122448979</v>
      </c>
    </row>
    <row r="87" spans="1:5" ht="26.1" customHeight="1" x14ac:dyDescent="0.25">
      <c r="A87" s="639">
        <v>2</v>
      </c>
      <c r="B87" s="640" t="s">
        <v>962</v>
      </c>
      <c r="C87" s="649">
        <f>IF(C80=0,0,C60/C80)</f>
        <v>33503.078041686858</v>
      </c>
      <c r="D87" s="649">
        <f>IF(D80=0,0,D60/D80)</f>
        <v>34358.55105795768</v>
      </c>
      <c r="E87" s="649">
        <f>IF(E80=0,0,E60/E80)</f>
        <v>31982.362244897959</v>
      </c>
    </row>
    <row r="88" spans="1:5" ht="26.1" customHeight="1" x14ac:dyDescent="0.25">
      <c r="A88" s="650">
        <v>3</v>
      </c>
      <c r="B88" s="651" t="s">
        <v>963</v>
      </c>
      <c r="C88" s="652">
        <f>+C86+C87</f>
        <v>115996.02520601064</v>
      </c>
      <c r="D88" s="652">
        <f>+D86+D87</f>
        <v>116564.66881324747</v>
      </c>
      <c r="E88" s="652">
        <f>+E86+E87</f>
        <v>115006.91836734694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964</v>
      </c>
    </row>
    <row r="91" spans="1:5" ht="26.1" customHeight="1" x14ac:dyDescent="0.25">
      <c r="A91" s="639">
        <v>1</v>
      </c>
      <c r="B91" s="640" t="s">
        <v>965</v>
      </c>
      <c r="C91" s="641">
        <f>IF(C81=0,0,C64/C81)</f>
        <v>242961.67487684728</v>
      </c>
      <c r="D91" s="641">
        <f>IF(D81=0,0,D64/D81)</f>
        <v>247632.87735849057</v>
      </c>
      <c r="E91" s="641">
        <f>IF(E81=0,0,E64/E81)</f>
        <v>248803.39534883722</v>
      </c>
    </row>
    <row r="92" spans="1:5" ht="26.1" customHeight="1" x14ac:dyDescent="0.25">
      <c r="A92" s="639">
        <v>2</v>
      </c>
      <c r="B92" s="640" t="s">
        <v>966</v>
      </c>
      <c r="C92" s="641">
        <f>IF(C81=0,0,C65/C81)</f>
        <v>47711.724137931036</v>
      </c>
      <c r="D92" s="641">
        <f>IF(D81=0,0,D65/D81)</f>
        <v>55188.82075471698</v>
      </c>
      <c r="E92" s="641">
        <f>IF(E81=0,0,E65/E81)</f>
        <v>40341.860465116282</v>
      </c>
    </row>
    <row r="93" spans="1:5" ht="26.1" customHeight="1" x14ac:dyDescent="0.25">
      <c r="A93" s="650">
        <v>3</v>
      </c>
      <c r="B93" s="651" t="s">
        <v>967</v>
      </c>
      <c r="C93" s="654">
        <f>+C91+C92</f>
        <v>290673.39901477832</v>
      </c>
      <c r="D93" s="654">
        <f>+D91+D92</f>
        <v>302821.69811320753</v>
      </c>
      <c r="E93" s="654">
        <f>+E91+E92</f>
        <v>289145.25581395352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968</v>
      </c>
      <c r="B95" s="642" t="s">
        <v>969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970</v>
      </c>
      <c r="C96" s="649">
        <f>IF(C82=0,0,C69/C82)</f>
        <v>47377.824463118581</v>
      </c>
      <c r="D96" s="649">
        <f>IF(D82=0,0,D69/D82)</f>
        <v>49894.092501751933</v>
      </c>
      <c r="E96" s="649">
        <f>IF(E82=0,0,E69/E82)</f>
        <v>56797.106086956519</v>
      </c>
    </row>
    <row r="97" spans="1:5" ht="26.1" customHeight="1" x14ac:dyDescent="0.25">
      <c r="A97" s="639">
        <v>2</v>
      </c>
      <c r="B97" s="640" t="s">
        <v>971</v>
      </c>
      <c r="C97" s="649">
        <f>IF(C82=0,0,C70/C82)</f>
        <v>19076.346093993154</v>
      </c>
      <c r="D97" s="649">
        <f>IF(D82=0,0,D70/D82)</f>
        <v>20563.875262789068</v>
      </c>
      <c r="E97" s="649">
        <f>IF(E82=0,0,E70/E82)</f>
        <v>21881.975652173915</v>
      </c>
    </row>
    <row r="98" spans="1:5" ht="26.1" customHeight="1" x14ac:dyDescent="0.25">
      <c r="A98" s="650">
        <v>3</v>
      </c>
      <c r="B98" s="651" t="s">
        <v>972</v>
      </c>
      <c r="C98" s="654">
        <f>+C96+C97</f>
        <v>66454.170557111735</v>
      </c>
      <c r="D98" s="654">
        <f>+D96+D97</f>
        <v>70457.967764540997</v>
      </c>
      <c r="E98" s="654">
        <f>+E96+E97</f>
        <v>78679.08173913043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973</v>
      </c>
      <c r="B100" s="642" t="s">
        <v>974</v>
      </c>
    </row>
    <row r="101" spans="1:5" ht="26.1" customHeight="1" x14ac:dyDescent="0.25">
      <c r="A101" s="639">
        <v>1</v>
      </c>
      <c r="B101" s="640" t="s">
        <v>975</v>
      </c>
      <c r="C101" s="641">
        <f>IF(C83=0,0,C75/C83)</f>
        <v>67846.161708340922</v>
      </c>
      <c r="D101" s="641">
        <f>IF(D83=0,0,D75/D83)</f>
        <v>71300.001908396953</v>
      </c>
      <c r="E101" s="641">
        <f>IF(E83=0,0,E75/E83)</f>
        <v>75150.998019801977</v>
      </c>
    </row>
    <row r="102" spans="1:5" ht="26.1" customHeight="1" x14ac:dyDescent="0.25">
      <c r="A102" s="639">
        <v>2</v>
      </c>
      <c r="B102" s="640" t="s">
        <v>976</v>
      </c>
      <c r="C102" s="658">
        <f>IF(C83=0,0,C76/C83)</f>
        <v>25569.379448804521</v>
      </c>
      <c r="D102" s="658">
        <f>IF(D83=0,0,D76/D83)</f>
        <v>27687.942748091602</v>
      </c>
      <c r="E102" s="658">
        <f>IF(E83=0,0,E76/E83)</f>
        <v>26588.041584158414</v>
      </c>
    </row>
    <row r="103" spans="1:5" ht="26.1" customHeight="1" x14ac:dyDescent="0.25">
      <c r="A103" s="650">
        <v>3</v>
      </c>
      <c r="B103" s="651" t="s">
        <v>974</v>
      </c>
      <c r="C103" s="654">
        <f>+C101+C102</f>
        <v>93415.541157145446</v>
      </c>
      <c r="D103" s="654">
        <f>+D101+D102</f>
        <v>98987.944656488558</v>
      </c>
      <c r="E103" s="654">
        <f>+E101+E102</f>
        <v>101739.03960396039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977</v>
      </c>
      <c r="B107" s="634" t="s">
        <v>978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979</v>
      </c>
      <c r="C108" s="641">
        <f>IF(C19=0,0,C77/C19)</f>
        <v>2512.63500245459</v>
      </c>
      <c r="D108" s="641">
        <f>IF(D19=0,0,D77/D19)</f>
        <v>2929.1666478427828</v>
      </c>
      <c r="E108" s="641">
        <f>IF(E19=0,0,E77/E19)</f>
        <v>2967.7804413123845</v>
      </c>
    </row>
    <row r="109" spans="1:5" ht="26.1" customHeight="1" x14ac:dyDescent="0.25">
      <c r="A109" s="639">
        <v>2</v>
      </c>
      <c r="B109" s="640" t="s">
        <v>980</v>
      </c>
      <c r="C109" s="641">
        <f>IF(C20=0,0,C77/C20)</f>
        <v>10662.994791666666</v>
      </c>
      <c r="D109" s="641">
        <f>IF(D20=0,0,D77/D20)</f>
        <v>11425.040308370044</v>
      </c>
      <c r="E109" s="641">
        <f>IF(E20=0,0,E77/E20)</f>
        <v>11746.276863283036</v>
      </c>
    </row>
    <row r="110" spans="1:5" ht="26.1" customHeight="1" x14ac:dyDescent="0.25">
      <c r="A110" s="639">
        <v>3</v>
      </c>
      <c r="B110" s="640" t="s">
        <v>981</v>
      </c>
      <c r="C110" s="641">
        <f>IF(C22=0,0,C77/C22)</f>
        <v>1471.6535537619352</v>
      </c>
      <c r="D110" s="641">
        <f>IF(D22=0,0,D77/D22)</f>
        <v>1658.3842296772405</v>
      </c>
      <c r="E110" s="641">
        <f>IF(E22=0,0,E77/E22)</f>
        <v>1536.7955592458161</v>
      </c>
    </row>
    <row r="111" spans="1:5" ht="26.1" customHeight="1" x14ac:dyDescent="0.25">
      <c r="A111" s="639">
        <v>4</v>
      </c>
      <c r="B111" s="640" t="s">
        <v>982</v>
      </c>
      <c r="C111" s="641">
        <f>IF(C23=0,0,C77/C23)</f>
        <v>6245.329768777211</v>
      </c>
      <c r="D111" s="641">
        <f>IF(D23=0,0,D77/D23)</f>
        <v>6468.4290614811835</v>
      </c>
      <c r="E111" s="641">
        <f>IF(E23=0,0,E77/E23)</f>
        <v>6082.5342299185104</v>
      </c>
    </row>
    <row r="112" spans="1:5" ht="26.1" customHeight="1" x14ac:dyDescent="0.25">
      <c r="A112" s="639">
        <v>5</v>
      </c>
      <c r="B112" s="640" t="s">
        <v>983</v>
      </c>
      <c r="C112" s="641">
        <f>IF(C29=0,0,C77/C29)</f>
        <v>1132.5415044859469</v>
      </c>
      <c r="D112" s="641">
        <f>IF(D29=0,0,D77/D29)</f>
        <v>1267.8632989081452</v>
      </c>
      <c r="E112" s="641">
        <f>IF(E29=0,0,E77/E29)</f>
        <v>1182.6484270482845</v>
      </c>
    </row>
    <row r="113" spans="1:7" ht="25.5" customHeight="1" x14ac:dyDescent="0.25">
      <c r="A113" s="639">
        <v>6</v>
      </c>
      <c r="B113" s="640" t="s">
        <v>984</v>
      </c>
      <c r="C113" s="641">
        <f>IF(C30=0,0,C77/C30)</f>
        <v>4806.2230096622361</v>
      </c>
      <c r="D113" s="641">
        <f>IF(D30=0,0,D77/D30)</f>
        <v>4945.2253958293904</v>
      </c>
      <c r="E113" s="641">
        <f>IF(E30=0,0,E77/E30)</f>
        <v>4680.8435228760627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FILING&amp;R&amp;12MILFORD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204296146</v>
      </c>
      <c r="D12" s="51">
        <v>184109979</v>
      </c>
      <c r="E12" s="51">
        <f t="shared" ref="E12:E19" si="0">D12-C12</f>
        <v>-20186167</v>
      </c>
      <c r="F12" s="70">
        <f t="shared" ref="F12:F19" si="1">IF(C12=0,0,E12/C12)</f>
        <v>-9.8808359311878549E-2</v>
      </c>
    </row>
    <row r="13" spans="1:8" ht="23.1" customHeight="1" x14ac:dyDescent="0.2">
      <c r="A13" s="25">
        <v>2</v>
      </c>
      <c r="B13" s="48" t="s">
        <v>72</v>
      </c>
      <c r="C13" s="51">
        <v>125767219</v>
      </c>
      <c r="D13" s="51">
        <v>104061678</v>
      </c>
      <c r="E13" s="51">
        <f t="shared" si="0"/>
        <v>-21705541</v>
      </c>
      <c r="F13" s="70">
        <f t="shared" si="1"/>
        <v>-0.17258504380223275</v>
      </c>
    </row>
    <row r="14" spans="1:8" ht="23.1" customHeight="1" x14ac:dyDescent="0.2">
      <c r="A14" s="25">
        <v>3</v>
      </c>
      <c r="B14" s="48" t="s">
        <v>73</v>
      </c>
      <c r="C14" s="51">
        <v>299029</v>
      </c>
      <c r="D14" s="51">
        <v>187766</v>
      </c>
      <c r="E14" s="51">
        <f t="shared" si="0"/>
        <v>-111263</v>
      </c>
      <c r="F14" s="70">
        <f t="shared" si="1"/>
        <v>-0.3720809687354738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78229898</v>
      </c>
      <c r="D16" s="27">
        <f>D12-D13-D14-D15</f>
        <v>79860535</v>
      </c>
      <c r="E16" s="27">
        <f t="shared" si="0"/>
        <v>1630637</v>
      </c>
      <c r="F16" s="28">
        <f t="shared" si="1"/>
        <v>2.084416625469715E-2</v>
      </c>
    </row>
    <row r="17" spans="1:7" ht="23.1" customHeight="1" x14ac:dyDescent="0.2">
      <c r="A17" s="25">
        <v>5</v>
      </c>
      <c r="B17" s="48" t="s">
        <v>76</v>
      </c>
      <c r="C17" s="51">
        <v>1165893</v>
      </c>
      <c r="D17" s="51">
        <v>653094</v>
      </c>
      <c r="E17" s="51">
        <f t="shared" si="0"/>
        <v>-512799</v>
      </c>
      <c r="F17" s="70">
        <f t="shared" si="1"/>
        <v>-0.43983367255828792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79395791</v>
      </c>
      <c r="D19" s="27">
        <f>SUM(D16:D18)</f>
        <v>80513629</v>
      </c>
      <c r="E19" s="27">
        <f t="shared" si="0"/>
        <v>1117838</v>
      </c>
      <c r="F19" s="28">
        <f t="shared" si="1"/>
        <v>1.4079310577055653E-2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37361201</v>
      </c>
      <c r="D22" s="51">
        <v>37951254</v>
      </c>
      <c r="E22" s="51">
        <f t="shared" ref="E22:E31" si="2">D22-C22</f>
        <v>590053</v>
      </c>
      <c r="F22" s="70">
        <f t="shared" ref="F22:F31" si="3">IF(C22=0,0,E22/C22)</f>
        <v>1.579320215107646E-2</v>
      </c>
    </row>
    <row r="23" spans="1:7" ht="23.1" customHeight="1" x14ac:dyDescent="0.2">
      <c r="A23" s="25">
        <v>2</v>
      </c>
      <c r="B23" s="48" t="s">
        <v>81</v>
      </c>
      <c r="C23" s="51">
        <v>14508482</v>
      </c>
      <c r="D23" s="51">
        <v>13426961</v>
      </c>
      <c r="E23" s="51">
        <f t="shared" si="2"/>
        <v>-1081521</v>
      </c>
      <c r="F23" s="70">
        <f t="shared" si="3"/>
        <v>-7.4544049473955987E-2</v>
      </c>
    </row>
    <row r="24" spans="1:7" ht="23.1" customHeight="1" x14ac:dyDescent="0.2">
      <c r="A24" s="25">
        <v>3</v>
      </c>
      <c r="B24" s="48" t="s">
        <v>82</v>
      </c>
      <c r="C24" s="51">
        <v>273288</v>
      </c>
      <c r="D24" s="51">
        <v>254333</v>
      </c>
      <c r="E24" s="51">
        <f t="shared" si="2"/>
        <v>-18955</v>
      </c>
      <c r="F24" s="70">
        <f t="shared" si="3"/>
        <v>-6.9359064430198181E-2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10985763</v>
      </c>
      <c r="D25" s="51">
        <v>11119793</v>
      </c>
      <c r="E25" s="51">
        <f t="shared" si="2"/>
        <v>134030</v>
      </c>
      <c r="F25" s="70">
        <f t="shared" si="3"/>
        <v>1.2200336016715453E-2</v>
      </c>
    </row>
    <row r="26" spans="1:7" ht="23.1" customHeight="1" x14ac:dyDescent="0.2">
      <c r="A26" s="25">
        <v>5</v>
      </c>
      <c r="B26" s="48" t="s">
        <v>84</v>
      </c>
      <c r="C26" s="51">
        <v>3574898</v>
      </c>
      <c r="D26" s="51">
        <v>3208305</v>
      </c>
      <c r="E26" s="51">
        <f t="shared" si="2"/>
        <v>-366593</v>
      </c>
      <c r="F26" s="70">
        <f t="shared" si="3"/>
        <v>-0.10254642230351747</v>
      </c>
    </row>
    <row r="27" spans="1:7" ht="23.1" customHeight="1" x14ac:dyDescent="0.2">
      <c r="A27" s="25">
        <v>6</v>
      </c>
      <c r="B27" s="48" t="s">
        <v>85</v>
      </c>
      <c r="C27" s="51">
        <v>6738669</v>
      </c>
      <c r="D27" s="51">
        <v>7611773</v>
      </c>
      <c r="E27" s="51">
        <f t="shared" si="2"/>
        <v>873104</v>
      </c>
      <c r="F27" s="70">
        <f t="shared" si="3"/>
        <v>0.12956623926772484</v>
      </c>
    </row>
    <row r="28" spans="1:7" ht="23.1" customHeight="1" x14ac:dyDescent="0.2">
      <c r="A28" s="25">
        <v>7</v>
      </c>
      <c r="B28" s="48" t="s">
        <v>86</v>
      </c>
      <c r="C28" s="51">
        <v>230967</v>
      </c>
      <c r="D28" s="51">
        <v>168405</v>
      </c>
      <c r="E28" s="51">
        <f t="shared" si="2"/>
        <v>-62562</v>
      </c>
      <c r="F28" s="70">
        <f t="shared" si="3"/>
        <v>-0.27086986452610112</v>
      </c>
    </row>
    <row r="29" spans="1:7" ht="23.1" customHeight="1" x14ac:dyDescent="0.2">
      <c r="A29" s="25">
        <v>8</v>
      </c>
      <c r="B29" s="48" t="s">
        <v>87</v>
      </c>
      <c r="C29" s="51">
        <v>1306068</v>
      </c>
      <c r="D29" s="51">
        <v>798342</v>
      </c>
      <c r="E29" s="51">
        <f t="shared" si="2"/>
        <v>-507726</v>
      </c>
      <c r="F29" s="70">
        <f t="shared" si="3"/>
        <v>-0.38874392451235312</v>
      </c>
    </row>
    <row r="30" spans="1:7" ht="23.1" customHeight="1" x14ac:dyDescent="0.2">
      <c r="A30" s="25">
        <v>9</v>
      </c>
      <c r="B30" s="48" t="s">
        <v>88</v>
      </c>
      <c r="C30" s="51">
        <v>11068402</v>
      </c>
      <c r="D30" s="51">
        <v>11048356</v>
      </c>
      <c r="E30" s="51">
        <f t="shared" si="2"/>
        <v>-20046</v>
      </c>
      <c r="F30" s="70">
        <f t="shared" si="3"/>
        <v>-1.8111015483535924E-3</v>
      </c>
    </row>
    <row r="31" spans="1:7" ht="23.1" customHeight="1" x14ac:dyDescent="0.25">
      <c r="A31" s="29"/>
      <c r="B31" s="71" t="s">
        <v>89</v>
      </c>
      <c r="C31" s="27">
        <f>SUM(C22:C30)</f>
        <v>86047738</v>
      </c>
      <c r="D31" s="27">
        <f>SUM(D22:D30)</f>
        <v>85587522</v>
      </c>
      <c r="E31" s="27">
        <f t="shared" si="2"/>
        <v>-460216</v>
      </c>
      <c r="F31" s="28">
        <f t="shared" si="3"/>
        <v>-5.3483799887918031E-3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-6651947</v>
      </c>
      <c r="D33" s="27">
        <f>+D19-D31</f>
        <v>-5073893</v>
      </c>
      <c r="E33" s="27">
        <f>D33-C33</f>
        <v>1578054</v>
      </c>
      <c r="F33" s="28">
        <f>IF(C33=0,0,E33/C33)</f>
        <v>-0.23723189616513782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1714169</v>
      </c>
      <c r="D36" s="51">
        <v>2111132</v>
      </c>
      <c r="E36" s="51">
        <f>D36-C36</f>
        <v>396963</v>
      </c>
      <c r="F36" s="70">
        <f>IF(C36=0,0,E36/C36)</f>
        <v>0.2315775165692531</v>
      </c>
    </row>
    <row r="37" spans="1:6" ht="23.1" customHeight="1" x14ac:dyDescent="0.2">
      <c r="A37" s="44">
        <v>2</v>
      </c>
      <c r="B37" s="48" t="s">
        <v>93</v>
      </c>
      <c r="C37" s="51">
        <v>925</v>
      </c>
      <c r="D37" s="51">
        <v>325</v>
      </c>
      <c r="E37" s="51">
        <f>D37-C37</f>
        <v>-600</v>
      </c>
      <c r="F37" s="70">
        <f>IF(C37=0,0,E37/C37)</f>
        <v>-0.64864864864864868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1715094</v>
      </c>
      <c r="D39" s="27">
        <f>SUM(D36:D38)</f>
        <v>2111457</v>
      </c>
      <c r="E39" s="27">
        <f>D39-C39</f>
        <v>396363</v>
      </c>
      <c r="F39" s="28">
        <f>IF(C39=0,0,E39/C39)</f>
        <v>0.23110278503685514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-4936853</v>
      </c>
      <c r="D41" s="27">
        <f>D33+D39</f>
        <v>-2962436</v>
      </c>
      <c r="E41" s="27">
        <f>D41-C41</f>
        <v>1974417</v>
      </c>
      <c r="F41" s="28">
        <f>IF(C41=0,0,E41/C41)</f>
        <v>-0.3999343306353258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1110476</v>
      </c>
      <c r="D44" s="51">
        <v>-2445378</v>
      </c>
      <c r="E44" s="51">
        <f>D44-C44</f>
        <v>-3555854</v>
      </c>
      <c r="F44" s="70">
        <f>IF(C44=0,0,E44/C44)</f>
        <v>-3.2020989197425247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1110476</v>
      </c>
      <c r="D46" s="27">
        <f>SUM(D44:D45)</f>
        <v>-2445378</v>
      </c>
      <c r="E46" s="27">
        <f>D46-C46</f>
        <v>-3555854</v>
      </c>
      <c r="F46" s="28">
        <f>IF(C46=0,0,E46/C46)</f>
        <v>-3.2020989197425247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-3826377</v>
      </c>
      <c r="D48" s="27">
        <f>D41+D46</f>
        <v>-5407814</v>
      </c>
      <c r="E48" s="27">
        <f>D48-C48</f>
        <v>-1581437</v>
      </c>
      <c r="F48" s="28">
        <f>IF(C48=0,0,E48/C48)</f>
        <v>0.41329879413345838</v>
      </c>
    </row>
    <row r="49" spans="1:6" ht="23.1" customHeight="1" x14ac:dyDescent="0.2">
      <c r="A49" s="44"/>
      <c r="B49" s="48" t="s">
        <v>102</v>
      </c>
      <c r="C49" s="51">
        <v>833487</v>
      </c>
      <c r="D49" s="51">
        <v>892497</v>
      </c>
      <c r="E49" s="51">
        <f>D49-C49</f>
        <v>59010</v>
      </c>
      <c r="F49" s="70">
        <f>IF(C49=0,0,E49/C49)</f>
        <v>7.0798944674602002E-2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54522273</v>
      </c>
      <c r="D14" s="97">
        <v>43074569</v>
      </c>
      <c r="E14" s="97">
        <f t="shared" ref="E14:E25" si="0">D14-C14</f>
        <v>-11447704</v>
      </c>
      <c r="F14" s="98">
        <f t="shared" ref="F14:F25" si="1">IF(C14=0,0,E14/C14)</f>
        <v>-0.20996380690144742</v>
      </c>
    </row>
    <row r="15" spans="1:6" ht="18" customHeight="1" x14ac:dyDescent="0.25">
      <c r="A15" s="99">
        <v>2</v>
      </c>
      <c r="B15" s="100" t="s">
        <v>113</v>
      </c>
      <c r="C15" s="97">
        <v>18204576</v>
      </c>
      <c r="D15" s="97">
        <v>14098905</v>
      </c>
      <c r="E15" s="97">
        <f t="shared" si="0"/>
        <v>-4105671</v>
      </c>
      <c r="F15" s="98">
        <f t="shared" si="1"/>
        <v>-0.22552961409263253</v>
      </c>
    </row>
    <row r="16" spans="1:6" ht="18" customHeight="1" x14ac:dyDescent="0.25">
      <c r="A16" s="99">
        <v>3</v>
      </c>
      <c r="B16" s="100" t="s">
        <v>114</v>
      </c>
      <c r="C16" s="97">
        <v>3259560</v>
      </c>
      <c r="D16" s="97">
        <v>4685459</v>
      </c>
      <c r="E16" s="97">
        <f t="shared" si="0"/>
        <v>1425899</v>
      </c>
      <c r="F16" s="98">
        <f t="shared" si="1"/>
        <v>0.43745137380505345</v>
      </c>
    </row>
    <row r="17" spans="1:6" ht="18" customHeight="1" x14ac:dyDescent="0.25">
      <c r="A17" s="99">
        <v>4</v>
      </c>
      <c r="B17" s="100" t="s">
        <v>115</v>
      </c>
      <c r="C17" s="97">
        <v>2714444</v>
      </c>
      <c r="D17" s="97">
        <v>2965827</v>
      </c>
      <c r="E17" s="97">
        <f t="shared" si="0"/>
        <v>251383</v>
      </c>
      <c r="F17" s="98">
        <f t="shared" si="1"/>
        <v>9.2609388884058758E-2</v>
      </c>
    </row>
    <row r="18" spans="1:6" ht="18" customHeight="1" x14ac:dyDescent="0.25">
      <c r="A18" s="99">
        <v>5</v>
      </c>
      <c r="B18" s="100" t="s">
        <v>116</v>
      </c>
      <c r="C18" s="97">
        <v>152291</v>
      </c>
      <c r="D18" s="97">
        <v>105839</v>
      </c>
      <c r="E18" s="97">
        <f t="shared" si="0"/>
        <v>-46452</v>
      </c>
      <c r="F18" s="98">
        <f t="shared" si="1"/>
        <v>-0.30502130789081427</v>
      </c>
    </row>
    <row r="19" spans="1:6" ht="18" customHeight="1" x14ac:dyDescent="0.25">
      <c r="A19" s="99">
        <v>6</v>
      </c>
      <c r="B19" s="100" t="s">
        <v>117</v>
      </c>
      <c r="C19" s="97">
        <v>0</v>
      </c>
      <c r="D19" s="97">
        <v>0</v>
      </c>
      <c r="E19" s="97">
        <f t="shared" si="0"/>
        <v>0</v>
      </c>
      <c r="F19" s="98">
        <f t="shared" si="1"/>
        <v>0</v>
      </c>
    </row>
    <row r="20" spans="1:6" ht="18" customHeight="1" x14ac:dyDescent="0.25">
      <c r="A20" s="99">
        <v>7</v>
      </c>
      <c r="B20" s="100" t="s">
        <v>118</v>
      </c>
      <c r="C20" s="97">
        <v>34706533</v>
      </c>
      <c r="D20" s="97">
        <v>28160396</v>
      </c>
      <c r="E20" s="97">
        <f t="shared" si="0"/>
        <v>-6546137</v>
      </c>
      <c r="F20" s="98">
        <f t="shared" si="1"/>
        <v>-0.18861397074723654</v>
      </c>
    </row>
    <row r="21" spans="1:6" ht="18" customHeight="1" x14ac:dyDescent="0.25">
      <c r="A21" s="99">
        <v>8</v>
      </c>
      <c r="B21" s="100" t="s">
        <v>119</v>
      </c>
      <c r="C21" s="97">
        <v>192838</v>
      </c>
      <c r="D21" s="97">
        <v>416104</v>
      </c>
      <c r="E21" s="97">
        <f t="shared" si="0"/>
        <v>223266</v>
      </c>
      <c r="F21" s="98">
        <f t="shared" si="1"/>
        <v>1.1577904769806782</v>
      </c>
    </row>
    <row r="22" spans="1:6" ht="18" customHeight="1" x14ac:dyDescent="0.25">
      <c r="A22" s="99">
        <v>9</v>
      </c>
      <c r="B22" s="100" t="s">
        <v>120</v>
      </c>
      <c r="C22" s="97">
        <v>1744121</v>
      </c>
      <c r="D22" s="97">
        <v>1800823</v>
      </c>
      <c r="E22" s="97">
        <f t="shared" si="0"/>
        <v>56702</v>
      </c>
      <c r="F22" s="98">
        <f t="shared" si="1"/>
        <v>3.251035908632486E-2</v>
      </c>
    </row>
    <row r="23" spans="1:6" ht="18" customHeight="1" x14ac:dyDescent="0.25">
      <c r="A23" s="99">
        <v>10</v>
      </c>
      <c r="B23" s="100" t="s">
        <v>121</v>
      </c>
      <c r="C23" s="97">
        <v>149863</v>
      </c>
      <c r="D23" s="97">
        <v>0</v>
      </c>
      <c r="E23" s="97">
        <f t="shared" si="0"/>
        <v>-149863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18312</v>
      </c>
      <c r="D24" s="97">
        <v>29117</v>
      </c>
      <c r="E24" s="97">
        <f t="shared" si="0"/>
        <v>10805</v>
      </c>
      <c r="F24" s="98">
        <f t="shared" si="1"/>
        <v>0.59005024027959807</v>
      </c>
    </row>
    <row r="25" spans="1:6" ht="18" customHeight="1" x14ac:dyDescent="0.25">
      <c r="A25" s="101"/>
      <c r="B25" s="102" t="s">
        <v>123</v>
      </c>
      <c r="C25" s="103">
        <f>SUM(C14:C24)</f>
        <v>115664811</v>
      </c>
      <c r="D25" s="103">
        <f>SUM(D14:D24)</f>
        <v>95337039</v>
      </c>
      <c r="E25" s="103">
        <f t="shared" si="0"/>
        <v>-20327772</v>
      </c>
      <c r="F25" s="104">
        <f t="shared" si="1"/>
        <v>-0.17574724606604855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17381005</v>
      </c>
      <c r="D27" s="97">
        <v>19680255</v>
      </c>
      <c r="E27" s="97">
        <f t="shared" ref="E27:E38" si="2">D27-C27</f>
        <v>2299250</v>
      </c>
      <c r="F27" s="98">
        <f t="shared" ref="F27:F38" si="3">IF(C27=0,0,E27/C27)</f>
        <v>0.1322852159584558</v>
      </c>
    </row>
    <row r="28" spans="1:6" ht="18" customHeight="1" x14ac:dyDescent="0.25">
      <c r="A28" s="99">
        <v>2</v>
      </c>
      <c r="B28" s="100" t="s">
        <v>113</v>
      </c>
      <c r="C28" s="97">
        <v>7904664</v>
      </c>
      <c r="D28" s="97">
        <v>7711728</v>
      </c>
      <c r="E28" s="97">
        <f t="shared" si="2"/>
        <v>-192936</v>
      </c>
      <c r="F28" s="98">
        <f t="shared" si="3"/>
        <v>-2.440786856974566E-2</v>
      </c>
    </row>
    <row r="29" spans="1:6" ht="18" customHeight="1" x14ac:dyDescent="0.25">
      <c r="A29" s="99">
        <v>3</v>
      </c>
      <c r="B29" s="100" t="s">
        <v>114</v>
      </c>
      <c r="C29" s="97">
        <v>4425709</v>
      </c>
      <c r="D29" s="97">
        <v>5235091</v>
      </c>
      <c r="E29" s="97">
        <f t="shared" si="2"/>
        <v>809382</v>
      </c>
      <c r="F29" s="98">
        <f t="shared" si="3"/>
        <v>0.18288188400999705</v>
      </c>
    </row>
    <row r="30" spans="1:6" ht="18" customHeight="1" x14ac:dyDescent="0.25">
      <c r="A30" s="99">
        <v>4</v>
      </c>
      <c r="B30" s="100" t="s">
        <v>115</v>
      </c>
      <c r="C30" s="97">
        <v>7126528</v>
      </c>
      <c r="D30" s="97">
        <v>7026190</v>
      </c>
      <c r="E30" s="97">
        <f t="shared" si="2"/>
        <v>-100338</v>
      </c>
      <c r="F30" s="98">
        <f t="shared" si="3"/>
        <v>-1.4079506879086141E-2</v>
      </c>
    </row>
    <row r="31" spans="1:6" ht="18" customHeight="1" x14ac:dyDescent="0.25">
      <c r="A31" s="99">
        <v>5</v>
      </c>
      <c r="B31" s="100" t="s">
        <v>116</v>
      </c>
      <c r="C31" s="97">
        <v>213143</v>
      </c>
      <c r="D31" s="97">
        <v>218812</v>
      </c>
      <c r="E31" s="97">
        <f t="shared" si="2"/>
        <v>5669</v>
      </c>
      <c r="F31" s="98">
        <f t="shared" si="3"/>
        <v>2.6597167160075631E-2</v>
      </c>
    </row>
    <row r="32" spans="1:6" ht="18" customHeight="1" x14ac:dyDescent="0.25">
      <c r="A32" s="99">
        <v>6</v>
      </c>
      <c r="B32" s="100" t="s">
        <v>117</v>
      </c>
      <c r="C32" s="97">
        <v>0</v>
      </c>
      <c r="D32" s="97">
        <v>0</v>
      </c>
      <c r="E32" s="97">
        <f t="shared" si="2"/>
        <v>0</v>
      </c>
      <c r="F32" s="98">
        <f t="shared" si="3"/>
        <v>0</v>
      </c>
    </row>
    <row r="33" spans="1:6" ht="18" customHeight="1" x14ac:dyDescent="0.25">
      <c r="A33" s="99">
        <v>7</v>
      </c>
      <c r="B33" s="100" t="s">
        <v>118</v>
      </c>
      <c r="C33" s="97">
        <v>46051475</v>
      </c>
      <c r="D33" s="97">
        <v>43732597</v>
      </c>
      <c r="E33" s="97">
        <f t="shared" si="2"/>
        <v>-2318878</v>
      </c>
      <c r="F33" s="98">
        <f t="shared" si="3"/>
        <v>-5.0354044034420176E-2</v>
      </c>
    </row>
    <row r="34" spans="1:6" ht="18" customHeight="1" x14ac:dyDescent="0.25">
      <c r="A34" s="99">
        <v>8</v>
      </c>
      <c r="B34" s="100" t="s">
        <v>119</v>
      </c>
      <c r="C34" s="97">
        <v>1264610</v>
      </c>
      <c r="D34" s="97">
        <v>1300776</v>
      </c>
      <c r="E34" s="97">
        <f t="shared" si="2"/>
        <v>36166</v>
      </c>
      <c r="F34" s="98">
        <f t="shared" si="3"/>
        <v>2.8598540261424471E-2</v>
      </c>
    </row>
    <row r="35" spans="1:6" ht="18" customHeight="1" x14ac:dyDescent="0.25">
      <c r="A35" s="99">
        <v>9</v>
      </c>
      <c r="B35" s="100" t="s">
        <v>120</v>
      </c>
      <c r="C35" s="97">
        <v>3962849</v>
      </c>
      <c r="D35" s="97">
        <v>3757990</v>
      </c>
      <c r="E35" s="97">
        <f t="shared" si="2"/>
        <v>-204859</v>
      </c>
      <c r="F35" s="98">
        <f t="shared" si="3"/>
        <v>-5.1694879113486282E-2</v>
      </c>
    </row>
    <row r="36" spans="1:6" ht="18" customHeight="1" x14ac:dyDescent="0.25">
      <c r="A36" s="99">
        <v>10</v>
      </c>
      <c r="B36" s="100" t="s">
        <v>121</v>
      </c>
      <c r="C36" s="97">
        <v>182711</v>
      </c>
      <c r="D36" s="97">
        <v>0</v>
      </c>
      <c r="E36" s="97">
        <f t="shared" si="2"/>
        <v>-182711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118641</v>
      </c>
      <c r="D37" s="97">
        <v>109502</v>
      </c>
      <c r="E37" s="97">
        <f t="shared" si="2"/>
        <v>-9139</v>
      </c>
      <c r="F37" s="98">
        <f t="shared" si="3"/>
        <v>-7.7030706079685776E-2</v>
      </c>
    </row>
    <row r="38" spans="1:6" ht="18" customHeight="1" x14ac:dyDescent="0.25">
      <c r="A38" s="101"/>
      <c r="B38" s="102" t="s">
        <v>126</v>
      </c>
      <c r="C38" s="103">
        <f>SUM(C27:C37)</f>
        <v>88631335</v>
      </c>
      <c r="D38" s="103">
        <f>SUM(D27:D37)</f>
        <v>88772941</v>
      </c>
      <c r="E38" s="103">
        <f t="shared" si="2"/>
        <v>141606</v>
      </c>
      <c r="F38" s="104">
        <f t="shared" si="3"/>
        <v>1.5976967965110759E-3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71903278</v>
      </c>
      <c r="D41" s="103">
        <f t="shared" si="4"/>
        <v>62754824</v>
      </c>
      <c r="E41" s="107">
        <f t="shared" ref="E41:E52" si="5">D41-C41</f>
        <v>-9148454</v>
      </c>
      <c r="F41" s="108">
        <f t="shared" ref="F41:F52" si="6">IF(C41=0,0,E41/C41)</f>
        <v>-0.12723278068073615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26109240</v>
      </c>
      <c r="D42" s="103">
        <f t="shared" si="4"/>
        <v>21810633</v>
      </c>
      <c r="E42" s="107">
        <f t="shared" si="5"/>
        <v>-4298607</v>
      </c>
      <c r="F42" s="108">
        <f t="shared" si="6"/>
        <v>-0.16463930010984618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7685269</v>
      </c>
      <c r="D43" s="103">
        <f t="shared" si="4"/>
        <v>9920550</v>
      </c>
      <c r="E43" s="107">
        <f t="shared" si="5"/>
        <v>2235281</v>
      </c>
      <c r="F43" s="108">
        <f t="shared" si="6"/>
        <v>0.29085266891763972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9840972</v>
      </c>
      <c r="D44" s="103">
        <f t="shared" si="4"/>
        <v>9992017</v>
      </c>
      <c r="E44" s="107">
        <f t="shared" si="5"/>
        <v>151045</v>
      </c>
      <c r="F44" s="108">
        <f t="shared" si="6"/>
        <v>1.5348585485254912E-2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365434</v>
      </c>
      <c r="D45" s="103">
        <f t="shared" si="4"/>
        <v>324651</v>
      </c>
      <c r="E45" s="107">
        <f t="shared" si="5"/>
        <v>-40783</v>
      </c>
      <c r="F45" s="108">
        <f t="shared" si="6"/>
        <v>-0.11160154774870427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0</v>
      </c>
      <c r="D46" s="103">
        <f t="shared" si="4"/>
        <v>0</v>
      </c>
      <c r="E46" s="107">
        <f t="shared" si="5"/>
        <v>0</v>
      </c>
      <c r="F46" s="108">
        <f t="shared" si="6"/>
        <v>0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80758008</v>
      </c>
      <c r="D47" s="103">
        <f t="shared" si="4"/>
        <v>71892993</v>
      </c>
      <c r="E47" s="107">
        <f t="shared" si="5"/>
        <v>-8865015</v>
      </c>
      <c r="F47" s="108">
        <f t="shared" si="6"/>
        <v>-0.10977258131478429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1457448</v>
      </c>
      <c r="D48" s="103">
        <f t="shared" si="4"/>
        <v>1716880</v>
      </c>
      <c r="E48" s="107">
        <f t="shared" si="5"/>
        <v>259432</v>
      </c>
      <c r="F48" s="108">
        <f t="shared" si="6"/>
        <v>0.17800429243444707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5706970</v>
      </c>
      <c r="D49" s="103">
        <f t="shared" si="4"/>
        <v>5558813</v>
      </c>
      <c r="E49" s="107">
        <f t="shared" si="5"/>
        <v>-148157</v>
      </c>
      <c r="F49" s="108">
        <f t="shared" si="6"/>
        <v>-2.596071120051446E-2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332574</v>
      </c>
      <c r="D50" s="103">
        <f t="shared" si="4"/>
        <v>0</v>
      </c>
      <c r="E50" s="107">
        <f t="shared" si="5"/>
        <v>-332574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136953</v>
      </c>
      <c r="D51" s="103">
        <f t="shared" si="4"/>
        <v>138619</v>
      </c>
      <c r="E51" s="107">
        <f t="shared" si="5"/>
        <v>1666</v>
      </c>
      <c r="F51" s="108">
        <f t="shared" si="6"/>
        <v>1.2164757252488079E-2</v>
      </c>
    </row>
    <row r="52" spans="1:6" ht="18.75" customHeight="1" thickBot="1" x14ac:dyDescent="0.3">
      <c r="A52" s="109"/>
      <c r="B52" s="110" t="s">
        <v>128</v>
      </c>
      <c r="C52" s="111">
        <f>SUM(C41:C51)</f>
        <v>204296146</v>
      </c>
      <c r="D52" s="112">
        <f>SUM(D41:D51)</f>
        <v>184109980</v>
      </c>
      <c r="E52" s="111">
        <f t="shared" si="5"/>
        <v>-20186166</v>
      </c>
      <c r="F52" s="113">
        <f t="shared" si="6"/>
        <v>-9.8808354417023611E-2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18277886</v>
      </c>
      <c r="D57" s="97">
        <v>12559405</v>
      </c>
      <c r="E57" s="97">
        <f t="shared" ref="E57:E68" si="7">D57-C57</f>
        <v>-5718481</v>
      </c>
      <c r="F57" s="98">
        <f t="shared" ref="F57:F68" si="8">IF(C57=0,0,E57/C57)</f>
        <v>-0.31286336942904669</v>
      </c>
    </row>
    <row r="58" spans="1:6" ht="18" customHeight="1" x14ac:dyDescent="0.25">
      <c r="A58" s="99">
        <v>2</v>
      </c>
      <c r="B58" s="100" t="s">
        <v>113</v>
      </c>
      <c r="C58" s="97">
        <v>5816238</v>
      </c>
      <c r="D58" s="97">
        <v>8121966</v>
      </c>
      <c r="E58" s="97">
        <f t="shared" si="7"/>
        <v>2305728</v>
      </c>
      <c r="F58" s="98">
        <f t="shared" si="8"/>
        <v>0.39642944459975676</v>
      </c>
    </row>
    <row r="59" spans="1:6" ht="18" customHeight="1" x14ac:dyDescent="0.25">
      <c r="A59" s="99">
        <v>3</v>
      </c>
      <c r="B59" s="100" t="s">
        <v>114</v>
      </c>
      <c r="C59" s="97">
        <v>748518</v>
      </c>
      <c r="D59" s="97">
        <v>1110995</v>
      </c>
      <c r="E59" s="97">
        <f t="shared" si="7"/>
        <v>362477</v>
      </c>
      <c r="F59" s="98">
        <f t="shared" si="8"/>
        <v>0.48425956356426969</v>
      </c>
    </row>
    <row r="60" spans="1:6" ht="18" customHeight="1" x14ac:dyDescent="0.25">
      <c r="A60" s="99">
        <v>4</v>
      </c>
      <c r="B60" s="100" t="s">
        <v>115</v>
      </c>
      <c r="C60" s="97">
        <v>807011</v>
      </c>
      <c r="D60" s="97">
        <v>1094642</v>
      </c>
      <c r="E60" s="97">
        <f t="shared" si="7"/>
        <v>287631</v>
      </c>
      <c r="F60" s="98">
        <f t="shared" si="8"/>
        <v>0.35641521614947008</v>
      </c>
    </row>
    <row r="61" spans="1:6" ht="18" customHeight="1" x14ac:dyDescent="0.25">
      <c r="A61" s="99">
        <v>5</v>
      </c>
      <c r="B61" s="100" t="s">
        <v>116</v>
      </c>
      <c r="C61" s="97">
        <v>37915</v>
      </c>
      <c r="D61" s="97">
        <v>46183</v>
      </c>
      <c r="E61" s="97">
        <f t="shared" si="7"/>
        <v>8268</v>
      </c>
      <c r="F61" s="98">
        <f t="shared" si="8"/>
        <v>0.21806672820783332</v>
      </c>
    </row>
    <row r="62" spans="1:6" ht="18" customHeight="1" x14ac:dyDescent="0.25">
      <c r="A62" s="99">
        <v>6</v>
      </c>
      <c r="B62" s="100" t="s">
        <v>117</v>
      </c>
      <c r="C62" s="97">
        <v>0</v>
      </c>
      <c r="D62" s="97">
        <v>0</v>
      </c>
      <c r="E62" s="97">
        <f t="shared" si="7"/>
        <v>0</v>
      </c>
      <c r="F62" s="98">
        <f t="shared" si="8"/>
        <v>0</v>
      </c>
    </row>
    <row r="63" spans="1:6" ht="18" customHeight="1" x14ac:dyDescent="0.25">
      <c r="A63" s="99">
        <v>7</v>
      </c>
      <c r="B63" s="100" t="s">
        <v>118</v>
      </c>
      <c r="C63" s="97">
        <v>14347121</v>
      </c>
      <c r="D63" s="97">
        <v>13314993</v>
      </c>
      <c r="E63" s="97">
        <f t="shared" si="7"/>
        <v>-1032128</v>
      </c>
      <c r="F63" s="98">
        <f t="shared" si="8"/>
        <v>-7.1939729232087746E-2</v>
      </c>
    </row>
    <row r="64" spans="1:6" ht="18" customHeight="1" x14ac:dyDescent="0.25">
      <c r="A64" s="99">
        <v>8</v>
      </c>
      <c r="B64" s="100" t="s">
        <v>119</v>
      </c>
      <c r="C64" s="97">
        <v>106915</v>
      </c>
      <c r="D64" s="97">
        <v>240299</v>
      </c>
      <c r="E64" s="97">
        <f t="shared" si="7"/>
        <v>133384</v>
      </c>
      <c r="F64" s="98">
        <f t="shared" si="8"/>
        <v>1.2475704999298509</v>
      </c>
    </row>
    <row r="65" spans="1:6" ht="18" customHeight="1" x14ac:dyDescent="0.25">
      <c r="A65" s="99">
        <v>9</v>
      </c>
      <c r="B65" s="100" t="s">
        <v>120</v>
      </c>
      <c r="C65" s="97">
        <v>25685</v>
      </c>
      <c r="D65" s="97">
        <v>34130</v>
      </c>
      <c r="E65" s="97">
        <f t="shared" si="7"/>
        <v>8445</v>
      </c>
      <c r="F65" s="98">
        <f t="shared" si="8"/>
        <v>0.32879112322367138</v>
      </c>
    </row>
    <row r="66" spans="1:6" ht="18" customHeight="1" x14ac:dyDescent="0.25">
      <c r="A66" s="99">
        <v>10</v>
      </c>
      <c r="B66" s="100" t="s">
        <v>121</v>
      </c>
      <c r="C66" s="97">
        <v>9909</v>
      </c>
      <c r="D66" s="97">
        <v>0</v>
      </c>
      <c r="E66" s="97">
        <f t="shared" si="7"/>
        <v>-9909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3634</v>
      </c>
      <c r="D67" s="97">
        <v>18017</v>
      </c>
      <c r="E67" s="97">
        <f t="shared" si="7"/>
        <v>14383</v>
      </c>
      <c r="F67" s="98">
        <f t="shared" si="8"/>
        <v>3.9578976334617502</v>
      </c>
    </row>
    <row r="68" spans="1:6" ht="18" customHeight="1" x14ac:dyDescent="0.25">
      <c r="A68" s="101"/>
      <c r="B68" s="102" t="s">
        <v>131</v>
      </c>
      <c r="C68" s="103">
        <f>SUM(C57:C67)</f>
        <v>40180832</v>
      </c>
      <c r="D68" s="103">
        <f>SUM(D57:D67)</f>
        <v>36540630</v>
      </c>
      <c r="E68" s="103">
        <f t="shared" si="7"/>
        <v>-3640202</v>
      </c>
      <c r="F68" s="104">
        <f t="shared" si="8"/>
        <v>-9.0595485927220221E-2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4276417</v>
      </c>
      <c r="D70" s="97">
        <v>4833331</v>
      </c>
      <c r="E70" s="97">
        <f t="shared" ref="E70:E81" si="9">D70-C70</f>
        <v>556914</v>
      </c>
      <c r="F70" s="98">
        <f t="shared" ref="F70:F81" si="10">IF(C70=0,0,E70/C70)</f>
        <v>0.1302291147004607</v>
      </c>
    </row>
    <row r="71" spans="1:6" ht="18" customHeight="1" x14ac:dyDescent="0.25">
      <c r="A71" s="99">
        <v>2</v>
      </c>
      <c r="B71" s="100" t="s">
        <v>113</v>
      </c>
      <c r="C71" s="97">
        <v>2046198</v>
      </c>
      <c r="D71" s="97">
        <v>3673571</v>
      </c>
      <c r="E71" s="97">
        <f t="shared" si="9"/>
        <v>1627373</v>
      </c>
      <c r="F71" s="98">
        <f t="shared" si="10"/>
        <v>0.79531550710146326</v>
      </c>
    </row>
    <row r="72" spans="1:6" ht="18" customHeight="1" x14ac:dyDescent="0.25">
      <c r="A72" s="99">
        <v>3</v>
      </c>
      <c r="B72" s="100" t="s">
        <v>114</v>
      </c>
      <c r="C72" s="97">
        <v>463688</v>
      </c>
      <c r="D72" s="97">
        <v>941780</v>
      </c>
      <c r="E72" s="97">
        <f t="shared" si="9"/>
        <v>478092</v>
      </c>
      <c r="F72" s="98">
        <f t="shared" si="10"/>
        <v>1.0310639913044979</v>
      </c>
    </row>
    <row r="73" spans="1:6" ht="18" customHeight="1" x14ac:dyDescent="0.25">
      <c r="A73" s="99">
        <v>4</v>
      </c>
      <c r="B73" s="100" t="s">
        <v>115</v>
      </c>
      <c r="C73" s="97">
        <v>1986623</v>
      </c>
      <c r="D73" s="97">
        <v>2042143</v>
      </c>
      <c r="E73" s="97">
        <f t="shared" si="9"/>
        <v>55520</v>
      </c>
      <c r="F73" s="98">
        <f t="shared" si="10"/>
        <v>2.7946922994448366E-2</v>
      </c>
    </row>
    <row r="74" spans="1:6" ht="18" customHeight="1" x14ac:dyDescent="0.25">
      <c r="A74" s="99">
        <v>5</v>
      </c>
      <c r="B74" s="100" t="s">
        <v>116</v>
      </c>
      <c r="C74" s="97">
        <v>57711</v>
      </c>
      <c r="D74" s="97">
        <v>84314</v>
      </c>
      <c r="E74" s="97">
        <f t="shared" si="9"/>
        <v>26603</v>
      </c>
      <c r="F74" s="98">
        <f t="shared" si="10"/>
        <v>0.46096931260938123</v>
      </c>
    </row>
    <row r="75" spans="1:6" ht="18" customHeight="1" x14ac:dyDescent="0.25">
      <c r="A75" s="99">
        <v>6</v>
      </c>
      <c r="B75" s="100" t="s">
        <v>117</v>
      </c>
      <c r="C75" s="97">
        <v>0</v>
      </c>
      <c r="D75" s="97">
        <v>0</v>
      </c>
      <c r="E75" s="97">
        <f t="shared" si="9"/>
        <v>0</v>
      </c>
      <c r="F75" s="98">
        <f t="shared" si="10"/>
        <v>0</v>
      </c>
    </row>
    <row r="76" spans="1:6" ht="18" customHeight="1" x14ac:dyDescent="0.25">
      <c r="A76" s="99">
        <v>7</v>
      </c>
      <c r="B76" s="100" t="s">
        <v>118</v>
      </c>
      <c r="C76" s="97">
        <v>19775749</v>
      </c>
      <c r="D76" s="97">
        <v>20002972</v>
      </c>
      <c r="E76" s="97">
        <f t="shared" si="9"/>
        <v>227223</v>
      </c>
      <c r="F76" s="98">
        <f t="shared" si="10"/>
        <v>1.1489981997647725E-2</v>
      </c>
    </row>
    <row r="77" spans="1:6" ht="18" customHeight="1" x14ac:dyDescent="0.25">
      <c r="A77" s="99">
        <v>8</v>
      </c>
      <c r="B77" s="100" t="s">
        <v>119</v>
      </c>
      <c r="C77" s="97">
        <v>908758</v>
      </c>
      <c r="D77" s="97">
        <v>911844</v>
      </c>
      <c r="E77" s="97">
        <f t="shared" si="9"/>
        <v>3086</v>
      </c>
      <c r="F77" s="98">
        <f t="shared" si="10"/>
        <v>3.3958435579109071E-3</v>
      </c>
    </row>
    <row r="78" spans="1:6" ht="18" customHeight="1" x14ac:dyDescent="0.25">
      <c r="A78" s="99">
        <v>9</v>
      </c>
      <c r="B78" s="100" t="s">
        <v>120</v>
      </c>
      <c r="C78" s="97">
        <v>317583</v>
      </c>
      <c r="D78" s="97">
        <v>246883</v>
      </c>
      <c r="E78" s="97">
        <f t="shared" si="9"/>
        <v>-70700</v>
      </c>
      <c r="F78" s="98">
        <f t="shared" si="10"/>
        <v>-0.22261896889946881</v>
      </c>
    </row>
    <row r="79" spans="1:6" ht="18" customHeight="1" x14ac:dyDescent="0.25">
      <c r="A79" s="99">
        <v>10</v>
      </c>
      <c r="B79" s="100" t="s">
        <v>121</v>
      </c>
      <c r="C79" s="97">
        <v>12081</v>
      </c>
      <c r="D79" s="97">
        <v>0</v>
      </c>
      <c r="E79" s="97">
        <f t="shared" si="9"/>
        <v>-12081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36128</v>
      </c>
      <c r="D80" s="97">
        <v>67760</v>
      </c>
      <c r="E80" s="97">
        <f t="shared" si="9"/>
        <v>31632</v>
      </c>
      <c r="F80" s="98">
        <f t="shared" si="10"/>
        <v>0.87555358724534982</v>
      </c>
    </row>
    <row r="81" spans="1:6" ht="18" customHeight="1" x14ac:dyDescent="0.25">
      <c r="A81" s="101"/>
      <c r="B81" s="102" t="s">
        <v>133</v>
      </c>
      <c r="C81" s="103">
        <f>SUM(C70:C80)</f>
        <v>29880936</v>
      </c>
      <c r="D81" s="103">
        <f>SUM(D70:D80)</f>
        <v>32804598</v>
      </c>
      <c r="E81" s="103">
        <f t="shared" si="9"/>
        <v>2923662</v>
      </c>
      <c r="F81" s="104">
        <f t="shared" si="10"/>
        <v>9.7843722164526567E-2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22554303</v>
      </c>
      <c r="D84" s="103">
        <f t="shared" si="11"/>
        <v>17392736</v>
      </c>
      <c r="E84" s="103">
        <f t="shared" ref="E84:E95" si="12">D84-C84</f>
        <v>-5161567</v>
      </c>
      <c r="F84" s="104">
        <f t="shared" ref="F84:F95" si="13">IF(C84=0,0,E84/C84)</f>
        <v>-0.22885065435185473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7862436</v>
      </c>
      <c r="D85" s="103">
        <f t="shared" si="11"/>
        <v>11795537</v>
      </c>
      <c r="E85" s="103">
        <f t="shared" si="12"/>
        <v>3933101</v>
      </c>
      <c r="F85" s="104">
        <f t="shared" si="13"/>
        <v>0.50023949320541372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1212206</v>
      </c>
      <c r="D86" s="103">
        <f t="shared" si="11"/>
        <v>2052775</v>
      </c>
      <c r="E86" s="103">
        <f t="shared" si="12"/>
        <v>840569</v>
      </c>
      <c r="F86" s="104">
        <f t="shared" si="13"/>
        <v>0.6934209202066316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2793634</v>
      </c>
      <c r="D87" s="103">
        <f t="shared" si="11"/>
        <v>3136785</v>
      </c>
      <c r="E87" s="103">
        <f t="shared" si="12"/>
        <v>343151</v>
      </c>
      <c r="F87" s="104">
        <f t="shared" si="13"/>
        <v>0.12283319862229626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95626</v>
      </c>
      <c r="D88" s="103">
        <f t="shared" si="11"/>
        <v>130497</v>
      </c>
      <c r="E88" s="103">
        <f t="shared" si="12"/>
        <v>34871</v>
      </c>
      <c r="F88" s="104">
        <f t="shared" si="13"/>
        <v>0.36466023884717547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0</v>
      </c>
      <c r="D89" s="103">
        <f t="shared" si="11"/>
        <v>0</v>
      </c>
      <c r="E89" s="103">
        <f t="shared" si="12"/>
        <v>0</v>
      </c>
      <c r="F89" s="104">
        <f t="shared" si="13"/>
        <v>0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34122870</v>
      </c>
      <c r="D90" s="103">
        <f t="shared" si="11"/>
        <v>33317965</v>
      </c>
      <c r="E90" s="103">
        <f t="shared" si="12"/>
        <v>-804905</v>
      </c>
      <c r="F90" s="104">
        <f t="shared" si="13"/>
        <v>-2.3588432039860656E-2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1015673</v>
      </c>
      <c r="D91" s="103">
        <f t="shared" si="11"/>
        <v>1152143</v>
      </c>
      <c r="E91" s="103">
        <f t="shared" si="12"/>
        <v>136470</v>
      </c>
      <c r="F91" s="104">
        <f t="shared" si="13"/>
        <v>0.13436411128384826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343268</v>
      </c>
      <c r="D92" s="103">
        <f t="shared" si="11"/>
        <v>281013</v>
      </c>
      <c r="E92" s="103">
        <f t="shared" si="12"/>
        <v>-62255</v>
      </c>
      <c r="F92" s="104">
        <f t="shared" si="13"/>
        <v>-0.18135975389491593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21990</v>
      </c>
      <c r="D93" s="103">
        <f t="shared" si="11"/>
        <v>0</v>
      </c>
      <c r="E93" s="103">
        <f t="shared" si="12"/>
        <v>-21990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39762</v>
      </c>
      <c r="D94" s="103">
        <f t="shared" si="11"/>
        <v>85777</v>
      </c>
      <c r="E94" s="103">
        <f t="shared" si="12"/>
        <v>46015</v>
      </c>
      <c r="F94" s="104">
        <f t="shared" si="13"/>
        <v>1.1572607011719733</v>
      </c>
    </row>
    <row r="95" spans="1:6" ht="18.75" customHeight="1" thickBot="1" x14ac:dyDescent="0.3">
      <c r="A95" s="115"/>
      <c r="B95" s="116" t="s">
        <v>134</v>
      </c>
      <c r="C95" s="112">
        <f>SUM(C84:C94)</f>
        <v>70061768</v>
      </c>
      <c r="D95" s="112">
        <f>SUM(D84:D94)</f>
        <v>69345228</v>
      </c>
      <c r="E95" s="112">
        <f t="shared" si="12"/>
        <v>-716540</v>
      </c>
      <c r="F95" s="113">
        <f t="shared" si="13"/>
        <v>-1.0227261179021346E-2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1747</v>
      </c>
      <c r="D100" s="117">
        <v>1571</v>
      </c>
      <c r="E100" s="117">
        <f t="shared" ref="E100:E111" si="14">D100-C100</f>
        <v>-176</v>
      </c>
      <c r="F100" s="98">
        <f t="shared" ref="F100:F111" si="15">IF(C100=0,0,E100/C100)</f>
        <v>-0.10074413279908415</v>
      </c>
    </row>
    <row r="101" spans="1:6" ht="18" customHeight="1" x14ac:dyDescent="0.25">
      <c r="A101" s="99">
        <v>2</v>
      </c>
      <c r="B101" s="100" t="s">
        <v>113</v>
      </c>
      <c r="C101" s="117">
        <v>615</v>
      </c>
      <c r="D101" s="117">
        <v>479</v>
      </c>
      <c r="E101" s="117">
        <f t="shared" si="14"/>
        <v>-136</v>
      </c>
      <c r="F101" s="98">
        <f t="shared" si="15"/>
        <v>-0.22113821138211381</v>
      </c>
    </row>
    <row r="102" spans="1:6" ht="18" customHeight="1" x14ac:dyDescent="0.25">
      <c r="A102" s="99">
        <v>3</v>
      </c>
      <c r="B102" s="100" t="s">
        <v>114</v>
      </c>
      <c r="C102" s="117">
        <v>134</v>
      </c>
      <c r="D102" s="117">
        <v>179</v>
      </c>
      <c r="E102" s="117">
        <f t="shared" si="14"/>
        <v>45</v>
      </c>
      <c r="F102" s="98">
        <f t="shared" si="15"/>
        <v>0.33582089552238809</v>
      </c>
    </row>
    <row r="103" spans="1:6" ht="18" customHeight="1" x14ac:dyDescent="0.25">
      <c r="A103" s="99">
        <v>4</v>
      </c>
      <c r="B103" s="100" t="s">
        <v>115</v>
      </c>
      <c r="C103" s="117">
        <v>272</v>
      </c>
      <c r="D103" s="117">
        <v>338</v>
      </c>
      <c r="E103" s="117">
        <f t="shared" si="14"/>
        <v>66</v>
      </c>
      <c r="F103" s="98">
        <f t="shared" si="15"/>
        <v>0.24264705882352941</v>
      </c>
    </row>
    <row r="104" spans="1:6" ht="18" customHeight="1" x14ac:dyDescent="0.25">
      <c r="A104" s="99">
        <v>5</v>
      </c>
      <c r="B104" s="100" t="s">
        <v>116</v>
      </c>
      <c r="C104" s="117">
        <v>12</v>
      </c>
      <c r="D104" s="117">
        <v>8</v>
      </c>
      <c r="E104" s="117">
        <f t="shared" si="14"/>
        <v>-4</v>
      </c>
      <c r="F104" s="98">
        <f t="shared" si="15"/>
        <v>-0.33333333333333331</v>
      </c>
    </row>
    <row r="105" spans="1:6" ht="18" customHeight="1" x14ac:dyDescent="0.25">
      <c r="A105" s="99">
        <v>6</v>
      </c>
      <c r="B105" s="100" t="s">
        <v>117</v>
      </c>
      <c r="C105" s="117">
        <v>0</v>
      </c>
      <c r="D105" s="117">
        <v>0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1669</v>
      </c>
      <c r="D106" s="117">
        <v>1705</v>
      </c>
      <c r="E106" s="117">
        <f t="shared" si="14"/>
        <v>36</v>
      </c>
      <c r="F106" s="98">
        <f t="shared" si="15"/>
        <v>2.1569802276812461E-2</v>
      </c>
    </row>
    <row r="107" spans="1:6" ht="18" customHeight="1" x14ac:dyDescent="0.25">
      <c r="A107" s="99">
        <v>8</v>
      </c>
      <c r="B107" s="100" t="s">
        <v>119</v>
      </c>
      <c r="C107" s="117">
        <v>5</v>
      </c>
      <c r="D107" s="117">
        <v>14</v>
      </c>
      <c r="E107" s="117">
        <f t="shared" si="14"/>
        <v>9</v>
      </c>
      <c r="F107" s="98">
        <f t="shared" si="15"/>
        <v>1.8</v>
      </c>
    </row>
    <row r="108" spans="1:6" ht="18" customHeight="1" x14ac:dyDescent="0.25">
      <c r="A108" s="99">
        <v>9</v>
      </c>
      <c r="B108" s="100" t="s">
        <v>120</v>
      </c>
      <c r="C108" s="117">
        <v>79</v>
      </c>
      <c r="D108" s="117">
        <v>78</v>
      </c>
      <c r="E108" s="117">
        <f t="shared" si="14"/>
        <v>-1</v>
      </c>
      <c r="F108" s="98">
        <f t="shared" si="15"/>
        <v>-1.2658227848101266E-2</v>
      </c>
    </row>
    <row r="109" spans="1:6" ht="18" customHeight="1" x14ac:dyDescent="0.25">
      <c r="A109" s="99">
        <v>10</v>
      </c>
      <c r="B109" s="100" t="s">
        <v>121</v>
      </c>
      <c r="C109" s="117">
        <v>6</v>
      </c>
      <c r="D109" s="117">
        <v>0</v>
      </c>
      <c r="E109" s="117">
        <f t="shared" si="14"/>
        <v>-6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1</v>
      </c>
      <c r="D110" s="117">
        <v>2</v>
      </c>
      <c r="E110" s="117">
        <f t="shared" si="14"/>
        <v>1</v>
      </c>
      <c r="F110" s="98">
        <f t="shared" si="15"/>
        <v>1</v>
      </c>
    </row>
    <row r="111" spans="1:6" ht="18" customHeight="1" x14ac:dyDescent="0.25">
      <c r="A111" s="101"/>
      <c r="B111" s="102" t="s">
        <v>138</v>
      </c>
      <c r="C111" s="118">
        <f>SUM(C100:C110)</f>
        <v>4540</v>
      </c>
      <c r="D111" s="118">
        <f>SUM(D100:D110)</f>
        <v>4374</v>
      </c>
      <c r="E111" s="118">
        <f t="shared" si="14"/>
        <v>-166</v>
      </c>
      <c r="F111" s="104">
        <f t="shared" si="15"/>
        <v>-3.656387665198238E-2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8190</v>
      </c>
      <c r="D113" s="117">
        <v>7363</v>
      </c>
      <c r="E113" s="117">
        <f t="shared" ref="E113:E124" si="16">D113-C113</f>
        <v>-827</v>
      </c>
      <c r="F113" s="98">
        <f t="shared" ref="F113:F124" si="17">IF(C113=0,0,E113/C113)</f>
        <v>-0.10097680097680098</v>
      </c>
    </row>
    <row r="114" spans="1:6" ht="18" customHeight="1" x14ac:dyDescent="0.25">
      <c r="A114" s="99">
        <v>2</v>
      </c>
      <c r="B114" s="100" t="s">
        <v>113</v>
      </c>
      <c r="C114" s="117">
        <v>2632</v>
      </c>
      <c r="D114" s="117">
        <v>2214</v>
      </c>
      <c r="E114" s="117">
        <f t="shared" si="16"/>
        <v>-418</v>
      </c>
      <c r="F114" s="98">
        <f t="shared" si="17"/>
        <v>-0.15881458966565348</v>
      </c>
    </row>
    <row r="115" spans="1:6" ht="18" customHeight="1" x14ac:dyDescent="0.25">
      <c r="A115" s="99">
        <v>3</v>
      </c>
      <c r="B115" s="100" t="s">
        <v>114</v>
      </c>
      <c r="C115" s="117">
        <v>478</v>
      </c>
      <c r="D115" s="117">
        <v>778</v>
      </c>
      <c r="E115" s="117">
        <f t="shared" si="16"/>
        <v>300</v>
      </c>
      <c r="F115" s="98">
        <f t="shared" si="17"/>
        <v>0.62761506276150625</v>
      </c>
    </row>
    <row r="116" spans="1:6" ht="18" customHeight="1" x14ac:dyDescent="0.25">
      <c r="A116" s="99">
        <v>4</v>
      </c>
      <c r="B116" s="100" t="s">
        <v>115</v>
      </c>
      <c r="C116" s="117">
        <v>769</v>
      </c>
      <c r="D116" s="117">
        <v>984</v>
      </c>
      <c r="E116" s="117">
        <f t="shared" si="16"/>
        <v>215</v>
      </c>
      <c r="F116" s="98">
        <f t="shared" si="17"/>
        <v>0.27958387516254879</v>
      </c>
    </row>
    <row r="117" spans="1:6" ht="18" customHeight="1" x14ac:dyDescent="0.25">
      <c r="A117" s="99">
        <v>5</v>
      </c>
      <c r="B117" s="100" t="s">
        <v>116</v>
      </c>
      <c r="C117" s="117">
        <v>30</v>
      </c>
      <c r="D117" s="117">
        <v>27</v>
      </c>
      <c r="E117" s="117">
        <f t="shared" si="16"/>
        <v>-3</v>
      </c>
      <c r="F117" s="98">
        <f t="shared" si="17"/>
        <v>-0.1</v>
      </c>
    </row>
    <row r="118" spans="1:6" ht="18" customHeight="1" x14ac:dyDescent="0.25">
      <c r="A118" s="99">
        <v>6</v>
      </c>
      <c r="B118" s="100" t="s">
        <v>117</v>
      </c>
      <c r="C118" s="117">
        <v>0</v>
      </c>
      <c r="D118" s="117">
        <v>0</v>
      </c>
      <c r="E118" s="117">
        <f t="shared" si="16"/>
        <v>0</v>
      </c>
      <c r="F118" s="98">
        <f t="shared" si="17"/>
        <v>0</v>
      </c>
    </row>
    <row r="119" spans="1:6" ht="18" customHeight="1" x14ac:dyDescent="0.25">
      <c r="A119" s="99">
        <v>7</v>
      </c>
      <c r="B119" s="100" t="s">
        <v>118</v>
      </c>
      <c r="C119" s="117">
        <v>5292</v>
      </c>
      <c r="D119" s="117">
        <v>5591</v>
      </c>
      <c r="E119" s="117">
        <f t="shared" si="16"/>
        <v>299</v>
      </c>
      <c r="F119" s="98">
        <f t="shared" si="17"/>
        <v>5.6500377928949359E-2</v>
      </c>
    </row>
    <row r="120" spans="1:6" ht="18" customHeight="1" x14ac:dyDescent="0.25">
      <c r="A120" s="99">
        <v>8</v>
      </c>
      <c r="B120" s="100" t="s">
        <v>119</v>
      </c>
      <c r="C120" s="117">
        <v>19</v>
      </c>
      <c r="D120" s="117">
        <v>36</v>
      </c>
      <c r="E120" s="117">
        <f t="shared" si="16"/>
        <v>17</v>
      </c>
      <c r="F120" s="98">
        <f t="shared" si="17"/>
        <v>0.89473684210526316</v>
      </c>
    </row>
    <row r="121" spans="1:6" ht="18" customHeight="1" x14ac:dyDescent="0.25">
      <c r="A121" s="99">
        <v>9</v>
      </c>
      <c r="B121" s="100" t="s">
        <v>120</v>
      </c>
      <c r="C121" s="117">
        <v>278</v>
      </c>
      <c r="D121" s="117">
        <v>311</v>
      </c>
      <c r="E121" s="117">
        <f t="shared" si="16"/>
        <v>33</v>
      </c>
      <c r="F121" s="98">
        <f t="shared" si="17"/>
        <v>0.11870503597122302</v>
      </c>
    </row>
    <row r="122" spans="1:6" ht="18" customHeight="1" x14ac:dyDescent="0.25">
      <c r="A122" s="99">
        <v>10</v>
      </c>
      <c r="B122" s="100" t="s">
        <v>121</v>
      </c>
      <c r="C122" s="117">
        <v>16</v>
      </c>
      <c r="D122" s="117">
        <v>0</v>
      </c>
      <c r="E122" s="117">
        <f t="shared" si="16"/>
        <v>-16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4</v>
      </c>
      <c r="D123" s="117">
        <v>8</v>
      </c>
      <c r="E123" s="117">
        <f t="shared" si="16"/>
        <v>4</v>
      </c>
      <c r="F123" s="98">
        <f t="shared" si="17"/>
        <v>1</v>
      </c>
    </row>
    <row r="124" spans="1:6" ht="18" customHeight="1" x14ac:dyDescent="0.25">
      <c r="A124" s="101"/>
      <c r="B124" s="102" t="s">
        <v>140</v>
      </c>
      <c r="C124" s="118">
        <f>SUM(C113:C123)</f>
        <v>17708</v>
      </c>
      <c r="D124" s="118">
        <f>SUM(D113:D123)</f>
        <v>17312</v>
      </c>
      <c r="E124" s="118">
        <f t="shared" si="16"/>
        <v>-396</v>
      </c>
      <c r="F124" s="104">
        <f t="shared" si="17"/>
        <v>-2.2362773887508472E-2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4177</v>
      </c>
      <c r="D126" s="117">
        <v>8151</v>
      </c>
      <c r="E126" s="117">
        <f t="shared" ref="E126:E137" si="18">D126-C126</f>
        <v>3974</v>
      </c>
      <c r="F126" s="98">
        <f t="shared" ref="F126:F137" si="19">IF(C126=0,0,E126/C126)</f>
        <v>0.95140052669379938</v>
      </c>
    </row>
    <row r="127" spans="1:6" ht="18" customHeight="1" x14ac:dyDescent="0.25">
      <c r="A127" s="99">
        <v>2</v>
      </c>
      <c r="B127" s="100" t="s">
        <v>113</v>
      </c>
      <c r="C127" s="117">
        <v>6180</v>
      </c>
      <c r="D127" s="117">
        <v>5133</v>
      </c>
      <c r="E127" s="117">
        <f t="shared" si="18"/>
        <v>-1047</v>
      </c>
      <c r="F127" s="98">
        <f t="shared" si="19"/>
        <v>-0.16941747572815535</v>
      </c>
    </row>
    <row r="128" spans="1:6" ht="18" customHeight="1" x14ac:dyDescent="0.25">
      <c r="A128" s="99">
        <v>3</v>
      </c>
      <c r="B128" s="100" t="s">
        <v>114</v>
      </c>
      <c r="C128" s="117">
        <v>405</v>
      </c>
      <c r="D128" s="117">
        <v>3576</v>
      </c>
      <c r="E128" s="117">
        <f t="shared" si="18"/>
        <v>3171</v>
      </c>
      <c r="F128" s="98">
        <f t="shared" si="19"/>
        <v>7.8296296296296299</v>
      </c>
    </row>
    <row r="129" spans="1:6" ht="18" customHeight="1" x14ac:dyDescent="0.25">
      <c r="A129" s="99">
        <v>4</v>
      </c>
      <c r="B129" s="100" t="s">
        <v>115</v>
      </c>
      <c r="C129" s="117">
        <v>6804</v>
      </c>
      <c r="D129" s="117">
        <v>7107</v>
      </c>
      <c r="E129" s="117">
        <f t="shared" si="18"/>
        <v>303</v>
      </c>
      <c r="F129" s="98">
        <f t="shared" si="19"/>
        <v>4.4532627865961197E-2</v>
      </c>
    </row>
    <row r="130" spans="1:6" ht="18" customHeight="1" x14ac:dyDescent="0.25">
      <c r="A130" s="99">
        <v>5</v>
      </c>
      <c r="B130" s="100" t="s">
        <v>116</v>
      </c>
      <c r="C130" s="117">
        <v>55</v>
      </c>
      <c r="D130" s="117">
        <v>187</v>
      </c>
      <c r="E130" s="117">
        <f t="shared" si="18"/>
        <v>132</v>
      </c>
      <c r="F130" s="98">
        <f t="shared" si="19"/>
        <v>2.4</v>
      </c>
    </row>
    <row r="131" spans="1:6" ht="18" customHeight="1" x14ac:dyDescent="0.25">
      <c r="A131" s="99">
        <v>6</v>
      </c>
      <c r="B131" s="100" t="s">
        <v>117</v>
      </c>
      <c r="C131" s="117">
        <v>0</v>
      </c>
      <c r="D131" s="117">
        <v>0</v>
      </c>
      <c r="E131" s="117">
        <f t="shared" si="18"/>
        <v>0</v>
      </c>
      <c r="F131" s="98">
        <f t="shared" si="19"/>
        <v>0</v>
      </c>
    </row>
    <row r="132" spans="1:6" ht="18" customHeight="1" x14ac:dyDescent="0.25">
      <c r="A132" s="99">
        <v>7</v>
      </c>
      <c r="B132" s="100" t="s">
        <v>118</v>
      </c>
      <c r="C132" s="117">
        <v>19396</v>
      </c>
      <c r="D132" s="117">
        <v>33450</v>
      </c>
      <c r="E132" s="117">
        <f t="shared" si="18"/>
        <v>14054</v>
      </c>
      <c r="F132" s="98">
        <f t="shared" si="19"/>
        <v>0.72458238812126208</v>
      </c>
    </row>
    <row r="133" spans="1:6" ht="18" customHeight="1" x14ac:dyDescent="0.25">
      <c r="A133" s="99">
        <v>8</v>
      </c>
      <c r="B133" s="100" t="s">
        <v>119</v>
      </c>
      <c r="C133" s="117">
        <v>120</v>
      </c>
      <c r="D133" s="117">
        <v>1059</v>
      </c>
      <c r="E133" s="117">
        <f t="shared" si="18"/>
        <v>939</v>
      </c>
      <c r="F133" s="98">
        <f t="shared" si="19"/>
        <v>7.8250000000000002</v>
      </c>
    </row>
    <row r="134" spans="1:6" ht="18" customHeight="1" x14ac:dyDescent="0.25">
      <c r="A134" s="99">
        <v>9</v>
      </c>
      <c r="B134" s="100" t="s">
        <v>120</v>
      </c>
      <c r="C134" s="117">
        <v>213</v>
      </c>
      <c r="D134" s="117">
        <v>3048</v>
      </c>
      <c r="E134" s="117">
        <f t="shared" si="18"/>
        <v>2835</v>
      </c>
      <c r="F134" s="98">
        <f t="shared" si="19"/>
        <v>13.309859154929578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4</v>
      </c>
      <c r="D136" s="117">
        <v>112</v>
      </c>
      <c r="E136" s="117">
        <f t="shared" si="18"/>
        <v>108</v>
      </c>
      <c r="F136" s="98">
        <f t="shared" si="19"/>
        <v>27</v>
      </c>
    </row>
    <row r="137" spans="1:6" ht="18" customHeight="1" x14ac:dyDescent="0.25">
      <c r="A137" s="101"/>
      <c r="B137" s="102" t="s">
        <v>143</v>
      </c>
      <c r="C137" s="118">
        <f>SUM(C126:C136)</f>
        <v>37354</v>
      </c>
      <c r="D137" s="118">
        <f>SUM(D126:D136)</f>
        <v>61823</v>
      </c>
      <c r="E137" s="118">
        <f t="shared" si="18"/>
        <v>24469</v>
      </c>
      <c r="F137" s="104">
        <f t="shared" si="19"/>
        <v>0.65505702200567539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7393949</v>
      </c>
      <c r="D142" s="97">
        <v>7168302</v>
      </c>
      <c r="E142" s="97">
        <f t="shared" ref="E142:E153" si="20">D142-C142</f>
        <v>-225647</v>
      </c>
      <c r="F142" s="98">
        <f t="shared" ref="F142:F153" si="21">IF(C142=0,0,E142/C142)</f>
        <v>-3.0517792319097684E-2</v>
      </c>
    </row>
    <row r="143" spans="1:6" ht="18" customHeight="1" x14ac:dyDescent="0.25">
      <c r="A143" s="99">
        <v>2</v>
      </c>
      <c r="B143" s="100" t="s">
        <v>113</v>
      </c>
      <c r="C143" s="97">
        <v>2693955</v>
      </c>
      <c r="D143" s="97">
        <v>2430205</v>
      </c>
      <c r="E143" s="97">
        <f t="shared" si="20"/>
        <v>-263750</v>
      </c>
      <c r="F143" s="98">
        <f t="shared" si="21"/>
        <v>-9.7904382218708189E-2</v>
      </c>
    </row>
    <row r="144" spans="1:6" ht="18" customHeight="1" x14ac:dyDescent="0.25">
      <c r="A144" s="99">
        <v>3</v>
      </c>
      <c r="B144" s="100" t="s">
        <v>114</v>
      </c>
      <c r="C144" s="97">
        <v>3874635</v>
      </c>
      <c r="D144" s="97">
        <v>4213079</v>
      </c>
      <c r="E144" s="97">
        <f t="shared" si="20"/>
        <v>338444</v>
      </c>
      <c r="F144" s="98">
        <f t="shared" si="21"/>
        <v>8.734861477274633E-2</v>
      </c>
    </row>
    <row r="145" spans="1:6" ht="18" customHeight="1" x14ac:dyDescent="0.25">
      <c r="A145" s="99">
        <v>4</v>
      </c>
      <c r="B145" s="100" t="s">
        <v>115</v>
      </c>
      <c r="C145" s="97">
        <v>5205590</v>
      </c>
      <c r="D145" s="97">
        <v>5005305</v>
      </c>
      <c r="E145" s="97">
        <f t="shared" si="20"/>
        <v>-200285</v>
      </c>
      <c r="F145" s="98">
        <f t="shared" si="21"/>
        <v>-3.8474985544385942E-2</v>
      </c>
    </row>
    <row r="146" spans="1:6" ht="18" customHeight="1" x14ac:dyDescent="0.25">
      <c r="A146" s="99">
        <v>5</v>
      </c>
      <c r="B146" s="100" t="s">
        <v>116</v>
      </c>
      <c r="C146" s="97">
        <v>146766</v>
      </c>
      <c r="D146" s="97">
        <v>127514</v>
      </c>
      <c r="E146" s="97">
        <f t="shared" si="20"/>
        <v>-19252</v>
      </c>
      <c r="F146" s="98">
        <f t="shared" si="21"/>
        <v>-0.13117479525230638</v>
      </c>
    </row>
    <row r="147" spans="1:6" ht="18" customHeight="1" x14ac:dyDescent="0.25">
      <c r="A147" s="99">
        <v>6</v>
      </c>
      <c r="B147" s="100" t="s">
        <v>117</v>
      </c>
      <c r="C147" s="97">
        <v>0</v>
      </c>
      <c r="D147" s="97">
        <v>0</v>
      </c>
      <c r="E147" s="97">
        <f t="shared" si="20"/>
        <v>0</v>
      </c>
      <c r="F147" s="98">
        <f t="shared" si="21"/>
        <v>0</v>
      </c>
    </row>
    <row r="148" spans="1:6" ht="18" customHeight="1" x14ac:dyDescent="0.25">
      <c r="A148" s="99">
        <v>7</v>
      </c>
      <c r="B148" s="100" t="s">
        <v>118</v>
      </c>
      <c r="C148" s="97">
        <v>20076386</v>
      </c>
      <c r="D148" s="97">
        <v>18318386</v>
      </c>
      <c r="E148" s="97">
        <f t="shared" si="20"/>
        <v>-1758000</v>
      </c>
      <c r="F148" s="98">
        <f t="shared" si="21"/>
        <v>-8.7565560853432492E-2</v>
      </c>
    </row>
    <row r="149" spans="1:6" ht="18" customHeight="1" x14ac:dyDescent="0.25">
      <c r="A149" s="99">
        <v>8</v>
      </c>
      <c r="B149" s="100" t="s">
        <v>119</v>
      </c>
      <c r="C149" s="97">
        <v>825586</v>
      </c>
      <c r="D149" s="97">
        <v>833614</v>
      </c>
      <c r="E149" s="97">
        <f t="shared" si="20"/>
        <v>8028</v>
      </c>
      <c r="F149" s="98">
        <f t="shared" si="21"/>
        <v>9.7240021027488362E-3</v>
      </c>
    </row>
    <row r="150" spans="1:6" ht="18" customHeight="1" x14ac:dyDescent="0.25">
      <c r="A150" s="99">
        <v>9</v>
      </c>
      <c r="B150" s="100" t="s">
        <v>120</v>
      </c>
      <c r="C150" s="97">
        <v>3715375</v>
      </c>
      <c r="D150" s="97">
        <v>3356904</v>
      </c>
      <c r="E150" s="97">
        <f t="shared" si="20"/>
        <v>-358471</v>
      </c>
      <c r="F150" s="98">
        <f t="shared" si="21"/>
        <v>-9.6483127544325947E-2</v>
      </c>
    </row>
    <row r="151" spans="1:6" ht="18" customHeight="1" x14ac:dyDescent="0.25">
      <c r="A151" s="99">
        <v>10</v>
      </c>
      <c r="B151" s="100" t="s">
        <v>121</v>
      </c>
      <c r="C151" s="97">
        <v>11093</v>
      </c>
      <c r="D151" s="97">
        <v>0</v>
      </c>
      <c r="E151" s="97">
        <f t="shared" si="20"/>
        <v>-11093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109942</v>
      </c>
      <c r="D152" s="97">
        <v>91955</v>
      </c>
      <c r="E152" s="97">
        <f t="shared" si="20"/>
        <v>-17987</v>
      </c>
      <c r="F152" s="98">
        <f t="shared" si="21"/>
        <v>-0.16360444598060794</v>
      </c>
    </row>
    <row r="153" spans="1:6" ht="33.75" customHeight="1" x14ac:dyDescent="0.25">
      <c r="A153" s="101"/>
      <c r="B153" s="102" t="s">
        <v>147</v>
      </c>
      <c r="C153" s="103">
        <f>SUM(C142:C152)</f>
        <v>44053277</v>
      </c>
      <c r="D153" s="103">
        <f>SUM(D142:D152)</f>
        <v>41545264</v>
      </c>
      <c r="E153" s="103">
        <f t="shared" si="20"/>
        <v>-2508013</v>
      </c>
      <c r="F153" s="104">
        <f t="shared" si="21"/>
        <v>-5.6931360634079504E-2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1819205</v>
      </c>
      <c r="D155" s="97">
        <v>1896507</v>
      </c>
      <c r="E155" s="97">
        <f t="shared" ref="E155:E166" si="22">D155-C155</f>
        <v>77302</v>
      </c>
      <c r="F155" s="98">
        <f t="shared" ref="F155:F166" si="23">IF(C155=0,0,E155/C155)</f>
        <v>4.249218752147229E-2</v>
      </c>
    </row>
    <row r="156" spans="1:6" ht="18" customHeight="1" x14ac:dyDescent="0.25">
      <c r="A156" s="99">
        <v>2</v>
      </c>
      <c r="B156" s="100" t="s">
        <v>113</v>
      </c>
      <c r="C156" s="97">
        <v>697356</v>
      </c>
      <c r="D156" s="97">
        <v>855857</v>
      </c>
      <c r="E156" s="97">
        <f t="shared" si="22"/>
        <v>158501</v>
      </c>
      <c r="F156" s="98">
        <f t="shared" si="23"/>
        <v>0.22728850113858631</v>
      </c>
    </row>
    <row r="157" spans="1:6" ht="18" customHeight="1" x14ac:dyDescent="0.25">
      <c r="A157" s="99">
        <v>3</v>
      </c>
      <c r="B157" s="100" t="s">
        <v>114</v>
      </c>
      <c r="C157" s="97">
        <v>405951</v>
      </c>
      <c r="D157" s="97">
        <v>791975</v>
      </c>
      <c r="E157" s="97">
        <f t="shared" si="22"/>
        <v>386024</v>
      </c>
      <c r="F157" s="98">
        <f t="shared" si="23"/>
        <v>0.95091279489396507</v>
      </c>
    </row>
    <row r="158" spans="1:6" ht="18" customHeight="1" x14ac:dyDescent="0.25">
      <c r="A158" s="99">
        <v>4</v>
      </c>
      <c r="B158" s="100" t="s">
        <v>115</v>
      </c>
      <c r="C158" s="97">
        <v>1451134</v>
      </c>
      <c r="D158" s="97">
        <v>1488419</v>
      </c>
      <c r="E158" s="97">
        <f t="shared" si="22"/>
        <v>37285</v>
      </c>
      <c r="F158" s="98">
        <f t="shared" si="23"/>
        <v>2.5693698858961337E-2</v>
      </c>
    </row>
    <row r="159" spans="1:6" ht="18" customHeight="1" x14ac:dyDescent="0.25">
      <c r="A159" s="99">
        <v>5</v>
      </c>
      <c r="B159" s="100" t="s">
        <v>116</v>
      </c>
      <c r="C159" s="97">
        <v>39739</v>
      </c>
      <c r="D159" s="97">
        <v>45540</v>
      </c>
      <c r="E159" s="97">
        <f t="shared" si="22"/>
        <v>5801</v>
      </c>
      <c r="F159" s="98">
        <f t="shared" si="23"/>
        <v>0.14597750320843503</v>
      </c>
    </row>
    <row r="160" spans="1:6" ht="18" customHeight="1" x14ac:dyDescent="0.25">
      <c r="A160" s="99">
        <v>6</v>
      </c>
      <c r="B160" s="100" t="s">
        <v>117</v>
      </c>
      <c r="C160" s="97">
        <v>0</v>
      </c>
      <c r="D160" s="97">
        <v>0</v>
      </c>
      <c r="E160" s="97">
        <f t="shared" si="22"/>
        <v>0</v>
      </c>
      <c r="F160" s="98">
        <f t="shared" si="23"/>
        <v>0</v>
      </c>
    </row>
    <row r="161" spans="1:6" ht="18" customHeight="1" x14ac:dyDescent="0.25">
      <c r="A161" s="99">
        <v>7</v>
      </c>
      <c r="B161" s="100" t="s">
        <v>118</v>
      </c>
      <c r="C161" s="97">
        <v>8621343</v>
      </c>
      <c r="D161" s="97">
        <v>8100837</v>
      </c>
      <c r="E161" s="97">
        <f t="shared" si="22"/>
        <v>-520506</v>
      </c>
      <c r="F161" s="98">
        <f t="shared" si="23"/>
        <v>-6.0374120366165691E-2</v>
      </c>
    </row>
    <row r="162" spans="1:6" ht="18" customHeight="1" x14ac:dyDescent="0.25">
      <c r="A162" s="99">
        <v>8</v>
      </c>
      <c r="B162" s="100" t="s">
        <v>119</v>
      </c>
      <c r="C162" s="97">
        <v>593272</v>
      </c>
      <c r="D162" s="97">
        <v>479064</v>
      </c>
      <c r="E162" s="97">
        <f t="shared" si="22"/>
        <v>-114208</v>
      </c>
      <c r="F162" s="98">
        <f t="shared" si="23"/>
        <v>-0.19250529268194017</v>
      </c>
    </row>
    <row r="163" spans="1:6" ht="18" customHeight="1" x14ac:dyDescent="0.25">
      <c r="A163" s="99">
        <v>9</v>
      </c>
      <c r="B163" s="100" t="s">
        <v>120</v>
      </c>
      <c r="C163" s="97">
        <v>297750</v>
      </c>
      <c r="D163" s="97">
        <v>220549</v>
      </c>
      <c r="E163" s="97">
        <f t="shared" si="22"/>
        <v>-77201</v>
      </c>
      <c r="F163" s="98">
        <f t="shared" si="23"/>
        <v>-0.25928127623845509</v>
      </c>
    </row>
    <row r="164" spans="1:6" ht="18" customHeight="1" x14ac:dyDescent="0.25">
      <c r="A164" s="99">
        <v>10</v>
      </c>
      <c r="B164" s="100" t="s">
        <v>121</v>
      </c>
      <c r="C164" s="97">
        <v>733</v>
      </c>
      <c r="D164" s="97">
        <v>0</v>
      </c>
      <c r="E164" s="97">
        <f t="shared" si="22"/>
        <v>-733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33479</v>
      </c>
      <c r="D165" s="97">
        <v>45159</v>
      </c>
      <c r="E165" s="97">
        <f t="shared" si="22"/>
        <v>11680</v>
      </c>
      <c r="F165" s="98">
        <f t="shared" si="23"/>
        <v>0.34887541443890202</v>
      </c>
    </row>
    <row r="166" spans="1:6" ht="33.75" customHeight="1" x14ac:dyDescent="0.25">
      <c r="A166" s="101"/>
      <c r="B166" s="102" t="s">
        <v>149</v>
      </c>
      <c r="C166" s="103">
        <f>SUM(C155:C165)</f>
        <v>13959962</v>
      </c>
      <c r="D166" s="103">
        <f>SUM(D155:D165)</f>
        <v>13923907</v>
      </c>
      <c r="E166" s="103">
        <f t="shared" si="22"/>
        <v>-36055</v>
      </c>
      <c r="F166" s="104">
        <f t="shared" si="23"/>
        <v>-2.5827434200752122E-3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4247</v>
      </c>
      <c r="D168" s="117">
        <v>4088</v>
      </c>
      <c r="E168" s="117">
        <f t="shared" ref="E168:E179" si="24">D168-C168</f>
        <v>-159</v>
      </c>
      <c r="F168" s="98">
        <f t="shared" ref="F168:F179" si="25">IF(C168=0,0,E168/C168)</f>
        <v>-3.7438191664704495E-2</v>
      </c>
    </row>
    <row r="169" spans="1:6" ht="18" customHeight="1" x14ac:dyDescent="0.25">
      <c r="A169" s="99">
        <v>2</v>
      </c>
      <c r="B169" s="100" t="s">
        <v>113</v>
      </c>
      <c r="C169" s="117">
        <v>1355</v>
      </c>
      <c r="D169" s="117">
        <v>1368</v>
      </c>
      <c r="E169" s="117">
        <f t="shared" si="24"/>
        <v>13</v>
      </c>
      <c r="F169" s="98">
        <f t="shared" si="25"/>
        <v>9.5940959409594097E-3</v>
      </c>
    </row>
    <row r="170" spans="1:6" ht="18" customHeight="1" x14ac:dyDescent="0.25">
      <c r="A170" s="99">
        <v>3</v>
      </c>
      <c r="B170" s="100" t="s">
        <v>114</v>
      </c>
      <c r="C170" s="117">
        <v>2867</v>
      </c>
      <c r="D170" s="117">
        <v>3118</v>
      </c>
      <c r="E170" s="117">
        <f t="shared" si="24"/>
        <v>251</v>
      </c>
      <c r="F170" s="98">
        <f t="shared" si="25"/>
        <v>8.7547959539588424E-2</v>
      </c>
    </row>
    <row r="171" spans="1:6" ht="18" customHeight="1" x14ac:dyDescent="0.25">
      <c r="A171" s="99">
        <v>4</v>
      </c>
      <c r="B171" s="100" t="s">
        <v>115</v>
      </c>
      <c r="C171" s="117">
        <v>4911</v>
      </c>
      <c r="D171" s="117">
        <v>4994</v>
      </c>
      <c r="E171" s="117">
        <f t="shared" si="24"/>
        <v>83</v>
      </c>
      <c r="F171" s="98">
        <f t="shared" si="25"/>
        <v>1.6900834860517206E-2</v>
      </c>
    </row>
    <row r="172" spans="1:6" ht="18" customHeight="1" x14ac:dyDescent="0.25">
      <c r="A172" s="99">
        <v>5</v>
      </c>
      <c r="B172" s="100" t="s">
        <v>116</v>
      </c>
      <c r="C172" s="117">
        <v>120</v>
      </c>
      <c r="D172" s="117">
        <v>144</v>
      </c>
      <c r="E172" s="117">
        <f t="shared" si="24"/>
        <v>24</v>
      </c>
      <c r="F172" s="98">
        <f t="shared" si="25"/>
        <v>0.2</v>
      </c>
    </row>
    <row r="173" spans="1:6" ht="18" customHeight="1" x14ac:dyDescent="0.25">
      <c r="A173" s="99">
        <v>6</v>
      </c>
      <c r="B173" s="100" t="s">
        <v>117</v>
      </c>
      <c r="C173" s="117">
        <v>0</v>
      </c>
      <c r="D173" s="117">
        <v>0</v>
      </c>
      <c r="E173" s="117">
        <f t="shared" si="24"/>
        <v>0</v>
      </c>
      <c r="F173" s="98">
        <f t="shared" si="25"/>
        <v>0</v>
      </c>
    </row>
    <row r="174" spans="1:6" ht="18" customHeight="1" x14ac:dyDescent="0.25">
      <c r="A174" s="99">
        <v>7</v>
      </c>
      <c r="B174" s="100" t="s">
        <v>118</v>
      </c>
      <c r="C174" s="117">
        <v>17627</v>
      </c>
      <c r="D174" s="117">
        <v>16737</v>
      </c>
      <c r="E174" s="117">
        <f t="shared" si="24"/>
        <v>-890</v>
      </c>
      <c r="F174" s="98">
        <f t="shared" si="25"/>
        <v>-5.0490724456799231E-2</v>
      </c>
    </row>
    <row r="175" spans="1:6" ht="18" customHeight="1" x14ac:dyDescent="0.25">
      <c r="A175" s="99">
        <v>8</v>
      </c>
      <c r="B175" s="100" t="s">
        <v>119</v>
      </c>
      <c r="C175" s="117">
        <v>941</v>
      </c>
      <c r="D175" s="117">
        <v>901</v>
      </c>
      <c r="E175" s="117">
        <f t="shared" si="24"/>
        <v>-40</v>
      </c>
      <c r="F175" s="98">
        <f t="shared" si="25"/>
        <v>-4.250797024442083E-2</v>
      </c>
    </row>
    <row r="176" spans="1:6" ht="18" customHeight="1" x14ac:dyDescent="0.25">
      <c r="A176" s="99">
        <v>9</v>
      </c>
      <c r="B176" s="100" t="s">
        <v>120</v>
      </c>
      <c r="C176" s="117">
        <v>2877</v>
      </c>
      <c r="D176" s="117">
        <v>2833</v>
      </c>
      <c r="E176" s="117">
        <f t="shared" si="24"/>
        <v>-44</v>
      </c>
      <c r="F176" s="98">
        <f t="shared" si="25"/>
        <v>-1.5293708724365659E-2</v>
      </c>
    </row>
    <row r="177" spans="1:6" ht="18" customHeight="1" x14ac:dyDescent="0.25">
      <c r="A177" s="99">
        <v>10</v>
      </c>
      <c r="B177" s="100" t="s">
        <v>121</v>
      </c>
      <c r="C177" s="117">
        <v>3</v>
      </c>
      <c r="D177" s="117">
        <v>0</v>
      </c>
      <c r="E177" s="117">
        <f t="shared" si="24"/>
        <v>-3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101</v>
      </c>
      <c r="D178" s="117">
        <v>109</v>
      </c>
      <c r="E178" s="117">
        <f t="shared" si="24"/>
        <v>8</v>
      </c>
      <c r="F178" s="98">
        <f t="shared" si="25"/>
        <v>7.9207920792079209E-2</v>
      </c>
    </row>
    <row r="179" spans="1:6" ht="33.75" customHeight="1" x14ac:dyDescent="0.25">
      <c r="A179" s="101"/>
      <c r="B179" s="102" t="s">
        <v>151</v>
      </c>
      <c r="C179" s="118">
        <f>SUM(C168:C178)</f>
        <v>35049</v>
      </c>
      <c r="D179" s="118">
        <f>SUM(D168:D178)</f>
        <v>34292</v>
      </c>
      <c r="E179" s="118">
        <f t="shared" si="24"/>
        <v>-757</v>
      </c>
      <c r="F179" s="104">
        <f t="shared" si="25"/>
        <v>-2.1598333761305599E-2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FILING&amp;RMILFORD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8.8554687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17871610</v>
      </c>
      <c r="D15" s="146">
        <v>16272813</v>
      </c>
      <c r="E15" s="146">
        <f>+D15-C15</f>
        <v>-1598797</v>
      </c>
      <c r="F15" s="150">
        <f>IF(C15=0,0,E15/C15)</f>
        <v>-8.9460154960856908E-2</v>
      </c>
    </row>
    <row r="16" spans="1:7" ht="15" customHeight="1" x14ac:dyDescent="0.2">
      <c r="A16" s="141">
        <v>2</v>
      </c>
      <c r="B16" s="149" t="s">
        <v>158</v>
      </c>
      <c r="C16" s="146">
        <v>5249817</v>
      </c>
      <c r="D16" s="146">
        <v>5349273</v>
      </c>
      <c r="E16" s="146">
        <f>+D16-C16</f>
        <v>99456</v>
      </c>
      <c r="F16" s="150">
        <f>IF(C16=0,0,E16/C16)</f>
        <v>1.8944660356732434E-2</v>
      </c>
    </row>
    <row r="17" spans="1:7" ht="15" customHeight="1" x14ac:dyDescent="0.2">
      <c r="A17" s="141">
        <v>3</v>
      </c>
      <c r="B17" s="149" t="s">
        <v>159</v>
      </c>
      <c r="C17" s="146">
        <v>14239774</v>
      </c>
      <c r="D17" s="146">
        <v>16329168</v>
      </c>
      <c r="E17" s="146">
        <f>+D17-C17</f>
        <v>2089394</v>
      </c>
      <c r="F17" s="150">
        <f>IF(C17=0,0,E17/C17)</f>
        <v>0.14672943545311884</v>
      </c>
    </row>
    <row r="18" spans="1:7" ht="15.75" customHeight="1" x14ac:dyDescent="0.25">
      <c r="A18" s="141"/>
      <c r="B18" s="151" t="s">
        <v>160</v>
      </c>
      <c r="C18" s="147">
        <f>SUM(C15:C17)</f>
        <v>37361201</v>
      </c>
      <c r="D18" s="147">
        <f>SUM(D15:D17)</f>
        <v>37951254</v>
      </c>
      <c r="E18" s="147">
        <f>+D18-C18</f>
        <v>590053</v>
      </c>
      <c r="F18" s="148">
        <f>IF(C18=0,0,E18/C18)</f>
        <v>1.579320215107646E-2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7469549</v>
      </c>
      <c r="D21" s="146">
        <v>6268543</v>
      </c>
      <c r="E21" s="146">
        <f>+D21-C21</f>
        <v>-1201006</v>
      </c>
      <c r="F21" s="150">
        <f>IF(C21=0,0,E21/C21)</f>
        <v>-0.1607869497877315</v>
      </c>
    </row>
    <row r="22" spans="1:7" ht="15" customHeight="1" x14ac:dyDescent="0.2">
      <c r="A22" s="141">
        <v>2</v>
      </c>
      <c r="B22" s="149" t="s">
        <v>163</v>
      </c>
      <c r="C22" s="146">
        <v>1170003</v>
      </c>
      <c r="D22" s="146">
        <v>867350</v>
      </c>
      <c r="E22" s="146">
        <f>+D22-C22</f>
        <v>-302653</v>
      </c>
      <c r="F22" s="150">
        <f>IF(C22=0,0,E22/C22)</f>
        <v>-0.25867711450312519</v>
      </c>
    </row>
    <row r="23" spans="1:7" ht="15" customHeight="1" x14ac:dyDescent="0.2">
      <c r="A23" s="141">
        <v>3</v>
      </c>
      <c r="B23" s="149" t="s">
        <v>164</v>
      </c>
      <c r="C23" s="146">
        <v>5868930</v>
      </c>
      <c r="D23" s="146">
        <v>6291068</v>
      </c>
      <c r="E23" s="146">
        <f>+D23-C23</f>
        <v>422138</v>
      </c>
      <c r="F23" s="150">
        <f>IF(C23=0,0,E23/C23)</f>
        <v>7.1927591571206331E-2</v>
      </c>
    </row>
    <row r="24" spans="1:7" ht="15.75" customHeight="1" x14ac:dyDescent="0.25">
      <c r="A24" s="141"/>
      <c r="B24" s="151" t="s">
        <v>165</v>
      </c>
      <c r="C24" s="147">
        <f>SUM(C21:C23)</f>
        <v>14508482</v>
      </c>
      <c r="D24" s="147">
        <f>SUM(D21:D23)</f>
        <v>13426961</v>
      </c>
      <c r="E24" s="147">
        <f>+D24-C24</f>
        <v>-1081521</v>
      </c>
      <c r="F24" s="148">
        <f>IF(C24=0,0,E24/C24)</f>
        <v>-7.4544049473955987E-2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104532</v>
      </c>
      <c r="D27" s="146">
        <v>106776</v>
      </c>
      <c r="E27" s="146">
        <f>+D27-C27</f>
        <v>2244</v>
      </c>
      <c r="F27" s="150">
        <f>IF(C27=0,0,E27/C27)</f>
        <v>2.1467110549879462E-2</v>
      </c>
    </row>
    <row r="28" spans="1:7" ht="15" customHeight="1" x14ac:dyDescent="0.2">
      <c r="A28" s="141">
        <v>2</v>
      </c>
      <c r="B28" s="149" t="s">
        <v>168</v>
      </c>
      <c r="C28" s="146">
        <v>273288</v>
      </c>
      <c r="D28" s="146">
        <v>254333</v>
      </c>
      <c r="E28" s="146">
        <f>+D28-C28</f>
        <v>-18955</v>
      </c>
      <c r="F28" s="150">
        <f>IF(C28=0,0,E28/C28)</f>
        <v>-6.9359064430198181E-2</v>
      </c>
    </row>
    <row r="29" spans="1:7" ht="15" customHeight="1" x14ac:dyDescent="0.2">
      <c r="A29" s="141">
        <v>3</v>
      </c>
      <c r="B29" s="149" t="s">
        <v>169</v>
      </c>
      <c r="C29" s="146">
        <v>2290</v>
      </c>
      <c r="D29" s="146">
        <v>50</v>
      </c>
      <c r="E29" s="146">
        <f>+D29-C29</f>
        <v>-2240</v>
      </c>
      <c r="F29" s="150">
        <f>IF(C29=0,0,E29/C29)</f>
        <v>-0.97816593886462877</v>
      </c>
    </row>
    <row r="30" spans="1:7" ht="15.75" customHeight="1" x14ac:dyDescent="0.25">
      <c r="A30" s="141"/>
      <c r="B30" s="151" t="s">
        <v>170</v>
      </c>
      <c r="C30" s="147">
        <f>SUM(C27:C29)</f>
        <v>380110</v>
      </c>
      <c r="D30" s="147">
        <f>SUM(D27:D29)</f>
        <v>361159</v>
      </c>
      <c r="E30" s="147">
        <f>+D30-C30</f>
        <v>-18951</v>
      </c>
      <c r="F30" s="148">
        <f>IF(C30=0,0,E30/C30)</f>
        <v>-4.9856620451974427E-2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9316434</v>
      </c>
      <c r="D33" s="146">
        <v>9386927</v>
      </c>
      <c r="E33" s="146">
        <f>+D33-C33</f>
        <v>70493</v>
      </c>
      <c r="F33" s="150">
        <f>IF(C33=0,0,E33/C33)</f>
        <v>7.5665216970355826E-3</v>
      </c>
    </row>
    <row r="34" spans="1:7" ht="15" customHeight="1" x14ac:dyDescent="0.2">
      <c r="A34" s="141">
        <v>2</v>
      </c>
      <c r="B34" s="149" t="s">
        <v>174</v>
      </c>
      <c r="C34" s="146">
        <v>1669329</v>
      </c>
      <c r="D34" s="146">
        <v>1732866</v>
      </c>
      <c r="E34" s="146">
        <f>+D34-C34</f>
        <v>63537</v>
      </c>
      <c r="F34" s="150">
        <f>IF(C34=0,0,E34/C34)</f>
        <v>3.8061400718492282E-2</v>
      </c>
    </row>
    <row r="35" spans="1:7" ht="15.75" customHeight="1" x14ac:dyDescent="0.25">
      <c r="A35" s="141"/>
      <c r="B35" s="151" t="s">
        <v>175</v>
      </c>
      <c r="C35" s="147">
        <f>SUM(C33:C34)</f>
        <v>10985763</v>
      </c>
      <c r="D35" s="147">
        <f>SUM(D33:D34)</f>
        <v>11119793</v>
      </c>
      <c r="E35" s="147">
        <f>+D35-C35</f>
        <v>134030</v>
      </c>
      <c r="F35" s="148">
        <f>IF(C35=0,0,E35/C35)</f>
        <v>1.2200336016715453E-2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1416516</v>
      </c>
      <c r="D38" s="146">
        <v>1489826</v>
      </c>
      <c r="E38" s="146">
        <f>+D38-C38</f>
        <v>73310</v>
      </c>
      <c r="F38" s="150">
        <f>IF(C38=0,0,E38/C38)</f>
        <v>5.1753739456525727E-2</v>
      </c>
    </row>
    <row r="39" spans="1:7" ht="15" customHeight="1" x14ac:dyDescent="0.2">
      <c r="A39" s="141">
        <v>2</v>
      </c>
      <c r="B39" s="149" t="s">
        <v>179</v>
      </c>
      <c r="C39" s="146">
        <v>2148856</v>
      </c>
      <c r="D39" s="146">
        <v>1708953</v>
      </c>
      <c r="E39" s="146">
        <f>+D39-C39</f>
        <v>-439903</v>
      </c>
      <c r="F39" s="150">
        <f>IF(C39=0,0,E39/C39)</f>
        <v>-0.20471497392100726</v>
      </c>
    </row>
    <row r="40" spans="1:7" ht="15" customHeight="1" x14ac:dyDescent="0.2">
      <c r="A40" s="141">
        <v>3</v>
      </c>
      <c r="B40" s="149" t="s">
        <v>180</v>
      </c>
      <c r="C40" s="146">
        <v>9526</v>
      </c>
      <c r="D40" s="146">
        <v>9526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3574898</v>
      </c>
      <c r="D41" s="147">
        <f>SUM(D38:D40)</f>
        <v>3208305</v>
      </c>
      <c r="E41" s="147">
        <f>+D41-C41</f>
        <v>-366593</v>
      </c>
      <c r="F41" s="148">
        <f>IF(C41=0,0,E41/C41)</f>
        <v>-0.10254642230351747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6738669</v>
      </c>
      <c r="D44" s="146">
        <v>7611773</v>
      </c>
      <c r="E44" s="146">
        <f>+D44-C44</f>
        <v>873104</v>
      </c>
      <c r="F44" s="150">
        <f>IF(C44=0,0,E44/C44)</f>
        <v>0.12956623926772484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230967</v>
      </c>
      <c r="D47" s="146">
        <v>168405</v>
      </c>
      <c r="E47" s="146">
        <f>+D47-C47</f>
        <v>-62562</v>
      </c>
      <c r="F47" s="150">
        <f>IF(C47=0,0,E47/C47)</f>
        <v>-0.27086986452610112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1306068</v>
      </c>
      <c r="D50" s="146">
        <v>798342</v>
      </c>
      <c r="E50" s="146">
        <f>+D50-C50</f>
        <v>-507726</v>
      </c>
      <c r="F50" s="150">
        <f>IF(C50=0,0,E50/C50)</f>
        <v>-0.38874392451235312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67362</v>
      </c>
      <c r="D53" s="146">
        <v>62849</v>
      </c>
      <c r="E53" s="146">
        <f t="shared" ref="E53:E59" si="0">+D53-C53</f>
        <v>-4513</v>
      </c>
      <c r="F53" s="150">
        <f t="shared" ref="F53:F59" si="1">IF(C53=0,0,E53/C53)</f>
        <v>-6.6996229328107837E-2</v>
      </c>
    </row>
    <row r="54" spans="1:7" ht="15" customHeight="1" x14ac:dyDescent="0.2">
      <c r="A54" s="141">
        <v>2</v>
      </c>
      <c r="B54" s="149" t="s">
        <v>193</v>
      </c>
      <c r="C54" s="146">
        <v>434036</v>
      </c>
      <c r="D54" s="146">
        <v>581422</v>
      </c>
      <c r="E54" s="146">
        <f t="shared" si="0"/>
        <v>147386</v>
      </c>
      <c r="F54" s="150">
        <f t="shared" si="1"/>
        <v>0.33957091116865884</v>
      </c>
    </row>
    <row r="55" spans="1:7" ht="15" customHeight="1" x14ac:dyDescent="0.2">
      <c r="A55" s="141">
        <v>3</v>
      </c>
      <c r="B55" s="149" t="s">
        <v>194</v>
      </c>
      <c r="C55" s="146">
        <v>7243</v>
      </c>
      <c r="D55" s="146">
        <v>0</v>
      </c>
      <c r="E55" s="146">
        <f t="shared" si="0"/>
        <v>-7243</v>
      </c>
      <c r="F55" s="150">
        <f t="shared" si="1"/>
        <v>-1</v>
      </c>
    </row>
    <row r="56" spans="1:7" ht="15" customHeight="1" x14ac:dyDescent="0.2">
      <c r="A56" s="141">
        <v>4</v>
      </c>
      <c r="B56" s="149" t="s">
        <v>195</v>
      </c>
      <c r="C56" s="146">
        <v>1119777</v>
      </c>
      <c r="D56" s="146">
        <v>993023</v>
      </c>
      <c r="E56" s="146">
        <f t="shared" si="0"/>
        <v>-126754</v>
      </c>
      <c r="F56" s="150">
        <f t="shared" si="1"/>
        <v>-0.11319575236855195</v>
      </c>
    </row>
    <row r="57" spans="1:7" ht="15" customHeight="1" x14ac:dyDescent="0.2">
      <c r="A57" s="141">
        <v>5</v>
      </c>
      <c r="B57" s="149" t="s">
        <v>196</v>
      </c>
      <c r="C57" s="146">
        <v>75115</v>
      </c>
      <c r="D57" s="146">
        <v>83870</v>
      </c>
      <c r="E57" s="146">
        <f t="shared" si="0"/>
        <v>8755</v>
      </c>
      <c r="F57" s="150">
        <f t="shared" si="1"/>
        <v>0.11655461625507556</v>
      </c>
    </row>
    <row r="58" spans="1:7" ht="15" customHeight="1" x14ac:dyDescent="0.2">
      <c r="A58" s="141">
        <v>6</v>
      </c>
      <c r="B58" s="149" t="s">
        <v>197</v>
      </c>
      <c r="C58" s="146">
        <v>46255</v>
      </c>
      <c r="D58" s="146">
        <v>50480</v>
      </c>
      <c r="E58" s="146">
        <f t="shared" si="0"/>
        <v>4225</v>
      </c>
      <c r="F58" s="150">
        <f t="shared" si="1"/>
        <v>9.1341476597124632E-2</v>
      </c>
    </row>
    <row r="59" spans="1:7" ht="15.75" customHeight="1" x14ac:dyDescent="0.25">
      <c r="A59" s="141"/>
      <c r="B59" s="151" t="s">
        <v>198</v>
      </c>
      <c r="C59" s="147">
        <f>SUM(C53:C58)</f>
        <v>1749788</v>
      </c>
      <c r="D59" s="147">
        <f>SUM(D53:D58)</f>
        <v>1771644</v>
      </c>
      <c r="E59" s="147">
        <f t="shared" si="0"/>
        <v>21856</v>
      </c>
      <c r="F59" s="148">
        <f t="shared" si="1"/>
        <v>1.2490656010899607E-2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152065</v>
      </c>
      <c r="D62" s="146">
        <v>155159</v>
      </c>
      <c r="E62" s="146">
        <f t="shared" ref="E62:E78" si="2">+D62-C62</f>
        <v>3094</v>
      </c>
      <c r="F62" s="150">
        <f t="shared" ref="F62:F78" si="3">IF(C62=0,0,E62/C62)</f>
        <v>2.0346562325321407E-2</v>
      </c>
    </row>
    <row r="63" spans="1:7" ht="15" customHeight="1" x14ac:dyDescent="0.2">
      <c r="A63" s="141">
        <v>2</v>
      </c>
      <c r="B63" s="149" t="s">
        <v>202</v>
      </c>
      <c r="C63" s="146">
        <v>79422</v>
      </c>
      <c r="D63" s="146">
        <v>134345</v>
      </c>
      <c r="E63" s="146">
        <f t="shared" si="2"/>
        <v>54923</v>
      </c>
      <c r="F63" s="150">
        <f t="shared" si="3"/>
        <v>0.6915338319357357</v>
      </c>
    </row>
    <row r="64" spans="1:7" ht="15" customHeight="1" x14ac:dyDescent="0.2">
      <c r="A64" s="141">
        <v>3</v>
      </c>
      <c r="B64" s="149" t="s">
        <v>203</v>
      </c>
      <c r="C64" s="146">
        <v>458660</v>
      </c>
      <c r="D64" s="146">
        <v>404951</v>
      </c>
      <c r="E64" s="146">
        <f t="shared" si="2"/>
        <v>-53709</v>
      </c>
      <c r="F64" s="150">
        <f t="shared" si="3"/>
        <v>-0.11709981249727466</v>
      </c>
    </row>
    <row r="65" spans="1:7" ht="15" customHeight="1" x14ac:dyDescent="0.2">
      <c r="A65" s="141">
        <v>4</v>
      </c>
      <c r="B65" s="149" t="s">
        <v>204</v>
      </c>
      <c r="C65" s="146">
        <v>201990</v>
      </c>
      <c r="D65" s="146">
        <v>203633</v>
      </c>
      <c r="E65" s="146">
        <f t="shared" si="2"/>
        <v>1643</v>
      </c>
      <c r="F65" s="150">
        <f t="shared" si="3"/>
        <v>8.1340660428734102E-3</v>
      </c>
    </row>
    <row r="66" spans="1:7" ht="15" customHeight="1" x14ac:dyDescent="0.2">
      <c r="A66" s="141">
        <v>5</v>
      </c>
      <c r="B66" s="149" t="s">
        <v>205</v>
      </c>
      <c r="C66" s="146">
        <v>220500</v>
      </c>
      <c r="D66" s="146">
        <v>140464</v>
      </c>
      <c r="E66" s="146">
        <f t="shared" si="2"/>
        <v>-80036</v>
      </c>
      <c r="F66" s="150">
        <f t="shared" si="3"/>
        <v>-0.36297505668934238</v>
      </c>
    </row>
    <row r="67" spans="1:7" ht="15" customHeight="1" x14ac:dyDescent="0.2">
      <c r="A67" s="141">
        <v>6</v>
      </c>
      <c r="B67" s="149" t="s">
        <v>206</v>
      </c>
      <c r="C67" s="146">
        <v>133589</v>
      </c>
      <c r="D67" s="146">
        <v>135688</v>
      </c>
      <c r="E67" s="146">
        <f t="shared" si="2"/>
        <v>2099</v>
      </c>
      <c r="F67" s="150">
        <f t="shared" si="3"/>
        <v>1.5712371527595834E-2</v>
      </c>
    </row>
    <row r="68" spans="1:7" ht="15" customHeight="1" x14ac:dyDescent="0.2">
      <c r="A68" s="141">
        <v>7</v>
      </c>
      <c r="B68" s="149" t="s">
        <v>207</v>
      </c>
      <c r="C68" s="146">
        <v>408363</v>
      </c>
      <c r="D68" s="146">
        <v>389602</v>
      </c>
      <c r="E68" s="146">
        <f t="shared" si="2"/>
        <v>-18761</v>
      </c>
      <c r="F68" s="150">
        <f t="shared" si="3"/>
        <v>-4.5941968297813468E-2</v>
      </c>
    </row>
    <row r="69" spans="1:7" ht="15" customHeight="1" x14ac:dyDescent="0.2">
      <c r="A69" s="141">
        <v>8</v>
      </c>
      <c r="B69" s="149" t="s">
        <v>208</v>
      </c>
      <c r="C69" s="146">
        <v>211121</v>
      </c>
      <c r="D69" s="146">
        <v>120968</v>
      </c>
      <c r="E69" s="146">
        <f t="shared" si="2"/>
        <v>-90153</v>
      </c>
      <c r="F69" s="150">
        <f t="shared" si="3"/>
        <v>-0.42702052377546523</v>
      </c>
    </row>
    <row r="70" spans="1:7" ht="15" customHeight="1" x14ac:dyDescent="0.2">
      <c r="A70" s="141">
        <v>9</v>
      </c>
      <c r="B70" s="149" t="s">
        <v>209</v>
      </c>
      <c r="C70" s="146">
        <v>18029</v>
      </c>
      <c r="D70" s="146">
        <v>12574</v>
      </c>
      <c r="E70" s="146">
        <f t="shared" si="2"/>
        <v>-5455</v>
      </c>
      <c r="F70" s="150">
        <f t="shared" si="3"/>
        <v>-0.30256808475234342</v>
      </c>
    </row>
    <row r="71" spans="1:7" ht="15" customHeight="1" x14ac:dyDescent="0.2">
      <c r="A71" s="141">
        <v>10</v>
      </c>
      <c r="B71" s="149" t="s">
        <v>210</v>
      </c>
      <c r="C71" s="146">
        <v>11585</v>
      </c>
      <c r="D71" s="146">
        <v>20373</v>
      </c>
      <c r="E71" s="146">
        <f t="shared" si="2"/>
        <v>8788</v>
      </c>
      <c r="F71" s="150">
        <f t="shared" si="3"/>
        <v>0.75856711264566246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1415187</v>
      </c>
      <c r="D73" s="146">
        <v>1429373</v>
      </c>
      <c r="E73" s="146">
        <f t="shared" si="2"/>
        <v>14186</v>
      </c>
      <c r="F73" s="150">
        <f t="shared" si="3"/>
        <v>1.0024116954155175E-2</v>
      </c>
    </row>
    <row r="74" spans="1:7" ht="15" customHeight="1" x14ac:dyDescent="0.2">
      <c r="A74" s="141">
        <v>13</v>
      </c>
      <c r="B74" s="149" t="s">
        <v>213</v>
      </c>
      <c r="C74" s="146">
        <v>140277</v>
      </c>
      <c r="D74" s="146">
        <v>179897</v>
      </c>
      <c r="E74" s="146">
        <f t="shared" si="2"/>
        <v>39620</v>
      </c>
      <c r="F74" s="150">
        <f t="shared" si="3"/>
        <v>0.2824411699708434</v>
      </c>
    </row>
    <row r="75" spans="1:7" ht="15" customHeight="1" x14ac:dyDescent="0.2">
      <c r="A75" s="141">
        <v>14</v>
      </c>
      <c r="B75" s="149" t="s">
        <v>214</v>
      </c>
      <c r="C75" s="146">
        <v>45732</v>
      </c>
      <c r="D75" s="146">
        <v>41959</v>
      </c>
      <c r="E75" s="146">
        <f t="shared" si="2"/>
        <v>-3773</v>
      </c>
      <c r="F75" s="150">
        <f t="shared" si="3"/>
        <v>-8.2502405317939301E-2</v>
      </c>
    </row>
    <row r="76" spans="1:7" ht="15" customHeight="1" x14ac:dyDescent="0.2">
      <c r="A76" s="141">
        <v>15</v>
      </c>
      <c r="B76" s="149" t="s">
        <v>215</v>
      </c>
      <c r="C76" s="146">
        <v>93721</v>
      </c>
      <c r="D76" s="146">
        <v>110496</v>
      </c>
      <c r="E76" s="146">
        <f t="shared" si="2"/>
        <v>16775</v>
      </c>
      <c r="F76" s="150">
        <f t="shared" si="3"/>
        <v>0.17898870050468946</v>
      </c>
    </row>
    <row r="77" spans="1:7" ht="15" customHeight="1" x14ac:dyDescent="0.2">
      <c r="A77" s="141">
        <v>16</v>
      </c>
      <c r="B77" s="149" t="s">
        <v>216</v>
      </c>
      <c r="C77" s="146">
        <v>3982124</v>
      </c>
      <c r="D77" s="146">
        <v>4193714</v>
      </c>
      <c r="E77" s="146">
        <f t="shared" si="2"/>
        <v>211590</v>
      </c>
      <c r="F77" s="150">
        <f t="shared" si="3"/>
        <v>5.3134960136851588E-2</v>
      </c>
    </row>
    <row r="78" spans="1:7" ht="15.75" customHeight="1" x14ac:dyDescent="0.25">
      <c r="A78" s="141"/>
      <c r="B78" s="151" t="s">
        <v>217</v>
      </c>
      <c r="C78" s="147">
        <f>SUM(C62:C77)</f>
        <v>7572365</v>
      </c>
      <c r="D78" s="147">
        <f>SUM(D62:D77)</f>
        <v>7673196</v>
      </c>
      <c r="E78" s="147">
        <f t="shared" si="2"/>
        <v>100831</v>
      </c>
      <c r="F78" s="148">
        <f t="shared" si="3"/>
        <v>1.3315655016629548E-2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1639427</v>
      </c>
      <c r="D81" s="146">
        <v>1496690</v>
      </c>
      <c r="E81" s="146">
        <f>+D81-C81</f>
        <v>-142737</v>
      </c>
      <c r="F81" s="150">
        <f>IF(C81=0,0,E81/C81)</f>
        <v>-8.7065175820576338E-2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86047738</v>
      </c>
      <c r="D83" s="147">
        <f>+D81+D78+D59+D50+D47+D44+D41+D35+D30+D24+D18</f>
        <v>85587522</v>
      </c>
      <c r="E83" s="147">
        <f>+D83-C83</f>
        <v>-460216</v>
      </c>
      <c r="F83" s="148">
        <f>IF(C83=0,0,E83/C83)</f>
        <v>-5.3483799887918031E-3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2304717</v>
      </c>
      <c r="D91" s="146">
        <v>2800636</v>
      </c>
      <c r="E91" s="146">
        <f t="shared" ref="E91:E109" si="4">D91-C91</f>
        <v>495919</v>
      </c>
      <c r="F91" s="150">
        <f t="shared" ref="F91:F109" si="5">IF(C91=0,0,E91/C91)</f>
        <v>0.21517565931088287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609156</v>
      </c>
      <c r="D92" s="146">
        <v>626917</v>
      </c>
      <c r="E92" s="146">
        <f t="shared" si="4"/>
        <v>17761</v>
      </c>
      <c r="F92" s="150">
        <f t="shared" si="5"/>
        <v>2.915673489221152E-2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1752076</v>
      </c>
      <c r="D93" s="146">
        <v>1604105</v>
      </c>
      <c r="E93" s="146">
        <f t="shared" si="4"/>
        <v>-147971</v>
      </c>
      <c r="F93" s="150">
        <f t="shared" si="5"/>
        <v>-8.4454669774598826E-2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717717</v>
      </c>
      <c r="D94" s="146">
        <v>628822</v>
      </c>
      <c r="E94" s="146">
        <f t="shared" si="4"/>
        <v>-88895</v>
      </c>
      <c r="F94" s="150">
        <f t="shared" si="5"/>
        <v>-0.12385801088729959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2375652</v>
      </c>
      <c r="D95" s="146">
        <v>2108747</v>
      </c>
      <c r="E95" s="146">
        <f t="shared" si="4"/>
        <v>-266905</v>
      </c>
      <c r="F95" s="150">
        <f t="shared" si="5"/>
        <v>-0.11235020954247507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360447</v>
      </c>
      <c r="D96" s="146">
        <v>455172</v>
      </c>
      <c r="E96" s="146">
        <f t="shared" si="4"/>
        <v>94725</v>
      </c>
      <c r="F96" s="150">
        <f t="shared" si="5"/>
        <v>0.26279869162456615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343691</v>
      </c>
      <c r="D97" s="146">
        <v>362556</v>
      </c>
      <c r="E97" s="146">
        <f t="shared" si="4"/>
        <v>18865</v>
      </c>
      <c r="F97" s="150">
        <f t="shared" si="5"/>
        <v>5.4889421020626085E-2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143099</v>
      </c>
      <c r="D98" s="146">
        <v>174828</v>
      </c>
      <c r="E98" s="146">
        <f t="shared" si="4"/>
        <v>31729</v>
      </c>
      <c r="F98" s="150">
        <f t="shared" si="5"/>
        <v>0.22172761514755518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203312</v>
      </c>
      <c r="D99" s="146">
        <v>221075</v>
      </c>
      <c r="E99" s="146">
        <f t="shared" si="4"/>
        <v>17763</v>
      </c>
      <c r="F99" s="150">
        <f t="shared" si="5"/>
        <v>8.7368182891319743E-2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1712297</v>
      </c>
      <c r="D100" s="146">
        <v>1842783</v>
      </c>
      <c r="E100" s="146">
        <f t="shared" si="4"/>
        <v>130486</v>
      </c>
      <c r="F100" s="150">
        <f t="shared" si="5"/>
        <v>7.6205237759570915E-2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1207563</v>
      </c>
      <c r="D101" s="146">
        <v>1171540</v>
      </c>
      <c r="E101" s="146">
        <f t="shared" si="4"/>
        <v>-36023</v>
      </c>
      <c r="F101" s="150">
        <f t="shared" si="5"/>
        <v>-2.9831155807191839E-2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42954</v>
      </c>
      <c r="D102" s="146">
        <v>106822</v>
      </c>
      <c r="E102" s="146">
        <f t="shared" si="4"/>
        <v>63868</v>
      </c>
      <c r="F102" s="150">
        <f t="shared" si="5"/>
        <v>1.4868929552544583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3517772</v>
      </c>
      <c r="D103" s="146">
        <v>3507779</v>
      </c>
      <c r="E103" s="146">
        <f t="shared" si="4"/>
        <v>-9993</v>
      </c>
      <c r="F103" s="150">
        <f t="shared" si="5"/>
        <v>-2.8407185002325337E-3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252070</v>
      </c>
      <c r="D104" s="146">
        <v>235951</v>
      </c>
      <c r="E104" s="146">
        <f t="shared" si="4"/>
        <v>-16119</v>
      </c>
      <c r="F104" s="150">
        <f t="shared" si="5"/>
        <v>-6.3946522791288138E-2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808528</v>
      </c>
      <c r="D105" s="146">
        <v>771811</v>
      </c>
      <c r="E105" s="146">
        <f t="shared" si="4"/>
        <v>-36717</v>
      </c>
      <c r="F105" s="150">
        <f t="shared" si="5"/>
        <v>-4.5412156412641243E-2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369318</v>
      </c>
      <c r="D106" s="146">
        <v>396255</v>
      </c>
      <c r="E106" s="146">
        <f t="shared" si="4"/>
        <v>26937</v>
      </c>
      <c r="F106" s="150">
        <f t="shared" si="5"/>
        <v>7.2937143599824547E-2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2468833</v>
      </c>
      <c r="D107" s="146">
        <v>2579187</v>
      </c>
      <c r="E107" s="146">
        <f t="shared" si="4"/>
        <v>110354</v>
      </c>
      <c r="F107" s="150">
        <f t="shared" si="5"/>
        <v>4.4698851643671322E-2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16241620</v>
      </c>
      <c r="D108" s="146">
        <v>14999565</v>
      </c>
      <c r="E108" s="146">
        <f t="shared" si="4"/>
        <v>-1242055</v>
      </c>
      <c r="F108" s="150">
        <f t="shared" si="5"/>
        <v>-7.6473590688613577E-2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35430822</v>
      </c>
      <c r="D109" s="147">
        <f>SUM(D91:D108)</f>
        <v>34594551</v>
      </c>
      <c r="E109" s="147">
        <f t="shared" si="4"/>
        <v>-836271</v>
      </c>
      <c r="F109" s="148">
        <f t="shared" si="5"/>
        <v>-2.3602924030382361E-2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708660</v>
      </c>
      <c r="D112" s="146">
        <v>688785</v>
      </c>
      <c r="E112" s="146">
        <f t="shared" ref="E112:E118" si="6">D112-C112</f>
        <v>-19875</v>
      </c>
      <c r="F112" s="150">
        <f t="shared" ref="F112:F118" si="7">IF(C112=0,0,E112/C112)</f>
        <v>-2.8045889425112182E-2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1299161</v>
      </c>
      <c r="D114" s="146">
        <v>1252705</v>
      </c>
      <c r="E114" s="146">
        <f t="shared" si="6"/>
        <v>-46456</v>
      </c>
      <c r="F114" s="150">
        <f t="shared" si="7"/>
        <v>-3.5758462577001618E-2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1223821</v>
      </c>
      <c r="D115" s="146">
        <v>1231416</v>
      </c>
      <c r="E115" s="146">
        <f t="shared" si="6"/>
        <v>7595</v>
      </c>
      <c r="F115" s="150">
        <f t="shared" si="7"/>
        <v>6.2059729323160825E-3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328011</v>
      </c>
      <c r="D116" s="146">
        <v>271933</v>
      </c>
      <c r="E116" s="146">
        <f t="shared" si="6"/>
        <v>-56078</v>
      </c>
      <c r="F116" s="150">
        <f t="shared" si="7"/>
        <v>-0.17096377865376466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3559653</v>
      </c>
      <c r="D118" s="147">
        <f>SUM(D112:D117)</f>
        <v>3444839</v>
      </c>
      <c r="E118" s="147">
        <f t="shared" si="6"/>
        <v>-114814</v>
      </c>
      <c r="F118" s="148">
        <f t="shared" si="7"/>
        <v>-3.2254267480566222E-2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2195825</v>
      </c>
      <c r="D121" s="146">
        <v>2175282</v>
      </c>
      <c r="E121" s="146">
        <f t="shared" ref="E121:E155" si="8">D121-C121</f>
        <v>-20543</v>
      </c>
      <c r="F121" s="150">
        <f t="shared" ref="F121:F155" si="9">IF(C121=0,0,E121/C121)</f>
        <v>-9.3554814249769448E-3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450338</v>
      </c>
      <c r="D122" s="146">
        <v>425696</v>
      </c>
      <c r="E122" s="146">
        <f t="shared" si="8"/>
        <v>-24642</v>
      </c>
      <c r="F122" s="150">
        <f t="shared" si="9"/>
        <v>-5.4718900026202541E-2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152066</v>
      </c>
      <c r="D123" s="146">
        <v>135023</v>
      </c>
      <c r="E123" s="146">
        <f t="shared" si="8"/>
        <v>-17043</v>
      </c>
      <c r="F123" s="150">
        <f t="shared" si="9"/>
        <v>-0.11207633527547249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203647</v>
      </c>
      <c r="D124" s="146">
        <v>214626</v>
      </c>
      <c r="E124" s="146">
        <f t="shared" si="8"/>
        <v>10979</v>
      </c>
      <c r="F124" s="150">
        <f t="shared" si="9"/>
        <v>5.3911916207948066E-2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3769278</v>
      </c>
      <c r="D125" s="146">
        <v>2703486</v>
      </c>
      <c r="E125" s="146">
        <f t="shared" si="8"/>
        <v>-1065792</v>
      </c>
      <c r="F125" s="150">
        <f t="shared" si="9"/>
        <v>-0.28275759973130132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422721</v>
      </c>
      <c r="D126" s="146">
        <v>443738</v>
      </c>
      <c r="E126" s="146">
        <f t="shared" si="8"/>
        <v>21017</v>
      </c>
      <c r="F126" s="150">
        <f t="shared" si="9"/>
        <v>4.9718372165092339E-2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0</v>
      </c>
      <c r="D128" s="146">
        <v>0</v>
      </c>
      <c r="E128" s="146">
        <f t="shared" si="8"/>
        <v>0</v>
      </c>
      <c r="F128" s="150">
        <f t="shared" si="9"/>
        <v>0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642177</v>
      </c>
      <c r="D129" s="146">
        <v>640103</v>
      </c>
      <c r="E129" s="146">
        <f t="shared" si="8"/>
        <v>-2074</v>
      </c>
      <c r="F129" s="150">
        <f t="shared" si="9"/>
        <v>-3.2296391804751651E-3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4926024</v>
      </c>
      <c r="D130" s="146">
        <v>4563049</v>
      </c>
      <c r="E130" s="146">
        <f t="shared" si="8"/>
        <v>-362975</v>
      </c>
      <c r="F130" s="150">
        <f t="shared" si="9"/>
        <v>-7.3685187079884307E-2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242510</v>
      </c>
      <c r="D133" s="146">
        <v>116978</v>
      </c>
      <c r="E133" s="146">
        <f t="shared" si="8"/>
        <v>-125532</v>
      </c>
      <c r="F133" s="150">
        <f t="shared" si="9"/>
        <v>-0.51763638612840712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17672</v>
      </c>
      <c r="D134" s="146">
        <v>14401</v>
      </c>
      <c r="E134" s="146">
        <f t="shared" si="8"/>
        <v>-3271</v>
      </c>
      <c r="F134" s="150">
        <f t="shared" si="9"/>
        <v>-0.18509506564056133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93972</v>
      </c>
      <c r="D135" s="146">
        <v>71134</v>
      </c>
      <c r="E135" s="146">
        <f t="shared" si="8"/>
        <v>-22838</v>
      </c>
      <c r="F135" s="150">
        <f t="shared" si="9"/>
        <v>-0.24302983867535011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23473</v>
      </c>
      <c r="D136" s="146">
        <v>29249</v>
      </c>
      <c r="E136" s="146">
        <f t="shared" si="8"/>
        <v>5776</v>
      </c>
      <c r="F136" s="150">
        <f t="shared" si="9"/>
        <v>0.24606995271162613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912404</v>
      </c>
      <c r="D138" s="146">
        <v>1024613</v>
      </c>
      <c r="E138" s="146">
        <f t="shared" si="8"/>
        <v>112209</v>
      </c>
      <c r="F138" s="150">
        <f t="shared" si="9"/>
        <v>0.12298170547257574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161553</v>
      </c>
      <c r="D139" s="146">
        <v>105461</v>
      </c>
      <c r="E139" s="146">
        <f t="shared" si="8"/>
        <v>-56092</v>
      </c>
      <c r="F139" s="150">
        <f t="shared" si="9"/>
        <v>-0.34720494203140767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1482952</v>
      </c>
      <c r="D140" s="146">
        <v>338113</v>
      </c>
      <c r="E140" s="146">
        <f t="shared" si="8"/>
        <v>-1144839</v>
      </c>
      <c r="F140" s="150">
        <f t="shared" si="9"/>
        <v>-0.77200003776251691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136660</v>
      </c>
      <c r="E143" s="146">
        <f t="shared" si="8"/>
        <v>136660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8888169</v>
      </c>
      <c r="D144" s="146">
        <v>7178630</v>
      </c>
      <c r="E144" s="146">
        <f t="shared" si="8"/>
        <v>-1709539</v>
      </c>
      <c r="F144" s="150">
        <f t="shared" si="9"/>
        <v>-0.19233871453164314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406277</v>
      </c>
      <c r="D145" s="146">
        <v>411156</v>
      </c>
      <c r="E145" s="146">
        <f t="shared" si="8"/>
        <v>4879</v>
      </c>
      <c r="F145" s="150">
        <f t="shared" si="9"/>
        <v>1.2009048014039682E-2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89360</v>
      </c>
      <c r="D146" s="146">
        <v>70321</v>
      </c>
      <c r="E146" s="146">
        <f t="shared" si="8"/>
        <v>-19039</v>
      </c>
      <c r="F146" s="150">
        <f t="shared" si="9"/>
        <v>-0.21305953446732318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616383</v>
      </c>
      <c r="D148" s="146">
        <v>615134</v>
      </c>
      <c r="E148" s="146">
        <f t="shared" si="8"/>
        <v>-1249</v>
      </c>
      <c r="F148" s="150">
        <f t="shared" si="9"/>
        <v>-2.0263375206649114E-3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350250</v>
      </c>
      <c r="D152" s="146">
        <v>375140</v>
      </c>
      <c r="E152" s="146">
        <f t="shared" si="8"/>
        <v>24890</v>
      </c>
      <c r="F152" s="150">
        <f t="shared" si="9"/>
        <v>7.1063526052819417E-2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8856237</v>
      </c>
      <c r="D154" s="146">
        <v>15109990</v>
      </c>
      <c r="E154" s="146">
        <f t="shared" si="8"/>
        <v>6253753</v>
      </c>
      <c r="F154" s="150">
        <f t="shared" si="9"/>
        <v>0.7061411071090351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34903288</v>
      </c>
      <c r="D155" s="147">
        <f>SUM(D121:D154)</f>
        <v>36897983</v>
      </c>
      <c r="E155" s="147">
        <f t="shared" si="8"/>
        <v>1994695</v>
      </c>
      <c r="F155" s="148">
        <f t="shared" si="9"/>
        <v>5.7149200384788962E-2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7085788</v>
      </c>
      <c r="D158" s="146">
        <v>5823432</v>
      </c>
      <c r="E158" s="146">
        <f t="shared" ref="E158:E171" si="10">D158-C158</f>
        <v>-1262356</v>
      </c>
      <c r="F158" s="150">
        <f t="shared" ref="F158:F171" si="11">IF(C158=0,0,E158/C158)</f>
        <v>-0.17815322727690977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2489688</v>
      </c>
      <c r="D159" s="146">
        <v>2216800</v>
      </c>
      <c r="E159" s="146">
        <f t="shared" si="10"/>
        <v>-272888</v>
      </c>
      <c r="F159" s="150">
        <f t="shared" si="11"/>
        <v>-0.10960730822496634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977506</v>
      </c>
      <c r="D163" s="146">
        <v>1030204</v>
      </c>
      <c r="E163" s="146">
        <f t="shared" si="10"/>
        <v>52698</v>
      </c>
      <c r="F163" s="150">
        <f t="shared" si="11"/>
        <v>5.3910666532993146E-2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977506</v>
      </c>
      <c r="D164" s="146">
        <v>1030204</v>
      </c>
      <c r="E164" s="146">
        <f t="shared" si="10"/>
        <v>52698</v>
      </c>
      <c r="F164" s="150">
        <f t="shared" si="11"/>
        <v>5.3910666532993146E-2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623487</v>
      </c>
      <c r="D167" s="146">
        <v>549509</v>
      </c>
      <c r="E167" s="146">
        <f t="shared" si="10"/>
        <v>-73978</v>
      </c>
      <c r="F167" s="150">
        <f t="shared" si="11"/>
        <v>-0.11865203284110173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12153975</v>
      </c>
      <c r="D171" s="147">
        <f>SUM(D158:D170)</f>
        <v>10650149</v>
      </c>
      <c r="E171" s="147">
        <f t="shared" si="10"/>
        <v>-1503826</v>
      </c>
      <c r="F171" s="148">
        <f t="shared" si="11"/>
        <v>-0.12373120727992282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86047738</v>
      </c>
      <c r="D176" s="147">
        <f>+D174+D171+D155+D118+D109</f>
        <v>85587522</v>
      </c>
      <c r="E176" s="147">
        <f>D176-C176</f>
        <v>-460216</v>
      </c>
      <c r="F176" s="148">
        <f>IF(C176=0,0,E176/C176)</f>
        <v>-5.3483799887918031E-3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63" orientation="portrait" horizontalDpi="1200" verticalDpi="1200" r:id="rId1"/>
  <headerFooter>
    <oddHeader>&amp;LOFFICE OF HEALTH CARE ACCESS&amp;CTWELVE MONTHS ACTUAL FILING&amp;RMILFORD HOSPITAL</oddHeader>
    <oddFooter>&amp;LREPORT 175&amp;CPAGE &amp;P of &amp;N&amp;R&amp;D, &amp;T</oddFooter>
  </headerFooter>
  <rowBreaks count="1" manualBreakCount="1">
    <brk id="7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82468718</v>
      </c>
      <c r="D11" s="164">
        <v>78229898</v>
      </c>
      <c r="E11" s="51">
        <v>79860535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1109354</v>
      </c>
      <c r="D12" s="49">
        <v>1165893</v>
      </c>
      <c r="E12" s="49">
        <v>653094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83578072</v>
      </c>
      <c r="D13" s="51">
        <f>+D11+D12</f>
        <v>79395791</v>
      </c>
      <c r="E13" s="51">
        <f>+E11+E12</f>
        <v>80513629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88487473</v>
      </c>
      <c r="D14" s="49">
        <v>86047738</v>
      </c>
      <c r="E14" s="49">
        <v>85587522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-4909401</v>
      </c>
      <c r="D15" s="51">
        <f>+D13-D14</f>
        <v>-6651947</v>
      </c>
      <c r="E15" s="51">
        <f>+E13-E14</f>
        <v>-5073893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1282609</v>
      </c>
      <c r="D16" s="49">
        <v>2825570</v>
      </c>
      <c r="E16" s="49">
        <v>-333921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-3626792</v>
      </c>
      <c r="D17" s="51">
        <f>D15+D16</f>
        <v>-3826377</v>
      </c>
      <c r="E17" s="51">
        <f>E15+E16</f>
        <v>-5407814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-5.7852481763609701E-2</v>
      </c>
      <c r="D20" s="169">
        <f>IF(+D27=0,0,+D24/+D27)</f>
        <v>-8.0902905511379214E-2</v>
      </c>
      <c r="E20" s="169">
        <f>IF(+E27=0,0,+E24/+E27)</f>
        <v>-6.3281510079832168E-2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1.5114290680745303E-2</v>
      </c>
      <c r="D21" s="169">
        <f>IF(D27=0,0,+D26/D27)</f>
        <v>3.4365400494890862E-2</v>
      </c>
      <c r="E21" s="169">
        <f>IF(E27=0,0,+E26/E27)</f>
        <v>-4.1646572222488014E-3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-4.2738191082864398E-2</v>
      </c>
      <c r="D22" s="169">
        <f>IF(D27=0,0,+D28/D27)</f>
        <v>-4.6537505016488352E-2</v>
      </c>
      <c r="E22" s="169">
        <f>IF(E27=0,0,+E28/E27)</f>
        <v>-6.7446167302080973E-2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-4909401</v>
      </c>
      <c r="D24" s="51">
        <f>+D15</f>
        <v>-6651947</v>
      </c>
      <c r="E24" s="51">
        <f>+E15</f>
        <v>-5073893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83578072</v>
      </c>
      <c r="D25" s="51">
        <f>+D13</f>
        <v>79395791</v>
      </c>
      <c r="E25" s="51">
        <f>+E13</f>
        <v>80513629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1282609</v>
      </c>
      <c r="D26" s="51">
        <f>+D16</f>
        <v>2825570</v>
      </c>
      <c r="E26" s="51">
        <f>+E16</f>
        <v>-333921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84860681</v>
      </c>
      <c r="D27" s="51">
        <f>+D25+D26</f>
        <v>82221361</v>
      </c>
      <c r="E27" s="51">
        <f>+E25+E26</f>
        <v>80179708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-3626792</v>
      </c>
      <c r="D28" s="51">
        <f>+D17</f>
        <v>-3826377</v>
      </c>
      <c r="E28" s="51">
        <f>+E17</f>
        <v>-5407814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36805806</v>
      </c>
      <c r="D31" s="51">
        <v>25485476</v>
      </c>
      <c r="E31" s="51">
        <v>14195295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38098899</v>
      </c>
      <c r="D32" s="51">
        <v>26811974</v>
      </c>
      <c r="E32" s="51">
        <v>15495219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-10681339</v>
      </c>
      <c r="D33" s="51">
        <f>+D32-C32</f>
        <v>-11286925</v>
      </c>
      <c r="E33" s="51">
        <f>+E32-D32</f>
        <v>-11316755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0.78100000000000003</v>
      </c>
      <c r="D34" s="171">
        <f>IF(C32=0,0,+D33/C32)</f>
        <v>-0.29625331167706448</v>
      </c>
      <c r="E34" s="171">
        <f>IF(D32=0,0,+E33/D32)</f>
        <v>-0.42207839676407266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0.4024195752949255</v>
      </c>
      <c r="D38" s="172">
        <f>IF((D40+D41)=0,0,+D39/(D40+D41))</f>
        <v>0.41958948577364324</v>
      </c>
      <c r="E38" s="172">
        <f>IF((E40+E41)=0,0,+E39/(E40+E41))</f>
        <v>0.46322850203282501</v>
      </c>
      <c r="F38" s="5"/>
    </row>
    <row r="39" spans="1:6" ht="24" customHeight="1" x14ac:dyDescent="0.2">
      <c r="A39" s="21">
        <v>2</v>
      </c>
      <c r="B39" s="48" t="s">
        <v>324</v>
      </c>
      <c r="C39" s="51">
        <v>88487473</v>
      </c>
      <c r="D39" s="51">
        <v>86047738</v>
      </c>
      <c r="E39" s="23">
        <v>85587522</v>
      </c>
      <c r="F39" s="5"/>
    </row>
    <row r="40" spans="1:6" ht="24" customHeight="1" x14ac:dyDescent="0.2">
      <c r="A40" s="21">
        <v>3</v>
      </c>
      <c r="B40" s="48" t="s">
        <v>325</v>
      </c>
      <c r="C40" s="51">
        <v>219139563</v>
      </c>
      <c r="D40" s="51">
        <v>204296146</v>
      </c>
      <c r="E40" s="23">
        <v>184109980</v>
      </c>
      <c r="F40" s="5"/>
    </row>
    <row r="41" spans="1:6" ht="24" customHeight="1" x14ac:dyDescent="0.2">
      <c r="A41" s="21">
        <v>4</v>
      </c>
      <c r="B41" s="48" t="s">
        <v>326</v>
      </c>
      <c r="C41" s="51">
        <v>749027</v>
      </c>
      <c r="D41" s="51">
        <v>779865</v>
      </c>
      <c r="E41" s="23">
        <v>653094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1.06652475961176</v>
      </c>
      <c r="D43" s="173">
        <f>IF(D38=0,0,IF((D46-D47)=0,0,((+D44-D45)/(D46-D47)/D38)))</f>
        <v>1.0186047167780024</v>
      </c>
      <c r="E43" s="173">
        <f>IF(E38=0,0,IF((E46-E47)=0,0,((+E44-E45)/(E46-E47)/E38)))</f>
        <v>1.0109072294524866</v>
      </c>
      <c r="F43" s="5"/>
    </row>
    <row r="44" spans="1:6" ht="24" customHeight="1" x14ac:dyDescent="0.2">
      <c r="A44" s="21">
        <v>6</v>
      </c>
      <c r="B44" s="48" t="s">
        <v>328</v>
      </c>
      <c r="C44" s="51">
        <v>38100291</v>
      </c>
      <c r="D44" s="51">
        <v>35481811</v>
      </c>
      <c r="E44" s="23">
        <v>34751121</v>
      </c>
      <c r="F44" s="5"/>
    </row>
    <row r="45" spans="1:6" ht="24" customHeight="1" x14ac:dyDescent="0.2">
      <c r="A45" s="21">
        <v>7</v>
      </c>
      <c r="B45" s="48" t="s">
        <v>329</v>
      </c>
      <c r="C45" s="51">
        <v>650525</v>
      </c>
      <c r="D45" s="51">
        <v>343268</v>
      </c>
      <c r="E45" s="23">
        <v>281013</v>
      </c>
      <c r="F45" s="5"/>
    </row>
    <row r="46" spans="1:6" ht="24" customHeight="1" x14ac:dyDescent="0.2">
      <c r="A46" s="21">
        <v>8</v>
      </c>
      <c r="B46" s="48" t="s">
        <v>330</v>
      </c>
      <c r="C46" s="51">
        <v>95067210</v>
      </c>
      <c r="D46" s="51">
        <v>87922426</v>
      </c>
      <c r="E46" s="23">
        <v>79168686</v>
      </c>
      <c r="F46" s="5"/>
    </row>
    <row r="47" spans="1:6" ht="24" customHeight="1" x14ac:dyDescent="0.2">
      <c r="A47" s="21">
        <v>9</v>
      </c>
      <c r="B47" s="48" t="s">
        <v>331</v>
      </c>
      <c r="C47" s="51">
        <v>7810453</v>
      </c>
      <c r="D47" s="51">
        <v>5706970</v>
      </c>
      <c r="E47" s="174">
        <v>5558813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0.7505244626144979</v>
      </c>
      <c r="D49" s="175">
        <f>IF(D38=0,0,IF(D51=0,0,(D50/D51)/D38))</f>
        <v>0.73961635765277867</v>
      </c>
      <c r="E49" s="175">
        <f>IF(E38=0,0,IF(E51=0,0,(E50/E51)/E38))</f>
        <v>0.74510954377347438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31844438</v>
      </c>
      <c r="D50" s="176">
        <v>30416739</v>
      </c>
      <c r="E50" s="176">
        <v>29188273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105436174</v>
      </c>
      <c r="D51" s="176">
        <v>98012518</v>
      </c>
      <c r="E51" s="176">
        <v>84565457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0.52793899907543296</v>
      </c>
      <c r="D53" s="175">
        <f>IF(D38=0,0,IF(D55=0,0,(D54/D55)/D38))</f>
        <v>0.54472865628874245</v>
      </c>
      <c r="E53" s="175">
        <f>IF(E38=0,0,IF(E55=0,0,(E54/E55)/E38))</f>
        <v>0.56261073443695486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3289737</v>
      </c>
      <c r="D54" s="176">
        <v>4005840</v>
      </c>
      <c r="E54" s="176">
        <v>5189560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15484541</v>
      </c>
      <c r="D55" s="176">
        <v>17526241</v>
      </c>
      <c r="E55" s="176">
        <v>19912567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2865431.8052441194</v>
      </c>
      <c r="D57" s="53">
        <f>+D60*D38</f>
        <v>2952944.0848501977</v>
      </c>
      <c r="E57" s="53">
        <f>+E60*E38</f>
        <v>3612968.7675165981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122057</v>
      </c>
      <c r="D58" s="51">
        <v>299029</v>
      </c>
      <c r="E58" s="52">
        <v>187766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6998451</v>
      </c>
      <c r="D59" s="51">
        <v>6738669</v>
      </c>
      <c r="E59" s="52">
        <v>7611773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7120508</v>
      </c>
      <c r="D60" s="51">
        <v>7037698</v>
      </c>
      <c r="E60" s="52">
        <v>7799539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3.2382344168017087E-2</v>
      </c>
      <c r="D62" s="178">
        <f>IF(D63=0,0,+D57/D63)</f>
        <v>3.4317509715946257E-2</v>
      </c>
      <c r="E62" s="178">
        <f>IF(E63=0,0,+E57/E63)</f>
        <v>4.2213732598971591E-2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88487473</v>
      </c>
      <c r="D63" s="176">
        <v>86047738</v>
      </c>
      <c r="E63" s="176">
        <v>85587522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1.0098034868364825</v>
      </c>
      <c r="D67" s="179">
        <f>IF(D69=0,0,D68/D69)</f>
        <v>0.99251619434708671</v>
      </c>
      <c r="E67" s="179">
        <f>IF(E69=0,0,E68/E69)</f>
        <v>1.0333783182393801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16942905</v>
      </c>
      <c r="D68" s="180">
        <v>15564501</v>
      </c>
      <c r="E68" s="180">
        <v>16721077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16778418</v>
      </c>
      <c r="D69" s="180">
        <v>15681861</v>
      </c>
      <c r="E69" s="180">
        <v>16180983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5.6172535384129052</v>
      </c>
      <c r="D71" s="181">
        <f>IF((D77/365)=0,0,+D74/(D77/365))</f>
        <v>2.331878894918618</v>
      </c>
      <c r="E71" s="181">
        <f>IF((E77/365)=0,0,+E74/(E77/365))</f>
        <v>5.2306264333636481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1078653</v>
      </c>
      <c r="D72" s="182">
        <v>303667</v>
      </c>
      <c r="E72" s="182">
        <v>956229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221990</v>
      </c>
      <c r="D73" s="184">
        <v>223228</v>
      </c>
      <c r="E73" s="184">
        <v>224305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1300643</v>
      </c>
      <c r="D74" s="180">
        <f>+D72+D73</f>
        <v>526895</v>
      </c>
      <c r="E74" s="180">
        <f>+E72+E73</f>
        <v>1180534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88487473</v>
      </c>
      <c r="D75" s="180">
        <f>+D14</f>
        <v>86047738</v>
      </c>
      <c r="E75" s="180">
        <f>+E14</f>
        <v>85587522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3973806</v>
      </c>
      <c r="D76" s="180">
        <v>3574898</v>
      </c>
      <c r="E76" s="180">
        <v>3208305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84513667</v>
      </c>
      <c r="D77" s="180">
        <f>+D75-D76</f>
        <v>82472840</v>
      </c>
      <c r="E77" s="180">
        <f>+E75-E76</f>
        <v>82379217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49.407317632850798</v>
      </c>
      <c r="D79" s="179">
        <f>IF((D84/365)=0,0,+D83/(D84/365))</f>
        <v>48.250216816082265</v>
      </c>
      <c r="E79" s="179">
        <f>IF((E84/365)=0,0,+E83/(E84/365))</f>
        <v>48.438406842628844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13535241</v>
      </c>
      <c r="D80" s="189">
        <v>12226798</v>
      </c>
      <c r="E80" s="189">
        <v>12622341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2372068</v>
      </c>
      <c r="D82" s="190">
        <v>1885402</v>
      </c>
      <c r="E82" s="190">
        <v>2024212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11163173</v>
      </c>
      <c r="D83" s="191">
        <f>+D80+D81-D82</f>
        <v>10341396</v>
      </c>
      <c r="E83" s="191">
        <f>+E80+E81-E82</f>
        <v>10598129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82468718</v>
      </c>
      <c r="D84" s="191">
        <f>+D11</f>
        <v>78229898</v>
      </c>
      <c r="E84" s="191">
        <f>+E11</f>
        <v>79860535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72.463103157031398</v>
      </c>
      <c r="D86" s="179">
        <f>IF((D90/365)=0,0,+D87/(D90/365))</f>
        <v>69.403203102985188</v>
      </c>
      <c r="E86" s="179">
        <f>IF((E90/365)=0,0,+E87/(E90/365))</f>
        <v>71.693553423796203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16778418</v>
      </c>
      <c r="D87" s="51">
        <f>+D69</f>
        <v>15681861</v>
      </c>
      <c r="E87" s="51">
        <f>+E69</f>
        <v>16180983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88487473</v>
      </c>
      <c r="D88" s="51">
        <f t="shared" si="0"/>
        <v>86047738</v>
      </c>
      <c r="E88" s="51">
        <f t="shared" si="0"/>
        <v>85587522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3973806</v>
      </c>
      <c r="D89" s="52">
        <f t="shared" si="0"/>
        <v>3574898</v>
      </c>
      <c r="E89" s="52">
        <f t="shared" si="0"/>
        <v>3208305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84513667</v>
      </c>
      <c r="D90" s="51">
        <f>+D88-D89</f>
        <v>82472840</v>
      </c>
      <c r="E90" s="51">
        <f>+E88-E89</f>
        <v>82379217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47.910990276353296</v>
      </c>
      <c r="D94" s="192">
        <f>IF(D96=0,0,(D95/D96)*100)</f>
        <v>37.081721044945439</v>
      </c>
      <c r="E94" s="192">
        <f>IF(E96=0,0,(E95/E96)*100)</f>
        <v>23.992588740665628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38098899</v>
      </c>
      <c r="D95" s="51">
        <f>+D32</f>
        <v>26811974</v>
      </c>
      <c r="E95" s="51">
        <f>+E32</f>
        <v>15495219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79520166</v>
      </c>
      <c r="D96" s="51">
        <v>72305096</v>
      </c>
      <c r="E96" s="51">
        <v>64583356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1.7739219053953985</v>
      </c>
      <c r="D98" s="192">
        <f>IF(D104=0,0,(D101/D104)*100)</f>
        <v>-1.4310604867309413</v>
      </c>
      <c r="E98" s="192">
        <f>IF(E104=0,0,(E101/E104)*100)</f>
        <v>-12.850339003350598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-3626792</v>
      </c>
      <c r="D99" s="51">
        <f>+D28</f>
        <v>-3826377</v>
      </c>
      <c r="E99" s="51">
        <f>+E28</f>
        <v>-5407814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3973806</v>
      </c>
      <c r="D100" s="52">
        <f>+D76</f>
        <v>3574898</v>
      </c>
      <c r="E100" s="52">
        <f>+E76</f>
        <v>3208305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347014</v>
      </c>
      <c r="D101" s="51">
        <f>+D99+D100</f>
        <v>-251479</v>
      </c>
      <c r="E101" s="51">
        <f>+E99+E100</f>
        <v>-2199509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16778418</v>
      </c>
      <c r="D102" s="180">
        <f>+D69</f>
        <v>15681861</v>
      </c>
      <c r="E102" s="180">
        <f>+E69</f>
        <v>16180983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2783548</v>
      </c>
      <c r="D103" s="194">
        <v>1891051</v>
      </c>
      <c r="E103" s="194">
        <v>935367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19561966</v>
      </c>
      <c r="D104" s="180">
        <f>+D102+D103</f>
        <v>17572912</v>
      </c>
      <c r="E104" s="180">
        <f>+E102+E103</f>
        <v>17116350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6.8086628963280997</v>
      </c>
      <c r="D106" s="197">
        <f>IF(D109=0,0,(D107/D109)*100)</f>
        <v>6.588333459626643</v>
      </c>
      <c r="E106" s="197">
        <f>IF(E109=0,0,(E107/E109)*100)</f>
        <v>5.6928401701558302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2783548</v>
      </c>
      <c r="D107" s="180">
        <f>+D103</f>
        <v>1891051</v>
      </c>
      <c r="E107" s="180">
        <f>+E103</f>
        <v>935367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38098899</v>
      </c>
      <c r="D108" s="180">
        <f>+D32</f>
        <v>26811974</v>
      </c>
      <c r="E108" s="180">
        <f>+E32</f>
        <v>15495219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40882447</v>
      </c>
      <c r="D109" s="180">
        <f>+D107+D108</f>
        <v>28703025</v>
      </c>
      <c r="E109" s="180">
        <f>+E107+E108</f>
        <v>16430586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0.59279834614004945</v>
      </c>
      <c r="D111" s="197">
        <f>IF((+D113+D115)=0,0,((+D112+D113+D114)/(+D113+D115)))</f>
        <v>-1.926997315055418E-2</v>
      </c>
      <c r="E111" s="197">
        <f>IF((+E113+E115)=0,0,((+E112+E113+E114)/(+E113+E115)))</f>
        <v>-1.9145067122128152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-3626792</v>
      </c>
      <c r="D112" s="180">
        <f>+D17</f>
        <v>-3826377</v>
      </c>
      <c r="E112" s="180">
        <f>+E17</f>
        <v>-5407814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280961</v>
      </c>
      <c r="D113" s="180">
        <v>230967</v>
      </c>
      <c r="E113" s="180">
        <v>168405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3973806</v>
      </c>
      <c r="D114" s="180">
        <v>3574898</v>
      </c>
      <c r="E114" s="180">
        <v>3208305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778379</v>
      </c>
      <c r="D115" s="180">
        <v>833487</v>
      </c>
      <c r="E115" s="180">
        <v>892497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10.712739373789258</v>
      </c>
      <c r="D119" s="197">
        <f>IF(+D121=0,0,(+D120)/(+D121))</f>
        <v>12.854887887710362</v>
      </c>
      <c r="E119" s="197">
        <f>IF(+E121=0,0,(+E120)/(+E121))</f>
        <v>14.750193326382623</v>
      </c>
    </row>
    <row r="120" spans="1:8" ht="24" customHeight="1" x14ac:dyDescent="0.25">
      <c r="A120" s="17">
        <v>21</v>
      </c>
      <c r="B120" s="48" t="s">
        <v>369</v>
      </c>
      <c r="C120" s="180">
        <v>42570348</v>
      </c>
      <c r="D120" s="180">
        <v>45954913</v>
      </c>
      <c r="E120" s="180">
        <v>47323119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3973806</v>
      </c>
      <c r="D121" s="180">
        <v>3574898</v>
      </c>
      <c r="E121" s="180">
        <v>3208305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20370</v>
      </c>
      <c r="D124" s="198">
        <v>17708</v>
      </c>
      <c r="E124" s="198">
        <v>17312</v>
      </c>
    </row>
    <row r="125" spans="1:8" ht="24" customHeight="1" x14ac:dyDescent="0.2">
      <c r="A125" s="44">
        <v>2</v>
      </c>
      <c r="B125" s="48" t="s">
        <v>373</v>
      </c>
      <c r="C125" s="198">
        <v>4800</v>
      </c>
      <c r="D125" s="198">
        <v>4540</v>
      </c>
      <c r="E125" s="198">
        <v>4374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4.2437500000000004</v>
      </c>
      <c r="D126" s="199">
        <f>IF(D125=0,0,D124/D125)</f>
        <v>3.9004405286343613</v>
      </c>
      <c r="E126" s="199">
        <f>IF(E125=0,0,E124/E125)</f>
        <v>3.9579332418838593</v>
      </c>
    </row>
    <row r="127" spans="1:8" ht="24" customHeight="1" x14ac:dyDescent="0.2">
      <c r="A127" s="44">
        <v>4</v>
      </c>
      <c r="B127" s="48" t="s">
        <v>375</v>
      </c>
      <c r="C127" s="198">
        <v>59</v>
      </c>
      <c r="D127" s="198">
        <v>51</v>
      </c>
      <c r="E127" s="198">
        <v>49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118</v>
      </c>
      <c r="E128" s="198">
        <v>118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118</v>
      </c>
      <c r="D129" s="198">
        <v>118</v>
      </c>
      <c r="E129" s="198">
        <v>118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0.94589999999999996</v>
      </c>
      <c r="D130" s="171">
        <v>0.95120000000000005</v>
      </c>
      <c r="E130" s="171">
        <v>0.96789999999999998</v>
      </c>
    </row>
    <row r="131" spans="1:8" ht="24" customHeight="1" x14ac:dyDescent="0.2">
      <c r="A131" s="44">
        <v>7</v>
      </c>
      <c r="B131" s="48" t="s">
        <v>379</v>
      </c>
      <c r="C131" s="171">
        <v>0.47289999999999999</v>
      </c>
      <c r="D131" s="171">
        <v>0.41110000000000002</v>
      </c>
      <c r="E131" s="171">
        <v>0.40189999999999998</v>
      </c>
    </row>
    <row r="132" spans="1:8" ht="24" customHeight="1" x14ac:dyDescent="0.2">
      <c r="A132" s="44">
        <v>8</v>
      </c>
      <c r="B132" s="48" t="s">
        <v>380</v>
      </c>
      <c r="C132" s="199">
        <v>547.9</v>
      </c>
      <c r="D132" s="199">
        <v>524</v>
      </c>
      <c r="E132" s="199">
        <v>505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0.39817893129594312</v>
      </c>
      <c r="D135" s="203">
        <f>IF(D149=0,0,D143/D149)</f>
        <v>0.40243273115881489</v>
      </c>
      <c r="E135" s="203">
        <f>IF(E149=0,0,E143/E149)</f>
        <v>0.3998146814203119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0.48113710074341987</v>
      </c>
      <c r="D136" s="203">
        <f>IF(D149=0,0,D144/D149)</f>
        <v>0.47975705816790104</v>
      </c>
      <c r="E136" s="203">
        <f>IF(E149=0,0,E144/E149)</f>
        <v>0.45932033124983229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7.0660636482149056E-2</v>
      </c>
      <c r="D137" s="203">
        <f>IF(D149=0,0,D145/D149)</f>
        <v>8.578840738385736E-2</v>
      </c>
      <c r="E137" s="203">
        <f>IF(E149=0,0,E145/E149)</f>
        <v>0.10815582620779167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1.3102846244153549E-2</v>
      </c>
      <c r="D138" s="203">
        <f>IF(D149=0,0,D146/D149)</f>
        <v>2.2982665566290222E-3</v>
      </c>
      <c r="E138" s="203">
        <f>IF(E149=0,0,E146/E149)</f>
        <v>7.5291410058270605E-4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3.5641455577786287E-2</v>
      </c>
      <c r="D139" s="203">
        <f>IF(D149=0,0,D147/D149)</f>
        <v>2.7934790311707595E-2</v>
      </c>
      <c r="E139" s="203">
        <f>IF(E149=0,0,E147/E149)</f>
        <v>3.0192893399912379E-2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1.2790296565481423E-3</v>
      </c>
      <c r="D140" s="203">
        <f>IF(D149=0,0,D148/D149)</f>
        <v>1.7887464210900974E-3</v>
      </c>
      <c r="E140" s="203">
        <f>IF(E149=0,0,E148/E149)</f>
        <v>1.7633536215690209E-3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87256757</v>
      </c>
      <c r="D143" s="205">
        <f>+D46-D147</f>
        <v>82215456</v>
      </c>
      <c r="E143" s="205">
        <f>+E46-E147</f>
        <v>73609873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105436174</v>
      </c>
      <c r="D144" s="205">
        <f>+D51</f>
        <v>98012518</v>
      </c>
      <c r="E144" s="205">
        <f>+E51</f>
        <v>84565457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15484541</v>
      </c>
      <c r="D145" s="205">
        <f>+D55</f>
        <v>17526241</v>
      </c>
      <c r="E145" s="205">
        <f>+E55</f>
        <v>19912567</v>
      </c>
    </row>
    <row r="146" spans="1:7" ht="20.100000000000001" customHeight="1" x14ac:dyDescent="0.2">
      <c r="A146" s="202">
        <v>11</v>
      </c>
      <c r="B146" s="201" t="s">
        <v>392</v>
      </c>
      <c r="C146" s="204">
        <v>2871352</v>
      </c>
      <c r="D146" s="205">
        <v>469527</v>
      </c>
      <c r="E146" s="205">
        <v>138619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7810453</v>
      </c>
      <c r="D147" s="205">
        <f>+D47</f>
        <v>5706970</v>
      </c>
      <c r="E147" s="205">
        <f>+E47</f>
        <v>5558813</v>
      </c>
    </row>
    <row r="148" spans="1:7" ht="20.100000000000001" customHeight="1" x14ac:dyDescent="0.2">
      <c r="A148" s="202">
        <v>13</v>
      </c>
      <c r="B148" s="201" t="s">
        <v>394</v>
      </c>
      <c r="C148" s="206">
        <v>280286</v>
      </c>
      <c r="D148" s="205">
        <v>365434</v>
      </c>
      <c r="E148" s="205">
        <v>324651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219139563</v>
      </c>
      <c r="D149" s="205">
        <f>SUM(D143:D148)</f>
        <v>204296146</v>
      </c>
      <c r="E149" s="205">
        <f>SUM(E143:E148)</f>
        <v>184109980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0.50847405480328234</v>
      </c>
      <c r="D152" s="203">
        <f>IF(D166=0,0,D160/D166)</f>
        <v>0.50153662979215707</v>
      </c>
      <c r="E152" s="203">
        <f>IF(E166=0,0,E160/E166)</f>
        <v>0.49707974137744559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0.43236773529617584</v>
      </c>
      <c r="D153" s="203">
        <f>IF(D166=0,0,D161/D166)</f>
        <v>0.43414175617149714</v>
      </c>
      <c r="E153" s="203">
        <f>IF(E166=0,0,E161/E166)</f>
        <v>0.42091249595429986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4.4666391550387402E-2</v>
      </c>
      <c r="D154" s="203">
        <f>IF(D166=0,0,D162/D166)</f>
        <v>5.7175833758577148E-2</v>
      </c>
      <c r="E154" s="203">
        <f>IF(E166=0,0,E162/E166)</f>
        <v>7.4836584285222912E-2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4.1176879989678929E-3</v>
      </c>
      <c r="D155" s="203">
        <f>IF(D166=0,0,D163/D166)</f>
        <v>8.81393686782212E-4</v>
      </c>
      <c r="E155" s="203">
        <f>IF(E166=0,0,E163/E166)</f>
        <v>1.2369560599036461E-3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8.8325007024317656E-3</v>
      </c>
      <c r="D156" s="203">
        <f>IF(D166=0,0,D164/D166)</f>
        <v>4.899505247997738E-3</v>
      </c>
      <c r="E156" s="203">
        <f>IF(E166=0,0,E164/E166)</f>
        <v>4.0523768989554699E-3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1.5416296487547902E-3</v>
      </c>
      <c r="D157" s="203">
        <f>IF(D166=0,0,D165/D166)</f>
        <v>1.364881342988661E-3</v>
      </c>
      <c r="E157" s="203">
        <f>IF(E166=0,0,E165/E166)</f>
        <v>1.8818454241725183E-3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0.99999999999999989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37449766</v>
      </c>
      <c r="D160" s="208">
        <f>+D44-D164</f>
        <v>35138543</v>
      </c>
      <c r="E160" s="208">
        <f>+E44-E164</f>
        <v>34470108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31844438</v>
      </c>
      <c r="D161" s="208">
        <f>+D50</f>
        <v>30416739</v>
      </c>
      <c r="E161" s="208">
        <f>+E50</f>
        <v>29188273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3289737</v>
      </c>
      <c r="D162" s="208">
        <f>+D54</f>
        <v>4005840</v>
      </c>
      <c r="E162" s="208">
        <f>+E54</f>
        <v>5189560</v>
      </c>
    </row>
    <row r="163" spans="1:6" ht="20.100000000000001" customHeight="1" x14ac:dyDescent="0.2">
      <c r="A163" s="202">
        <v>11</v>
      </c>
      <c r="B163" s="201" t="s">
        <v>408</v>
      </c>
      <c r="C163" s="207">
        <v>303273</v>
      </c>
      <c r="D163" s="208">
        <v>61752</v>
      </c>
      <c r="E163" s="208">
        <v>85777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650525</v>
      </c>
      <c r="D164" s="208">
        <f>+D45</f>
        <v>343268</v>
      </c>
      <c r="E164" s="208">
        <f>+E45</f>
        <v>281013</v>
      </c>
    </row>
    <row r="165" spans="1:6" ht="20.100000000000001" customHeight="1" x14ac:dyDescent="0.2">
      <c r="A165" s="202">
        <v>13</v>
      </c>
      <c r="B165" s="201" t="s">
        <v>410</v>
      </c>
      <c r="C165" s="209">
        <v>113543</v>
      </c>
      <c r="D165" s="208">
        <v>95626</v>
      </c>
      <c r="E165" s="208">
        <v>130497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73651282</v>
      </c>
      <c r="D166" s="208">
        <f>SUM(D160:D165)</f>
        <v>70061768</v>
      </c>
      <c r="E166" s="208">
        <f>SUM(E160:E165)</f>
        <v>69345228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1930</v>
      </c>
      <c r="D169" s="198">
        <v>1753</v>
      </c>
      <c r="E169" s="198">
        <v>1797</v>
      </c>
    </row>
    <row r="170" spans="1:6" ht="20.100000000000001" customHeight="1" x14ac:dyDescent="0.2">
      <c r="A170" s="202">
        <v>2</v>
      </c>
      <c r="B170" s="201" t="s">
        <v>414</v>
      </c>
      <c r="C170" s="198">
        <v>2423</v>
      </c>
      <c r="D170" s="198">
        <v>2362</v>
      </c>
      <c r="E170" s="198">
        <v>2050</v>
      </c>
    </row>
    <row r="171" spans="1:6" ht="20.100000000000001" customHeight="1" x14ac:dyDescent="0.2">
      <c r="A171" s="202">
        <v>3</v>
      </c>
      <c r="B171" s="201" t="s">
        <v>415</v>
      </c>
      <c r="C171" s="198">
        <v>444</v>
      </c>
      <c r="D171" s="198">
        <v>413</v>
      </c>
      <c r="E171" s="198">
        <v>519</v>
      </c>
    </row>
    <row r="172" spans="1:6" ht="20.100000000000001" customHeight="1" x14ac:dyDescent="0.2">
      <c r="A172" s="202">
        <v>4</v>
      </c>
      <c r="B172" s="201" t="s">
        <v>416</v>
      </c>
      <c r="C172" s="198">
        <v>417</v>
      </c>
      <c r="D172" s="198">
        <v>406</v>
      </c>
      <c r="E172" s="198">
        <v>517</v>
      </c>
    </row>
    <row r="173" spans="1:6" ht="20.100000000000001" customHeight="1" x14ac:dyDescent="0.2">
      <c r="A173" s="202">
        <v>5</v>
      </c>
      <c r="B173" s="201" t="s">
        <v>417</v>
      </c>
      <c r="C173" s="198">
        <v>27</v>
      </c>
      <c r="D173" s="198">
        <v>7</v>
      </c>
      <c r="E173" s="198">
        <v>2</v>
      </c>
    </row>
    <row r="174" spans="1:6" ht="20.100000000000001" customHeight="1" x14ac:dyDescent="0.2">
      <c r="A174" s="202">
        <v>6</v>
      </c>
      <c r="B174" s="201" t="s">
        <v>418</v>
      </c>
      <c r="C174" s="198">
        <v>3</v>
      </c>
      <c r="D174" s="198">
        <v>12</v>
      </c>
      <c r="E174" s="198">
        <v>8</v>
      </c>
    </row>
    <row r="175" spans="1:6" ht="20.100000000000001" customHeight="1" x14ac:dyDescent="0.2">
      <c r="A175" s="202">
        <v>7</v>
      </c>
      <c r="B175" s="201" t="s">
        <v>419</v>
      </c>
      <c r="C175" s="198">
        <v>99</v>
      </c>
      <c r="D175" s="198">
        <v>79</v>
      </c>
      <c r="E175" s="198">
        <v>78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4800</v>
      </c>
      <c r="D176" s="198">
        <f>+D169+D170+D171+D174</f>
        <v>4540</v>
      </c>
      <c r="E176" s="198">
        <f>+E169+E170+E171+E174</f>
        <v>4374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1.0646800000000001</v>
      </c>
      <c r="D179" s="210">
        <v>1.13964</v>
      </c>
      <c r="E179" s="210">
        <v>1.1516599999999999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1.5705</v>
      </c>
      <c r="D180" s="210">
        <v>1.5058</v>
      </c>
      <c r="E180" s="210">
        <v>1.5190999999999999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0.84579400000000005</v>
      </c>
      <c r="D181" s="210">
        <v>0.90883800000000003</v>
      </c>
      <c r="E181" s="210">
        <v>0.94978899999999999</v>
      </c>
    </row>
    <row r="182" spans="1:6" ht="20.100000000000001" customHeight="1" x14ac:dyDescent="0.2">
      <c r="A182" s="202">
        <v>4</v>
      </c>
      <c r="B182" s="201" t="s">
        <v>416</v>
      </c>
      <c r="C182" s="210">
        <v>0.82345000000000002</v>
      </c>
      <c r="D182" s="210">
        <v>0.90485000000000004</v>
      </c>
      <c r="E182" s="210">
        <v>0.95099999999999996</v>
      </c>
    </row>
    <row r="183" spans="1:6" ht="20.100000000000001" customHeight="1" x14ac:dyDescent="0.2">
      <c r="A183" s="202">
        <v>5</v>
      </c>
      <c r="B183" s="201" t="s">
        <v>417</v>
      </c>
      <c r="C183" s="210">
        <v>1.19089</v>
      </c>
      <c r="D183" s="210">
        <v>1.14018</v>
      </c>
      <c r="E183" s="210">
        <v>0.63690000000000002</v>
      </c>
    </row>
    <row r="184" spans="1:6" ht="20.100000000000001" customHeight="1" x14ac:dyDescent="0.2">
      <c r="A184" s="202">
        <v>6</v>
      </c>
      <c r="B184" s="201" t="s">
        <v>418</v>
      </c>
      <c r="C184" s="210">
        <v>0.51895000000000002</v>
      </c>
      <c r="D184" s="210">
        <v>0.71243999999999996</v>
      </c>
      <c r="E184" s="210">
        <v>0.89710000000000001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1.1172299999999999</v>
      </c>
      <c r="D185" s="210">
        <v>1.0085500000000001</v>
      </c>
      <c r="E185" s="210">
        <v>1.2761</v>
      </c>
    </row>
    <row r="186" spans="1:6" ht="20.100000000000001" customHeight="1" x14ac:dyDescent="0.2">
      <c r="A186" s="202">
        <v>8</v>
      </c>
      <c r="B186" s="201" t="s">
        <v>423</v>
      </c>
      <c r="C186" s="210">
        <v>1.2994250000000001</v>
      </c>
      <c r="D186" s="210">
        <v>1.3080149999999999</v>
      </c>
      <c r="E186" s="210">
        <v>1.2994520000000001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3033</v>
      </c>
      <c r="D189" s="198">
        <v>3143</v>
      </c>
      <c r="E189" s="198">
        <v>3152</v>
      </c>
    </row>
    <row r="190" spans="1:6" ht="20.100000000000001" customHeight="1" x14ac:dyDescent="0.2">
      <c r="A190" s="202">
        <v>2</v>
      </c>
      <c r="B190" s="201" t="s">
        <v>427</v>
      </c>
      <c r="C190" s="198">
        <v>36913</v>
      </c>
      <c r="D190" s="198">
        <v>35049</v>
      </c>
      <c r="E190" s="198">
        <v>34292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39946</v>
      </c>
      <c r="D191" s="198">
        <f>+D190+D189</f>
        <v>38192</v>
      </c>
      <c r="E191" s="198">
        <f>+E190+E189</f>
        <v>37444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&amp;L&amp;8REPORT 185&amp;C&amp;8PAGE &amp;P of &amp;N&amp;R&amp;D, &amp;T</oddFooter>
  </headerFooter>
  <rowBreaks count="4" manualBreakCount="4">
    <brk id="42" max="4" man="1"/>
    <brk id="110" max="4" man="1"/>
    <brk id="149" max="4" man="1"/>
    <brk id="1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176756</v>
      </c>
      <c r="D14" s="237">
        <v>1160513</v>
      </c>
      <c r="E14" s="237">
        <f t="shared" ref="E14:E24" si="0">D14-C14</f>
        <v>983757</v>
      </c>
      <c r="F14" s="238">
        <f t="shared" ref="F14:F24" si="1">IF(C14=0,0,E14/C14)</f>
        <v>5.5656215347710969</v>
      </c>
    </row>
    <row r="15" spans="1:7" ht="20.25" customHeight="1" x14ac:dyDescent="0.3">
      <c r="A15" s="235">
        <v>2</v>
      </c>
      <c r="B15" s="236" t="s">
        <v>435</v>
      </c>
      <c r="C15" s="237">
        <v>77556</v>
      </c>
      <c r="D15" s="237">
        <v>802035</v>
      </c>
      <c r="E15" s="237">
        <f t="shared" si="0"/>
        <v>724479</v>
      </c>
      <c r="F15" s="238">
        <f t="shared" si="1"/>
        <v>9.3413662385888898</v>
      </c>
    </row>
    <row r="16" spans="1:7" ht="20.25" customHeight="1" x14ac:dyDescent="0.3">
      <c r="A16" s="235">
        <v>3</v>
      </c>
      <c r="B16" s="236" t="s">
        <v>436</v>
      </c>
      <c r="C16" s="237">
        <v>116441</v>
      </c>
      <c r="D16" s="237">
        <v>698544</v>
      </c>
      <c r="E16" s="237">
        <f t="shared" si="0"/>
        <v>582103</v>
      </c>
      <c r="F16" s="238">
        <f t="shared" si="1"/>
        <v>4.9991240198899014</v>
      </c>
    </row>
    <row r="17" spans="1:6" ht="20.25" customHeight="1" x14ac:dyDescent="0.3">
      <c r="A17" s="235">
        <v>4</v>
      </c>
      <c r="B17" s="236" t="s">
        <v>437</v>
      </c>
      <c r="C17" s="237">
        <v>42004</v>
      </c>
      <c r="D17" s="237">
        <v>387916</v>
      </c>
      <c r="E17" s="237">
        <f t="shared" si="0"/>
        <v>345912</v>
      </c>
      <c r="F17" s="238">
        <f t="shared" si="1"/>
        <v>8.2352156937434522</v>
      </c>
    </row>
    <row r="18" spans="1:6" ht="20.25" customHeight="1" x14ac:dyDescent="0.3">
      <c r="A18" s="235">
        <v>5</v>
      </c>
      <c r="B18" s="236" t="s">
        <v>373</v>
      </c>
      <c r="C18" s="239">
        <v>5</v>
      </c>
      <c r="D18" s="239">
        <v>54</v>
      </c>
      <c r="E18" s="239">
        <f t="shared" si="0"/>
        <v>49</v>
      </c>
      <c r="F18" s="238">
        <f t="shared" si="1"/>
        <v>9.8000000000000007</v>
      </c>
    </row>
    <row r="19" spans="1:6" ht="20.25" customHeight="1" x14ac:dyDescent="0.3">
      <c r="A19" s="235">
        <v>6</v>
      </c>
      <c r="B19" s="236" t="s">
        <v>372</v>
      </c>
      <c r="C19" s="239">
        <v>16</v>
      </c>
      <c r="D19" s="239">
        <v>213</v>
      </c>
      <c r="E19" s="239">
        <f t="shared" si="0"/>
        <v>197</v>
      </c>
      <c r="F19" s="238">
        <f t="shared" si="1"/>
        <v>12.3125</v>
      </c>
    </row>
    <row r="20" spans="1:6" ht="20.25" customHeight="1" x14ac:dyDescent="0.3">
      <c r="A20" s="235">
        <v>7</v>
      </c>
      <c r="B20" s="236" t="s">
        <v>438</v>
      </c>
      <c r="C20" s="239">
        <v>30</v>
      </c>
      <c r="D20" s="239">
        <v>175</v>
      </c>
      <c r="E20" s="239">
        <f t="shared" si="0"/>
        <v>145</v>
      </c>
      <c r="F20" s="238">
        <f t="shared" si="1"/>
        <v>4.833333333333333</v>
      </c>
    </row>
    <row r="21" spans="1:6" ht="20.25" customHeight="1" x14ac:dyDescent="0.3">
      <c r="A21" s="235">
        <v>8</v>
      </c>
      <c r="B21" s="236" t="s">
        <v>439</v>
      </c>
      <c r="C21" s="239">
        <v>20</v>
      </c>
      <c r="D21" s="239">
        <v>121</v>
      </c>
      <c r="E21" s="239">
        <f t="shared" si="0"/>
        <v>101</v>
      </c>
      <c r="F21" s="238">
        <f t="shared" si="1"/>
        <v>5.05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293197</v>
      </c>
      <c r="D23" s="243">
        <f>+D14+D16</f>
        <v>1859057</v>
      </c>
      <c r="E23" s="243">
        <f t="shared" si="0"/>
        <v>1565860</v>
      </c>
      <c r="F23" s="244">
        <f t="shared" si="1"/>
        <v>5.3406412753200065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119560</v>
      </c>
      <c r="D24" s="243">
        <f>+D15+D17</f>
        <v>1189951</v>
      </c>
      <c r="E24" s="243">
        <f t="shared" si="0"/>
        <v>1070391</v>
      </c>
      <c r="F24" s="244">
        <f t="shared" si="1"/>
        <v>8.9527517564402803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1287087</v>
      </c>
      <c r="D40" s="237">
        <v>1884775</v>
      </c>
      <c r="E40" s="237">
        <f t="shared" ref="E40:E50" si="4">D40-C40</f>
        <v>597688</v>
      </c>
      <c r="F40" s="238">
        <f t="shared" ref="F40:F50" si="5">IF(C40=0,0,E40/C40)</f>
        <v>0.46437264924593286</v>
      </c>
    </row>
    <row r="41" spans="1:6" ht="20.25" customHeight="1" x14ac:dyDescent="0.3">
      <c r="A41" s="235">
        <v>2</v>
      </c>
      <c r="B41" s="236" t="s">
        <v>435</v>
      </c>
      <c r="C41" s="237">
        <v>448466</v>
      </c>
      <c r="D41" s="237">
        <v>1050722</v>
      </c>
      <c r="E41" s="237">
        <f t="shared" si="4"/>
        <v>602256</v>
      </c>
      <c r="F41" s="238">
        <f t="shared" si="5"/>
        <v>1.3429245472343501</v>
      </c>
    </row>
    <row r="42" spans="1:6" ht="20.25" customHeight="1" x14ac:dyDescent="0.3">
      <c r="A42" s="235">
        <v>3</v>
      </c>
      <c r="B42" s="236" t="s">
        <v>436</v>
      </c>
      <c r="C42" s="237">
        <v>494298</v>
      </c>
      <c r="D42" s="237">
        <v>1743769</v>
      </c>
      <c r="E42" s="237">
        <f t="shared" si="4"/>
        <v>1249471</v>
      </c>
      <c r="F42" s="238">
        <f t="shared" si="5"/>
        <v>2.5277686739578149</v>
      </c>
    </row>
    <row r="43" spans="1:6" ht="20.25" customHeight="1" x14ac:dyDescent="0.3">
      <c r="A43" s="235">
        <v>4</v>
      </c>
      <c r="B43" s="236" t="s">
        <v>437</v>
      </c>
      <c r="C43" s="237">
        <v>114912</v>
      </c>
      <c r="D43" s="237">
        <v>845514</v>
      </c>
      <c r="E43" s="237">
        <f t="shared" si="4"/>
        <v>730602</v>
      </c>
      <c r="F43" s="238">
        <f t="shared" si="5"/>
        <v>6.357926065162907</v>
      </c>
    </row>
    <row r="44" spans="1:6" ht="20.25" customHeight="1" x14ac:dyDescent="0.3">
      <c r="A44" s="235">
        <v>5</v>
      </c>
      <c r="B44" s="236" t="s">
        <v>373</v>
      </c>
      <c r="C44" s="239">
        <v>33</v>
      </c>
      <c r="D44" s="239">
        <v>73</v>
      </c>
      <c r="E44" s="239">
        <f t="shared" si="4"/>
        <v>40</v>
      </c>
      <c r="F44" s="238">
        <f t="shared" si="5"/>
        <v>1.2121212121212122</v>
      </c>
    </row>
    <row r="45" spans="1:6" ht="20.25" customHeight="1" x14ac:dyDescent="0.3">
      <c r="A45" s="235">
        <v>6</v>
      </c>
      <c r="B45" s="236" t="s">
        <v>372</v>
      </c>
      <c r="C45" s="239">
        <v>139</v>
      </c>
      <c r="D45" s="239">
        <v>322</v>
      </c>
      <c r="E45" s="239">
        <f t="shared" si="4"/>
        <v>183</v>
      </c>
      <c r="F45" s="238">
        <f t="shared" si="5"/>
        <v>1.3165467625899281</v>
      </c>
    </row>
    <row r="46" spans="1:6" ht="20.25" customHeight="1" x14ac:dyDescent="0.3">
      <c r="A46" s="235">
        <v>7</v>
      </c>
      <c r="B46" s="236" t="s">
        <v>438</v>
      </c>
      <c r="C46" s="239">
        <v>142</v>
      </c>
      <c r="D46" s="239">
        <v>425</v>
      </c>
      <c r="E46" s="239">
        <f t="shared" si="4"/>
        <v>283</v>
      </c>
      <c r="F46" s="238">
        <f t="shared" si="5"/>
        <v>1.9929577464788732</v>
      </c>
    </row>
    <row r="47" spans="1:6" ht="20.25" customHeight="1" x14ac:dyDescent="0.3">
      <c r="A47" s="235">
        <v>8</v>
      </c>
      <c r="B47" s="236" t="s">
        <v>439</v>
      </c>
      <c r="C47" s="239">
        <v>91</v>
      </c>
      <c r="D47" s="239">
        <v>267</v>
      </c>
      <c r="E47" s="239">
        <f t="shared" si="4"/>
        <v>176</v>
      </c>
      <c r="F47" s="238">
        <f t="shared" si="5"/>
        <v>1.9340659340659341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1781385</v>
      </c>
      <c r="D49" s="243">
        <f>+D40+D42</f>
        <v>3628544</v>
      </c>
      <c r="E49" s="243">
        <f t="shared" si="4"/>
        <v>1847159</v>
      </c>
      <c r="F49" s="244">
        <f t="shared" si="5"/>
        <v>1.0369229560145616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563378</v>
      </c>
      <c r="D50" s="243">
        <f>+D41+D43</f>
        <v>1896236</v>
      </c>
      <c r="E50" s="243">
        <f t="shared" si="4"/>
        <v>1332858</v>
      </c>
      <c r="F50" s="244">
        <f t="shared" si="5"/>
        <v>2.365832531621753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14010834</v>
      </c>
      <c r="D53" s="237">
        <v>3281849</v>
      </c>
      <c r="E53" s="237">
        <f t="shared" ref="E53:E63" si="6">D53-C53</f>
        <v>-10728985</v>
      </c>
      <c r="F53" s="238">
        <f t="shared" ref="F53:F63" si="7">IF(C53=0,0,E53/C53)</f>
        <v>-0.76576347988991944</v>
      </c>
    </row>
    <row r="54" spans="1:6" ht="20.25" customHeight="1" x14ac:dyDescent="0.3">
      <c r="A54" s="235">
        <v>2</v>
      </c>
      <c r="B54" s="236" t="s">
        <v>435</v>
      </c>
      <c r="C54" s="237">
        <v>4486502</v>
      </c>
      <c r="D54" s="237">
        <v>2004655</v>
      </c>
      <c r="E54" s="237">
        <f t="shared" si="6"/>
        <v>-2481847</v>
      </c>
      <c r="F54" s="238">
        <f t="shared" si="7"/>
        <v>-0.55318085225416147</v>
      </c>
    </row>
    <row r="55" spans="1:6" ht="20.25" customHeight="1" x14ac:dyDescent="0.3">
      <c r="A55" s="235">
        <v>3</v>
      </c>
      <c r="B55" s="236" t="s">
        <v>436</v>
      </c>
      <c r="C55" s="237">
        <v>6087394</v>
      </c>
      <c r="D55" s="237">
        <v>1442431</v>
      </c>
      <c r="E55" s="237">
        <f t="shared" si="6"/>
        <v>-4644963</v>
      </c>
      <c r="F55" s="238">
        <f t="shared" si="7"/>
        <v>-0.76304622306359671</v>
      </c>
    </row>
    <row r="56" spans="1:6" ht="20.25" customHeight="1" x14ac:dyDescent="0.3">
      <c r="A56" s="235">
        <v>4</v>
      </c>
      <c r="B56" s="236" t="s">
        <v>437</v>
      </c>
      <c r="C56" s="237">
        <v>1451260</v>
      </c>
      <c r="D56" s="237">
        <v>709710</v>
      </c>
      <c r="E56" s="237">
        <f t="shared" si="6"/>
        <v>-741550</v>
      </c>
      <c r="F56" s="238">
        <f t="shared" si="7"/>
        <v>-0.51096977798602594</v>
      </c>
    </row>
    <row r="57" spans="1:6" ht="20.25" customHeight="1" x14ac:dyDescent="0.3">
      <c r="A57" s="235">
        <v>5</v>
      </c>
      <c r="B57" s="236" t="s">
        <v>373</v>
      </c>
      <c r="C57" s="239">
        <v>492</v>
      </c>
      <c r="D57" s="239">
        <v>118</v>
      </c>
      <c r="E57" s="239">
        <f t="shared" si="6"/>
        <v>-374</v>
      </c>
      <c r="F57" s="238">
        <f t="shared" si="7"/>
        <v>-0.76016260162601623</v>
      </c>
    </row>
    <row r="58" spans="1:6" ht="20.25" customHeight="1" x14ac:dyDescent="0.3">
      <c r="A58" s="235">
        <v>6</v>
      </c>
      <c r="B58" s="236" t="s">
        <v>372</v>
      </c>
      <c r="C58" s="239">
        <v>2072</v>
      </c>
      <c r="D58" s="239">
        <v>604</v>
      </c>
      <c r="E58" s="239">
        <f t="shared" si="6"/>
        <v>-1468</v>
      </c>
      <c r="F58" s="238">
        <f t="shared" si="7"/>
        <v>-0.70849420849420852</v>
      </c>
    </row>
    <row r="59" spans="1:6" ht="20.25" customHeight="1" x14ac:dyDescent="0.3">
      <c r="A59" s="235">
        <v>7</v>
      </c>
      <c r="B59" s="236" t="s">
        <v>438</v>
      </c>
      <c r="C59" s="239">
        <v>4316</v>
      </c>
      <c r="D59" s="239">
        <v>1050</v>
      </c>
      <c r="E59" s="239">
        <f t="shared" si="6"/>
        <v>-3266</v>
      </c>
      <c r="F59" s="238">
        <f t="shared" si="7"/>
        <v>-0.75671918443002784</v>
      </c>
    </row>
    <row r="60" spans="1:6" ht="20.25" customHeight="1" x14ac:dyDescent="0.3">
      <c r="A60" s="235">
        <v>8</v>
      </c>
      <c r="B60" s="236" t="s">
        <v>439</v>
      </c>
      <c r="C60" s="239">
        <v>996</v>
      </c>
      <c r="D60" s="239">
        <v>235</v>
      </c>
      <c r="E60" s="239">
        <f t="shared" si="6"/>
        <v>-761</v>
      </c>
      <c r="F60" s="238">
        <f t="shared" si="7"/>
        <v>-0.76405622489959835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20098228</v>
      </c>
      <c r="D62" s="243">
        <f>+D53+D55</f>
        <v>4724280</v>
      </c>
      <c r="E62" s="243">
        <f t="shared" si="6"/>
        <v>-15373948</v>
      </c>
      <c r="F62" s="244">
        <f t="shared" si="7"/>
        <v>-0.76494047136891874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5937762</v>
      </c>
      <c r="D63" s="243">
        <f>+D54+D56</f>
        <v>2714365</v>
      </c>
      <c r="E63" s="243">
        <f t="shared" si="6"/>
        <v>-3223397</v>
      </c>
      <c r="F63" s="244">
        <f t="shared" si="7"/>
        <v>-0.54286396120289093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1180174</v>
      </c>
      <c r="D66" s="237">
        <v>92733</v>
      </c>
      <c r="E66" s="237">
        <f t="shared" ref="E66:E76" si="8">D66-C66</f>
        <v>-1087441</v>
      </c>
      <c r="F66" s="238">
        <f t="shared" ref="F66:F76" si="9">IF(C66=0,0,E66/C66)</f>
        <v>-0.92142429845090634</v>
      </c>
    </row>
    <row r="67" spans="1:6" ht="20.25" customHeight="1" x14ac:dyDescent="0.3">
      <c r="A67" s="235">
        <v>2</v>
      </c>
      <c r="B67" s="236" t="s">
        <v>435</v>
      </c>
      <c r="C67" s="237">
        <v>355126</v>
      </c>
      <c r="D67" s="237">
        <v>19366</v>
      </c>
      <c r="E67" s="237">
        <f t="shared" si="8"/>
        <v>-335760</v>
      </c>
      <c r="F67" s="238">
        <f t="shared" si="9"/>
        <v>-0.94546724261248116</v>
      </c>
    </row>
    <row r="68" spans="1:6" ht="20.25" customHeight="1" x14ac:dyDescent="0.3">
      <c r="A68" s="235">
        <v>3</v>
      </c>
      <c r="B68" s="236" t="s">
        <v>436</v>
      </c>
      <c r="C68" s="237">
        <v>517875</v>
      </c>
      <c r="D68" s="237">
        <v>26702</v>
      </c>
      <c r="E68" s="237">
        <f t="shared" si="8"/>
        <v>-491173</v>
      </c>
      <c r="F68" s="238">
        <f t="shared" si="9"/>
        <v>-0.94843929519671732</v>
      </c>
    </row>
    <row r="69" spans="1:6" ht="20.25" customHeight="1" x14ac:dyDescent="0.3">
      <c r="A69" s="235">
        <v>4</v>
      </c>
      <c r="B69" s="236" t="s">
        <v>437</v>
      </c>
      <c r="C69" s="237">
        <v>118061</v>
      </c>
      <c r="D69" s="237">
        <v>11427</v>
      </c>
      <c r="E69" s="237">
        <f t="shared" si="8"/>
        <v>-106634</v>
      </c>
      <c r="F69" s="238">
        <f t="shared" si="9"/>
        <v>-0.9032110519138411</v>
      </c>
    </row>
    <row r="70" spans="1:6" ht="20.25" customHeight="1" x14ac:dyDescent="0.3">
      <c r="A70" s="235">
        <v>5</v>
      </c>
      <c r="B70" s="236" t="s">
        <v>373</v>
      </c>
      <c r="C70" s="239">
        <v>34</v>
      </c>
      <c r="D70" s="239">
        <v>4</v>
      </c>
      <c r="E70" s="239">
        <f t="shared" si="8"/>
        <v>-30</v>
      </c>
      <c r="F70" s="238">
        <f t="shared" si="9"/>
        <v>-0.88235294117647056</v>
      </c>
    </row>
    <row r="71" spans="1:6" ht="20.25" customHeight="1" x14ac:dyDescent="0.3">
      <c r="A71" s="235">
        <v>6</v>
      </c>
      <c r="B71" s="236" t="s">
        <v>372</v>
      </c>
      <c r="C71" s="239">
        <v>180</v>
      </c>
      <c r="D71" s="239">
        <v>9</v>
      </c>
      <c r="E71" s="239">
        <f t="shared" si="8"/>
        <v>-171</v>
      </c>
      <c r="F71" s="238">
        <f t="shared" si="9"/>
        <v>-0.95</v>
      </c>
    </row>
    <row r="72" spans="1:6" ht="20.25" customHeight="1" x14ac:dyDescent="0.3">
      <c r="A72" s="235">
        <v>7</v>
      </c>
      <c r="B72" s="236" t="s">
        <v>438</v>
      </c>
      <c r="C72" s="239">
        <v>130</v>
      </c>
      <c r="D72" s="239">
        <v>6</v>
      </c>
      <c r="E72" s="239">
        <f t="shared" si="8"/>
        <v>-124</v>
      </c>
      <c r="F72" s="238">
        <f t="shared" si="9"/>
        <v>-0.9538461538461539</v>
      </c>
    </row>
    <row r="73" spans="1:6" ht="20.25" customHeight="1" x14ac:dyDescent="0.3">
      <c r="A73" s="235">
        <v>8</v>
      </c>
      <c r="B73" s="236" t="s">
        <v>439</v>
      </c>
      <c r="C73" s="239">
        <v>132</v>
      </c>
      <c r="D73" s="239">
        <v>19</v>
      </c>
      <c r="E73" s="239">
        <f t="shared" si="8"/>
        <v>-113</v>
      </c>
      <c r="F73" s="238">
        <f t="shared" si="9"/>
        <v>-0.85606060606060608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1698049</v>
      </c>
      <c r="D75" s="243">
        <f>+D66+D68</f>
        <v>119435</v>
      </c>
      <c r="E75" s="243">
        <f t="shared" si="8"/>
        <v>-1578614</v>
      </c>
      <c r="F75" s="244">
        <f t="shared" si="9"/>
        <v>-0.92966339605040849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473187</v>
      </c>
      <c r="D76" s="243">
        <f>+D67+D69</f>
        <v>30793</v>
      </c>
      <c r="E76" s="243">
        <f t="shared" si="8"/>
        <v>-442394</v>
      </c>
      <c r="F76" s="244">
        <f t="shared" si="9"/>
        <v>-0.93492424770756588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1087681</v>
      </c>
      <c r="D79" s="237">
        <v>894667</v>
      </c>
      <c r="E79" s="237">
        <f t="shared" ref="E79:E89" si="10">D79-C79</f>
        <v>-193014</v>
      </c>
      <c r="F79" s="238">
        <f t="shared" ref="F79:F89" si="11">IF(C79=0,0,E79/C79)</f>
        <v>-0.17745460295803642</v>
      </c>
    </row>
    <row r="80" spans="1:6" ht="20.25" customHeight="1" x14ac:dyDescent="0.3">
      <c r="A80" s="235">
        <v>2</v>
      </c>
      <c r="B80" s="236" t="s">
        <v>435</v>
      </c>
      <c r="C80" s="237">
        <v>247774</v>
      </c>
      <c r="D80" s="237">
        <v>598338</v>
      </c>
      <c r="E80" s="237">
        <f t="shared" si="10"/>
        <v>350564</v>
      </c>
      <c r="F80" s="238">
        <f t="shared" si="11"/>
        <v>1.4148538587583848</v>
      </c>
    </row>
    <row r="81" spans="1:6" ht="20.25" customHeight="1" x14ac:dyDescent="0.3">
      <c r="A81" s="235">
        <v>3</v>
      </c>
      <c r="B81" s="236" t="s">
        <v>436</v>
      </c>
      <c r="C81" s="237">
        <v>477556</v>
      </c>
      <c r="D81" s="237">
        <v>495154</v>
      </c>
      <c r="E81" s="237">
        <f t="shared" si="10"/>
        <v>17598</v>
      </c>
      <c r="F81" s="238">
        <f t="shared" si="11"/>
        <v>3.6850128571308913E-2</v>
      </c>
    </row>
    <row r="82" spans="1:6" ht="20.25" customHeight="1" x14ac:dyDescent="0.3">
      <c r="A82" s="235">
        <v>4</v>
      </c>
      <c r="B82" s="236" t="s">
        <v>437</v>
      </c>
      <c r="C82" s="237">
        <v>224952</v>
      </c>
      <c r="D82" s="237">
        <v>224852</v>
      </c>
      <c r="E82" s="237">
        <f t="shared" si="10"/>
        <v>-100</v>
      </c>
      <c r="F82" s="238">
        <f t="shared" si="11"/>
        <v>-4.4453927949073582E-4</v>
      </c>
    </row>
    <row r="83" spans="1:6" ht="20.25" customHeight="1" x14ac:dyDescent="0.3">
      <c r="A83" s="235">
        <v>5</v>
      </c>
      <c r="B83" s="236" t="s">
        <v>373</v>
      </c>
      <c r="C83" s="239">
        <v>35</v>
      </c>
      <c r="D83" s="239">
        <v>36</v>
      </c>
      <c r="E83" s="239">
        <f t="shared" si="10"/>
        <v>1</v>
      </c>
      <c r="F83" s="238">
        <f t="shared" si="11"/>
        <v>2.8571428571428571E-2</v>
      </c>
    </row>
    <row r="84" spans="1:6" ht="20.25" customHeight="1" x14ac:dyDescent="0.3">
      <c r="A84" s="235">
        <v>6</v>
      </c>
      <c r="B84" s="236" t="s">
        <v>372</v>
      </c>
      <c r="C84" s="239">
        <v>169</v>
      </c>
      <c r="D84" s="239">
        <v>153</v>
      </c>
      <c r="E84" s="239">
        <f t="shared" si="10"/>
        <v>-16</v>
      </c>
      <c r="F84" s="238">
        <f t="shared" si="11"/>
        <v>-9.4674556213017749E-2</v>
      </c>
    </row>
    <row r="85" spans="1:6" ht="20.25" customHeight="1" x14ac:dyDescent="0.3">
      <c r="A85" s="235">
        <v>7</v>
      </c>
      <c r="B85" s="236" t="s">
        <v>438</v>
      </c>
      <c r="C85" s="239">
        <v>148</v>
      </c>
      <c r="D85" s="239">
        <v>145</v>
      </c>
      <c r="E85" s="239">
        <f t="shared" si="10"/>
        <v>-3</v>
      </c>
      <c r="F85" s="238">
        <f t="shared" si="11"/>
        <v>-2.0270270270270271E-2</v>
      </c>
    </row>
    <row r="86" spans="1:6" ht="20.25" customHeight="1" x14ac:dyDescent="0.3">
      <c r="A86" s="235">
        <v>8</v>
      </c>
      <c r="B86" s="236" t="s">
        <v>439</v>
      </c>
      <c r="C86" s="239">
        <v>79</v>
      </c>
      <c r="D86" s="239">
        <v>85</v>
      </c>
      <c r="E86" s="239">
        <f t="shared" si="10"/>
        <v>6</v>
      </c>
      <c r="F86" s="238">
        <f t="shared" si="11"/>
        <v>7.5949367088607597E-2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1565237</v>
      </c>
      <c r="D88" s="243">
        <f>+D79+D81</f>
        <v>1389821</v>
      </c>
      <c r="E88" s="243">
        <f t="shared" si="10"/>
        <v>-175416</v>
      </c>
      <c r="F88" s="244">
        <f t="shared" si="11"/>
        <v>-0.11206992934616292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472726</v>
      </c>
      <c r="D89" s="243">
        <f>+D80+D82</f>
        <v>823190</v>
      </c>
      <c r="E89" s="243">
        <f t="shared" si="10"/>
        <v>350464</v>
      </c>
      <c r="F89" s="244">
        <f t="shared" si="11"/>
        <v>0.74136814983732646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5388678</v>
      </c>
      <c r="E92" s="237">
        <f t="shared" ref="E92:E102" si="12">D92-C92</f>
        <v>5388678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3025234</v>
      </c>
      <c r="E93" s="237">
        <f t="shared" si="12"/>
        <v>3025234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2800723</v>
      </c>
      <c r="E94" s="237">
        <f t="shared" si="12"/>
        <v>2800723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1212825</v>
      </c>
      <c r="E95" s="237">
        <f t="shared" si="12"/>
        <v>1212825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155</v>
      </c>
      <c r="E96" s="239">
        <f t="shared" si="12"/>
        <v>155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662</v>
      </c>
      <c r="E97" s="239">
        <f t="shared" si="12"/>
        <v>662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1817</v>
      </c>
      <c r="E98" s="239">
        <f t="shared" si="12"/>
        <v>1817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532</v>
      </c>
      <c r="E99" s="239">
        <f t="shared" si="12"/>
        <v>532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8189401</v>
      </c>
      <c r="E101" s="243">
        <f t="shared" si="12"/>
        <v>8189401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4238059</v>
      </c>
      <c r="E102" s="243">
        <f t="shared" si="12"/>
        <v>4238059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37008</v>
      </c>
      <c r="D105" s="237">
        <v>170575</v>
      </c>
      <c r="E105" s="237">
        <f t="shared" ref="E105:E115" si="14">D105-C105</f>
        <v>133567</v>
      </c>
      <c r="F105" s="238">
        <f t="shared" ref="F105:F115" si="15">IF(C105=0,0,E105/C105)</f>
        <v>3.6091385646346734</v>
      </c>
    </row>
    <row r="106" spans="1:6" ht="20.25" customHeight="1" x14ac:dyDescent="0.3">
      <c r="A106" s="235">
        <v>2</v>
      </c>
      <c r="B106" s="236" t="s">
        <v>435</v>
      </c>
      <c r="C106" s="237">
        <v>9560</v>
      </c>
      <c r="D106" s="237">
        <v>42273</v>
      </c>
      <c r="E106" s="237">
        <f t="shared" si="14"/>
        <v>32713</v>
      </c>
      <c r="F106" s="238">
        <f t="shared" si="15"/>
        <v>3.4218619246861923</v>
      </c>
    </row>
    <row r="107" spans="1:6" ht="20.25" customHeight="1" x14ac:dyDescent="0.3">
      <c r="A107" s="235">
        <v>3</v>
      </c>
      <c r="B107" s="236" t="s">
        <v>436</v>
      </c>
      <c r="C107" s="237">
        <v>12799</v>
      </c>
      <c r="D107" s="237">
        <v>113104</v>
      </c>
      <c r="E107" s="237">
        <f t="shared" si="14"/>
        <v>100305</v>
      </c>
      <c r="F107" s="238">
        <f t="shared" si="15"/>
        <v>7.8369403859676536</v>
      </c>
    </row>
    <row r="108" spans="1:6" ht="20.25" customHeight="1" x14ac:dyDescent="0.3">
      <c r="A108" s="235">
        <v>4</v>
      </c>
      <c r="B108" s="236" t="s">
        <v>437</v>
      </c>
      <c r="C108" s="237">
        <v>2900</v>
      </c>
      <c r="D108" s="237">
        <v>67608</v>
      </c>
      <c r="E108" s="237">
        <f t="shared" si="14"/>
        <v>64708</v>
      </c>
      <c r="F108" s="238">
        <f t="shared" si="15"/>
        <v>22.313103448275861</v>
      </c>
    </row>
    <row r="109" spans="1:6" ht="20.25" customHeight="1" x14ac:dyDescent="0.3">
      <c r="A109" s="235">
        <v>5</v>
      </c>
      <c r="B109" s="236" t="s">
        <v>373</v>
      </c>
      <c r="C109" s="239">
        <v>1</v>
      </c>
      <c r="D109" s="239">
        <v>5</v>
      </c>
      <c r="E109" s="239">
        <f t="shared" si="14"/>
        <v>4</v>
      </c>
      <c r="F109" s="238">
        <f t="shared" si="15"/>
        <v>4</v>
      </c>
    </row>
    <row r="110" spans="1:6" ht="20.25" customHeight="1" x14ac:dyDescent="0.3">
      <c r="A110" s="235">
        <v>6</v>
      </c>
      <c r="B110" s="236" t="s">
        <v>372</v>
      </c>
      <c r="C110" s="239">
        <v>5</v>
      </c>
      <c r="D110" s="239">
        <v>39</v>
      </c>
      <c r="E110" s="239">
        <f t="shared" si="14"/>
        <v>34</v>
      </c>
      <c r="F110" s="238">
        <f t="shared" si="15"/>
        <v>6.8</v>
      </c>
    </row>
    <row r="111" spans="1:6" ht="20.25" customHeight="1" x14ac:dyDescent="0.3">
      <c r="A111" s="235">
        <v>7</v>
      </c>
      <c r="B111" s="236" t="s">
        <v>438</v>
      </c>
      <c r="C111" s="239">
        <v>4</v>
      </c>
      <c r="D111" s="239">
        <v>31</v>
      </c>
      <c r="E111" s="239">
        <f t="shared" si="14"/>
        <v>27</v>
      </c>
      <c r="F111" s="238">
        <f t="shared" si="15"/>
        <v>6.75</v>
      </c>
    </row>
    <row r="112" spans="1:6" ht="20.25" customHeight="1" x14ac:dyDescent="0.3">
      <c r="A112" s="235">
        <v>8</v>
      </c>
      <c r="B112" s="236" t="s">
        <v>439</v>
      </c>
      <c r="C112" s="239">
        <v>4</v>
      </c>
      <c r="D112" s="239">
        <v>21</v>
      </c>
      <c r="E112" s="239">
        <f t="shared" si="14"/>
        <v>17</v>
      </c>
      <c r="F112" s="238">
        <f t="shared" si="15"/>
        <v>4.25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49807</v>
      </c>
      <c r="D114" s="243">
        <f>+D105+D107</f>
        <v>283679</v>
      </c>
      <c r="E114" s="243">
        <f t="shared" si="14"/>
        <v>233872</v>
      </c>
      <c r="F114" s="244">
        <f t="shared" si="15"/>
        <v>4.6955648804384928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12460</v>
      </c>
      <c r="D115" s="243">
        <f>+D106+D108</f>
        <v>109881</v>
      </c>
      <c r="E115" s="243">
        <f t="shared" si="14"/>
        <v>97421</v>
      </c>
      <c r="F115" s="244">
        <f t="shared" si="15"/>
        <v>7.8186998394863565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247648</v>
      </c>
      <c r="D118" s="237">
        <v>841066</v>
      </c>
      <c r="E118" s="237">
        <f t="shared" ref="E118:E128" si="16">D118-C118</f>
        <v>593418</v>
      </c>
      <c r="F118" s="238">
        <f t="shared" ref="F118:F128" si="17">IF(C118=0,0,E118/C118)</f>
        <v>2.3962155963302751</v>
      </c>
    </row>
    <row r="119" spans="1:6" ht="20.25" customHeight="1" x14ac:dyDescent="0.3">
      <c r="A119" s="235">
        <v>2</v>
      </c>
      <c r="B119" s="236" t="s">
        <v>435</v>
      </c>
      <c r="C119" s="237">
        <v>109056</v>
      </c>
      <c r="D119" s="237">
        <v>392332</v>
      </c>
      <c r="E119" s="237">
        <f t="shared" si="16"/>
        <v>283276</v>
      </c>
      <c r="F119" s="238">
        <f t="shared" si="17"/>
        <v>2.5975278755868545</v>
      </c>
    </row>
    <row r="120" spans="1:6" ht="20.25" customHeight="1" x14ac:dyDescent="0.3">
      <c r="A120" s="235">
        <v>3</v>
      </c>
      <c r="B120" s="236" t="s">
        <v>436</v>
      </c>
      <c r="C120" s="237">
        <v>122355</v>
      </c>
      <c r="D120" s="237">
        <v>228902</v>
      </c>
      <c r="E120" s="237">
        <f t="shared" si="16"/>
        <v>106547</v>
      </c>
      <c r="F120" s="238">
        <f t="shared" si="17"/>
        <v>0.87080217400187976</v>
      </c>
    </row>
    <row r="121" spans="1:6" ht="20.25" customHeight="1" x14ac:dyDescent="0.3">
      <c r="A121" s="235">
        <v>4</v>
      </c>
      <c r="B121" s="236" t="s">
        <v>437</v>
      </c>
      <c r="C121" s="237">
        <v>66819</v>
      </c>
      <c r="D121" s="237">
        <v>131592</v>
      </c>
      <c r="E121" s="237">
        <f t="shared" si="16"/>
        <v>64773</v>
      </c>
      <c r="F121" s="238">
        <f t="shared" si="17"/>
        <v>0.96937996677591698</v>
      </c>
    </row>
    <row r="122" spans="1:6" ht="20.25" customHeight="1" x14ac:dyDescent="0.3">
      <c r="A122" s="235">
        <v>5</v>
      </c>
      <c r="B122" s="236" t="s">
        <v>373</v>
      </c>
      <c r="C122" s="239">
        <v>7</v>
      </c>
      <c r="D122" s="239">
        <v>21</v>
      </c>
      <c r="E122" s="239">
        <f t="shared" si="16"/>
        <v>14</v>
      </c>
      <c r="F122" s="238">
        <f t="shared" si="17"/>
        <v>2</v>
      </c>
    </row>
    <row r="123" spans="1:6" ht="20.25" customHeight="1" x14ac:dyDescent="0.3">
      <c r="A123" s="235">
        <v>6</v>
      </c>
      <c r="B123" s="236" t="s">
        <v>372</v>
      </c>
      <c r="C123" s="239">
        <v>24</v>
      </c>
      <c r="D123" s="239">
        <v>141</v>
      </c>
      <c r="E123" s="239">
        <f t="shared" si="16"/>
        <v>117</v>
      </c>
      <c r="F123" s="238">
        <f t="shared" si="17"/>
        <v>4.875</v>
      </c>
    </row>
    <row r="124" spans="1:6" ht="20.25" customHeight="1" x14ac:dyDescent="0.3">
      <c r="A124" s="235">
        <v>7</v>
      </c>
      <c r="B124" s="236" t="s">
        <v>438</v>
      </c>
      <c r="C124" s="239">
        <v>43</v>
      </c>
      <c r="D124" s="239">
        <v>67</v>
      </c>
      <c r="E124" s="239">
        <f t="shared" si="16"/>
        <v>24</v>
      </c>
      <c r="F124" s="238">
        <f t="shared" si="17"/>
        <v>0.55813953488372092</v>
      </c>
    </row>
    <row r="125" spans="1:6" ht="20.25" customHeight="1" x14ac:dyDescent="0.3">
      <c r="A125" s="235">
        <v>8</v>
      </c>
      <c r="B125" s="236" t="s">
        <v>439</v>
      </c>
      <c r="C125" s="239">
        <v>11</v>
      </c>
      <c r="D125" s="239">
        <v>47</v>
      </c>
      <c r="E125" s="239">
        <f t="shared" si="16"/>
        <v>36</v>
      </c>
      <c r="F125" s="238">
        <f t="shared" si="17"/>
        <v>3.2727272727272729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370003</v>
      </c>
      <c r="D127" s="243">
        <f>+D118+D120</f>
        <v>1069968</v>
      </c>
      <c r="E127" s="243">
        <f t="shared" si="16"/>
        <v>699965</v>
      </c>
      <c r="F127" s="244">
        <f t="shared" si="17"/>
        <v>1.8917819585246607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175875</v>
      </c>
      <c r="D128" s="243">
        <f>+D119+D121</f>
        <v>523924</v>
      </c>
      <c r="E128" s="243">
        <f t="shared" si="16"/>
        <v>348049</v>
      </c>
      <c r="F128" s="244">
        <f t="shared" si="17"/>
        <v>1.9789566453447049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65341</v>
      </c>
      <c r="D131" s="237">
        <v>61309</v>
      </c>
      <c r="E131" s="237">
        <f t="shared" ref="E131:E141" si="18">D131-C131</f>
        <v>-4032</v>
      </c>
      <c r="F131" s="238">
        <f t="shared" ref="F131:F141" si="19">IF(C131=0,0,E131/C131)</f>
        <v>-6.1707044581503188E-2</v>
      </c>
    </row>
    <row r="132" spans="1:6" ht="20.25" customHeight="1" x14ac:dyDescent="0.3">
      <c r="A132" s="235">
        <v>2</v>
      </c>
      <c r="B132" s="236" t="s">
        <v>435</v>
      </c>
      <c r="C132" s="237">
        <v>18102</v>
      </c>
      <c r="D132" s="237">
        <v>24558</v>
      </c>
      <c r="E132" s="237">
        <f t="shared" si="18"/>
        <v>6456</v>
      </c>
      <c r="F132" s="238">
        <f t="shared" si="19"/>
        <v>0.35664567451110374</v>
      </c>
    </row>
    <row r="133" spans="1:6" ht="20.25" customHeight="1" x14ac:dyDescent="0.3">
      <c r="A133" s="235">
        <v>3</v>
      </c>
      <c r="B133" s="236" t="s">
        <v>436</v>
      </c>
      <c r="C133" s="237">
        <v>17593</v>
      </c>
      <c r="D133" s="237">
        <v>70309</v>
      </c>
      <c r="E133" s="237">
        <f t="shared" si="18"/>
        <v>52716</v>
      </c>
      <c r="F133" s="238">
        <f t="shared" si="19"/>
        <v>2.9964190302961407</v>
      </c>
    </row>
    <row r="134" spans="1:6" ht="20.25" customHeight="1" x14ac:dyDescent="0.3">
      <c r="A134" s="235">
        <v>4</v>
      </c>
      <c r="B134" s="236" t="s">
        <v>437</v>
      </c>
      <c r="C134" s="237">
        <v>2606</v>
      </c>
      <c r="D134" s="237">
        <v>32613</v>
      </c>
      <c r="E134" s="237">
        <f t="shared" si="18"/>
        <v>30007</v>
      </c>
      <c r="F134" s="238">
        <f t="shared" si="19"/>
        <v>11.514581734458941</v>
      </c>
    </row>
    <row r="135" spans="1:6" ht="20.25" customHeight="1" x14ac:dyDescent="0.3">
      <c r="A135" s="235">
        <v>5</v>
      </c>
      <c r="B135" s="236" t="s">
        <v>373</v>
      </c>
      <c r="C135" s="239">
        <v>5</v>
      </c>
      <c r="D135" s="239">
        <v>4</v>
      </c>
      <c r="E135" s="239">
        <f t="shared" si="18"/>
        <v>-1</v>
      </c>
      <c r="F135" s="238">
        <f t="shared" si="19"/>
        <v>-0.2</v>
      </c>
    </row>
    <row r="136" spans="1:6" ht="20.25" customHeight="1" x14ac:dyDescent="0.3">
      <c r="A136" s="235">
        <v>6</v>
      </c>
      <c r="B136" s="236" t="s">
        <v>372</v>
      </c>
      <c r="C136" s="239">
        <v>5</v>
      </c>
      <c r="D136" s="239">
        <v>12</v>
      </c>
      <c r="E136" s="239">
        <f t="shared" si="18"/>
        <v>7</v>
      </c>
      <c r="F136" s="238">
        <f t="shared" si="19"/>
        <v>1.4</v>
      </c>
    </row>
    <row r="137" spans="1:6" ht="20.25" customHeight="1" x14ac:dyDescent="0.3">
      <c r="A137" s="235">
        <v>7</v>
      </c>
      <c r="B137" s="236" t="s">
        <v>438</v>
      </c>
      <c r="C137" s="239">
        <v>3</v>
      </c>
      <c r="D137" s="239">
        <v>9</v>
      </c>
      <c r="E137" s="239">
        <f t="shared" si="18"/>
        <v>6</v>
      </c>
      <c r="F137" s="238">
        <f t="shared" si="19"/>
        <v>2</v>
      </c>
    </row>
    <row r="138" spans="1:6" ht="20.25" customHeight="1" x14ac:dyDescent="0.3">
      <c r="A138" s="235">
        <v>8</v>
      </c>
      <c r="B138" s="236" t="s">
        <v>439</v>
      </c>
      <c r="C138" s="239">
        <v>5</v>
      </c>
      <c r="D138" s="239">
        <v>23</v>
      </c>
      <c r="E138" s="239">
        <f t="shared" si="18"/>
        <v>18</v>
      </c>
      <c r="F138" s="238">
        <f t="shared" si="19"/>
        <v>3.6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82934</v>
      </c>
      <c r="D140" s="243">
        <f>+D131+D133</f>
        <v>131618</v>
      </c>
      <c r="E140" s="243">
        <f t="shared" si="18"/>
        <v>48684</v>
      </c>
      <c r="F140" s="244">
        <f t="shared" si="19"/>
        <v>0.5870210046543034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20708</v>
      </c>
      <c r="D141" s="243">
        <f>+D132+D134</f>
        <v>57171</v>
      </c>
      <c r="E141" s="243">
        <f t="shared" si="18"/>
        <v>36463</v>
      </c>
      <c r="F141" s="244">
        <f t="shared" si="19"/>
        <v>1.7608170755263666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112047</v>
      </c>
      <c r="D183" s="237">
        <v>322740</v>
      </c>
      <c r="E183" s="237">
        <f t="shared" ref="E183:E193" si="26">D183-C183</f>
        <v>210693</v>
      </c>
      <c r="F183" s="238">
        <f t="shared" ref="F183:F193" si="27">IF(C183=0,0,E183/C183)</f>
        <v>1.8803984042410775</v>
      </c>
    </row>
    <row r="184" spans="1:6" ht="20.25" customHeight="1" x14ac:dyDescent="0.3">
      <c r="A184" s="235">
        <v>2</v>
      </c>
      <c r="B184" s="236" t="s">
        <v>435</v>
      </c>
      <c r="C184" s="237">
        <v>64096</v>
      </c>
      <c r="D184" s="237">
        <v>162453</v>
      </c>
      <c r="E184" s="237">
        <f t="shared" si="26"/>
        <v>98357</v>
      </c>
      <c r="F184" s="238">
        <f t="shared" si="27"/>
        <v>1.5345263354967549</v>
      </c>
    </row>
    <row r="185" spans="1:6" ht="20.25" customHeight="1" x14ac:dyDescent="0.3">
      <c r="A185" s="235">
        <v>3</v>
      </c>
      <c r="B185" s="236" t="s">
        <v>436</v>
      </c>
      <c r="C185" s="237">
        <v>58353</v>
      </c>
      <c r="D185" s="237">
        <v>92090</v>
      </c>
      <c r="E185" s="237">
        <f t="shared" si="26"/>
        <v>33737</v>
      </c>
      <c r="F185" s="238">
        <f t="shared" si="27"/>
        <v>0.57815365105478722</v>
      </c>
    </row>
    <row r="186" spans="1:6" ht="20.25" customHeight="1" x14ac:dyDescent="0.3">
      <c r="A186" s="235">
        <v>4</v>
      </c>
      <c r="B186" s="236" t="s">
        <v>437</v>
      </c>
      <c r="C186" s="237">
        <v>22684</v>
      </c>
      <c r="D186" s="237">
        <v>49514</v>
      </c>
      <c r="E186" s="237">
        <f t="shared" si="26"/>
        <v>26830</v>
      </c>
      <c r="F186" s="238">
        <f t="shared" si="27"/>
        <v>1.182771997883971</v>
      </c>
    </row>
    <row r="187" spans="1:6" ht="20.25" customHeight="1" x14ac:dyDescent="0.3">
      <c r="A187" s="235">
        <v>5</v>
      </c>
      <c r="B187" s="236" t="s">
        <v>373</v>
      </c>
      <c r="C187" s="239">
        <v>3</v>
      </c>
      <c r="D187" s="239">
        <v>9</v>
      </c>
      <c r="E187" s="239">
        <f t="shared" si="26"/>
        <v>6</v>
      </c>
      <c r="F187" s="238">
        <f t="shared" si="27"/>
        <v>2</v>
      </c>
    </row>
    <row r="188" spans="1:6" ht="20.25" customHeight="1" x14ac:dyDescent="0.3">
      <c r="A188" s="235">
        <v>6</v>
      </c>
      <c r="B188" s="236" t="s">
        <v>372</v>
      </c>
      <c r="C188" s="239">
        <v>22</v>
      </c>
      <c r="D188" s="239">
        <v>59</v>
      </c>
      <c r="E188" s="239">
        <f t="shared" si="26"/>
        <v>37</v>
      </c>
      <c r="F188" s="238">
        <f t="shared" si="27"/>
        <v>1.6818181818181819</v>
      </c>
    </row>
    <row r="189" spans="1:6" ht="20.25" customHeight="1" x14ac:dyDescent="0.3">
      <c r="A189" s="235">
        <v>7</v>
      </c>
      <c r="B189" s="236" t="s">
        <v>438</v>
      </c>
      <c r="C189" s="239">
        <v>9</v>
      </c>
      <c r="D189" s="239">
        <v>40</v>
      </c>
      <c r="E189" s="239">
        <f t="shared" si="26"/>
        <v>31</v>
      </c>
      <c r="F189" s="238">
        <f t="shared" si="27"/>
        <v>3.4444444444444446</v>
      </c>
    </row>
    <row r="190" spans="1:6" ht="20.25" customHeight="1" x14ac:dyDescent="0.3">
      <c r="A190" s="235">
        <v>8</v>
      </c>
      <c r="B190" s="236" t="s">
        <v>439</v>
      </c>
      <c r="C190" s="239">
        <v>17</v>
      </c>
      <c r="D190" s="239">
        <v>18</v>
      </c>
      <c r="E190" s="239">
        <f t="shared" si="26"/>
        <v>1</v>
      </c>
      <c r="F190" s="238">
        <f t="shared" si="27"/>
        <v>5.8823529411764705E-2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170400</v>
      </c>
      <c r="D192" s="243">
        <f>+D183+D185</f>
        <v>414830</v>
      </c>
      <c r="E192" s="243">
        <f t="shared" si="26"/>
        <v>244430</v>
      </c>
      <c r="F192" s="244">
        <f t="shared" si="27"/>
        <v>1.4344483568075117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86780</v>
      </c>
      <c r="D193" s="243">
        <f>+D184+D186</f>
        <v>211967</v>
      </c>
      <c r="E193" s="243">
        <f t="shared" si="26"/>
        <v>125187</v>
      </c>
      <c r="F193" s="244">
        <f t="shared" si="27"/>
        <v>1.4425789352385343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18204576</v>
      </c>
      <c r="D198" s="243">
        <f t="shared" si="28"/>
        <v>14098905</v>
      </c>
      <c r="E198" s="243">
        <f t="shared" ref="E198:E208" si="29">D198-C198</f>
        <v>-4105671</v>
      </c>
      <c r="F198" s="251">
        <f t="shared" ref="F198:F208" si="30">IF(C198=0,0,E198/C198)</f>
        <v>-0.22552961409263253</v>
      </c>
    </row>
    <row r="199" spans="1:9" ht="20.25" customHeight="1" x14ac:dyDescent="0.3">
      <c r="A199" s="249"/>
      <c r="B199" s="250" t="s">
        <v>461</v>
      </c>
      <c r="C199" s="243">
        <f t="shared" si="28"/>
        <v>5816238</v>
      </c>
      <c r="D199" s="243">
        <f t="shared" si="28"/>
        <v>8121966</v>
      </c>
      <c r="E199" s="243">
        <f t="shared" si="29"/>
        <v>2305728</v>
      </c>
      <c r="F199" s="251">
        <f t="shared" si="30"/>
        <v>0.39642944459975676</v>
      </c>
    </row>
    <row r="200" spans="1:9" ht="20.25" customHeight="1" x14ac:dyDescent="0.3">
      <c r="A200" s="249"/>
      <c r="B200" s="250" t="s">
        <v>462</v>
      </c>
      <c r="C200" s="243">
        <f t="shared" si="28"/>
        <v>7904664</v>
      </c>
      <c r="D200" s="243">
        <f t="shared" si="28"/>
        <v>7711728</v>
      </c>
      <c r="E200" s="243">
        <f t="shared" si="29"/>
        <v>-192936</v>
      </c>
      <c r="F200" s="251">
        <f t="shared" si="30"/>
        <v>-2.440786856974566E-2</v>
      </c>
    </row>
    <row r="201" spans="1:9" ht="20.25" customHeight="1" x14ac:dyDescent="0.3">
      <c r="A201" s="249"/>
      <c r="B201" s="250" t="s">
        <v>463</v>
      </c>
      <c r="C201" s="243">
        <f t="shared" si="28"/>
        <v>2046198</v>
      </c>
      <c r="D201" s="243">
        <f t="shared" si="28"/>
        <v>3673571</v>
      </c>
      <c r="E201" s="243">
        <f t="shared" si="29"/>
        <v>1627373</v>
      </c>
      <c r="F201" s="251">
        <f t="shared" si="30"/>
        <v>0.79531550710146326</v>
      </c>
    </row>
    <row r="202" spans="1:9" ht="20.25" customHeight="1" x14ac:dyDescent="0.3">
      <c r="A202" s="249"/>
      <c r="B202" s="250" t="s">
        <v>464</v>
      </c>
      <c r="C202" s="252">
        <f t="shared" si="28"/>
        <v>615</v>
      </c>
      <c r="D202" s="252">
        <f t="shared" si="28"/>
        <v>479</v>
      </c>
      <c r="E202" s="252">
        <f t="shared" si="29"/>
        <v>-136</v>
      </c>
      <c r="F202" s="251">
        <f t="shared" si="30"/>
        <v>-0.22113821138211381</v>
      </c>
    </row>
    <row r="203" spans="1:9" ht="20.25" customHeight="1" x14ac:dyDescent="0.3">
      <c r="A203" s="249"/>
      <c r="B203" s="250" t="s">
        <v>465</v>
      </c>
      <c r="C203" s="252">
        <f t="shared" si="28"/>
        <v>2632</v>
      </c>
      <c r="D203" s="252">
        <f t="shared" si="28"/>
        <v>2214</v>
      </c>
      <c r="E203" s="252">
        <f t="shared" si="29"/>
        <v>-418</v>
      </c>
      <c r="F203" s="251">
        <f t="shared" si="30"/>
        <v>-0.15881458966565348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4825</v>
      </c>
      <c r="D204" s="252">
        <f t="shared" si="28"/>
        <v>3765</v>
      </c>
      <c r="E204" s="252">
        <f t="shared" si="29"/>
        <v>-1060</v>
      </c>
      <c r="F204" s="251">
        <f t="shared" si="30"/>
        <v>-0.21968911917098446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1355</v>
      </c>
      <c r="D205" s="252">
        <f t="shared" si="28"/>
        <v>1368</v>
      </c>
      <c r="E205" s="252">
        <f t="shared" si="29"/>
        <v>13</v>
      </c>
      <c r="F205" s="251">
        <f t="shared" si="30"/>
        <v>9.5940959409594097E-3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26109240</v>
      </c>
      <c r="D207" s="243">
        <f>+D198+D200</f>
        <v>21810633</v>
      </c>
      <c r="E207" s="243">
        <f t="shared" si="29"/>
        <v>-4298607</v>
      </c>
      <c r="F207" s="251">
        <f t="shared" si="30"/>
        <v>-0.16463930010984618</v>
      </c>
    </row>
    <row r="208" spans="1:9" ht="20.25" customHeight="1" x14ac:dyDescent="0.3">
      <c r="A208" s="249"/>
      <c r="B208" s="242" t="s">
        <v>470</v>
      </c>
      <c r="C208" s="243">
        <f>+C199+C201</f>
        <v>7862436</v>
      </c>
      <c r="D208" s="243">
        <f>+D199+D201</f>
        <v>11795537</v>
      </c>
      <c r="E208" s="243">
        <f t="shared" si="29"/>
        <v>3933101</v>
      </c>
      <c r="F208" s="251">
        <f t="shared" si="30"/>
        <v>0.50023949320541372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1389132</v>
      </c>
      <c r="D26" s="237">
        <v>1387168</v>
      </c>
      <c r="E26" s="237">
        <f t="shared" ref="E26:E36" si="2">D26-C26</f>
        <v>-1964</v>
      </c>
      <c r="F26" s="238">
        <f t="shared" ref="F26:F36" si="3">IF(C26=0,0,E26/C26)</f>
        <v>-1.413832522755217E-3</v>
      </c>
    </row>
    <row r="27" spans="1:6" ht="20.25" customHeight="1" x14ac:dyDescent="0.3">
      <c r="A27" s="235">
        <v>2</v>
      </c>
      <c r="B27" s="236" t="s">
        <v>435</v>
      </c>
      <c r="C27" s="237">
        <v>471589</v>
      </c>
      <c r="D27" s="237">
        <v>560549</v>
      </c>
      <c r="E27" s="237">
        <f t="shared" si="2"/>
        <v>88960</v>
      </c>
      <c r="F27" s="238">
        <f t="shared" si="3"/>
        <v>0.1886388359355286</v>
      </c>
    </row>
    <row r="28" spans="1:6" ht="20.25" customHeight="1" x14ac:dyDescent="0.3">
      <c r="A28" s="235">
        <v>3</v>
      </c>
      <c r="B28" s="236" t="s">
        <v>436</v>
      </c>
      <c r="C28" s="237">
        <v>3857420</v>
      </c>
      <c r="D28" s="237">
        <v>3791977</v>
      </c>
      <c r="E28" s="237">
        <f t="shared" si="2"/>
        <v>-65443</v>
      </c>
      <c r="F28" s="238">
        <f t="shared" si="3"/>
        <v>-1.6965484702210286E-2</v>
      </c>
    </row>
    <row r="29" spans="1:6" ht="20.25" customHeight="1" x14ac:dyDescent="0.3">
      <c r="A29" s="235">
        <v>4</v>
      </c>
      <c r="B29" s="236" t="s">
        <v>437</v>
      </c>
      <c r="C29" s="237">
        <v>1152597</v>
      </c>
      <c r="D29" s="237">
        <v>1162470</v>
      </c>
      <c r="E29" s="237">
        <f t="shared" si="2"/>
        <v>9873</v>
      </c>
      <c r="F29" s="238">
        <f t="shared" si="3"/>
        <v>8.5658734145586009E-3</v>
      </c>
    </row>
    <row r="30" spans="1:6" ht="20.25" customHeight="1" x14ac:dyDescent="0.3">
      <c r="A30" s="235">
        <v>5</v>
      </c>
      <c r="B30" s="236" t="s">
        <v>373</v>
      </c>
      <c r="C30" s="239">
        <v>156</v>
      </c>
      <c r="D30" s="239">
        <v>182</v>
      </c>
      <c r="E30" s="239">
        <f t="shared" si="2"/>
        <v>26</v>
      </c>
      <c r="F30" s="238">
        <f t="shared" si="3"/>
        <v>0.16666666666666666</v>
      </c>
    </row>
    <row r="31" spans="1:6" ht="20.25" customHeight="1" x14ac:dyDescent="0.3">
      <c r="A31" s="235">
        <v>6</v>
      </c>
      <c r="B31" s="236" t="s">
        <v>372</v>
      </c>
      <c r="C31" s="239">
        <v>432</v>
      </c>
      <c r="D31" s="239">
        <v>522</v>
      </c>
      <c r="E31" s="239">
        <f t="shared" si="2"/>
        <v>90</v>
      </c>
      <c r="F31" s="238">
        <f t="shared" si="3"/>
        <v>0.20833333333333334</v>
      </c>
    </row>
    <row r="32" spans="1:6" ht="20.25" customHeight="1" x14ac:dyDescent="0.3">
      <c r="A32" s="235">
        <v>7</v>
      </c>
      <c r="B32" s="236" t="s">
        <v>438</v>
      </c>
      <c r="C32" s="239">
        <v>898</v>
      </c>
      <c r="D32" s="239">
        <v>1098</v>
      </c>
      <c r="E32" s="239">
        <f t="shared" si="2"/>
        <v>200</v>
      </c>
      <c r="F32" s="238">
        <f t="shared" si="3"/>
        <v>0.22271714922048999</v>
      </c>
    </row>
    <row r="33" spans="1:6" ht="20.25" customHeight="1" x14ac:dyDescent="0.3">
      <c r="A33" s="235">
        <v>8</v>
      </c>
      <c r="B33" s="236" t="s">
        <v>439</v>
      </c>
      <c r="C33" s="239">
        <v>2690</v>
      </c>
      <c r="D33" s="239">
        <v>2760</v>
      </c>
      <c r="E33" s="239">
        <f t="shared" si="2"/>
        <v>70</v>
      </c>
      <c r="F33" s="238">
        <f t="shared" si="3"/>
        <v>2.6022304832713755E-2</v>
      </c>
    </row>
    <row r="34" spans="1:6" ht="20.25" customHeight="1" x14ac:dyDescent="0.3">
      <c r="A34" s="235">
        <v>9</v>
      </c>
      <c r="B34" s="236" t="s">
        <v>440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5246552</v>
      </c>
      <c r="D35" s="243">
        <f>+D26+D28</f>
        <v>5179145</v>
      </c>
      <c r="E35" s="243">
        <f t="shared" si="2"/>
        <v>-67407</v>
      </c>
      <c r="F35" s="244">
        <f t="shared" si="3"/>
        <v>-1.2847866560743132E-2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1624186</v>
      </c>
      <c r="D36" s="243">
        <f>+D27+D29</f>
        <v>1723019</v>
      </c>
      <c r="E36" s="243">
        <f t="shared" si="2"/>
        <v>98833</v>
      </c>
      <c r="F36" s="244">
        <f t="shared" si="3"/>
        <v>6.0850789256895452E-2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361397</v>
      </c>
      <c r="D50" s="237">
        <v>1578659</v>
      </c>
      <c r="E50" s="237">
        <f t="shared" ref="E50:E60" si="6">D50-C50</f>
        <v>1217262</v>
      </c>
      <c r="F50" s="238">
        <f t="shared" ref="F50:F60" si="7">IF(C50=0,0,E50/C50)</f>
        <v>3.3682127964537614</v>
      </c>
    </row>
    <row r="51" spans="1:6" ht="20.25" customHeight="1" x14ac:dyDescent="0.3">
      <c r="A51" s="235">
        <v>2</v>
      </c>
      <c r="B51" s="236" t="s">
        <v>435</v>
      </c>
      <c r="C51" s="237">
        <v>102163</v>
      </c>
      <c r="D51" s="237">
        <v>534093</v>
      </c>
      <c r="E51" s="237">
        <f t="shared" si="6"/>
        <v>431930</v>
      </c>
      <c r="F51" s="238">
        <f t="shared" si="7"/>
        <v>4.2278515705294479</v>
      </c>
    </row>
    <row r="52" spans="1:6" ht="20.25" customHeight="1" x14ac:dyDescent="0.3">
      <c r="A52" s="235">
        <v>3</v>
      </c>
      <c r="B52" s="236" t="s">
        <v>436</v>
      </c>
      <c r="C52" s="237">
        <v>954285</v>
      </c>
      <c r="D52" s="237">
        <v>3234213</v>
      </c>
      <c r="E52" s="237">
        <f t="shared" si="6"/>
        <v>2279928</v>
      </c>
      <c r="F52" s="238">
        <f t="shared" si="7"/>
        <v>2.3891478960687844</v>
      </c>
    </row>
    <row r="53" spans="1:6" ht="20.25" customHeight="1" x14ac:dyDescent="0.3">
      <c r="A53" s="235">
        <v>4</v>
      </c>
      <c r="B53" s="236" t="s">
        <v>437</v>
      </c>
      <c r="C53" s="237">
        <v>236880</v>
      </c>
      <c r="D53" s="237">
        <v>879673</v>
      </c>
      <c r="E53" s="237">
        <f t="shared" si="6"/>
        <v>642793</v>
      </c>
      <c r="F53" s="238">
        <f t="shared" si="7"/>
        <v>2.713580715974333</v>
      </c>
    </row>
    <row r="54" spans="1:6" ht="20.25" customHeight="1" x14ac:dyDescent="0.3">
      <c r="A54" s="235">
        <v>5</v>
      </c>
      <c r="B54" s="236" t="s">
        <v>373</v>
      </c>
      <c r="C54" s="239">
        <v>40</v>
      </c>
      <c r="D54" s="239">
        <v>156</v>
      </c>
      <c r="E54" s="239">
        <f t="shared" si="6"/>
        <v>116</v>
      </c>
      <c r="F54" s="238">
        <f t="shared" si="7"/>
        <v>2.9</v>
      </c>
    </row>
    <row r="55" spans="1:6" ht="20.25" customHeight="1" x14ac:dyDescent="0.3">
      <c r="A55" s="235">
        <v>6</v>
      </c>
      <c r="B55" s="236" t="s">
        <v>372</v>
      </c>
      <c r="C55" s="239">
        <v>106</v>
      </c>
      <c r="D55" s="239">
        <v>462</v>
      </c>
      <c r="E55" s="239">
        <f t="shared" si="6"/>
        <v>356</v>
      </c>
      <c r="F55" s="238">
        <f t="shared" si="7"/>
        <v>3.358490566037736</v>
      </c>
    </row>
    <row r="56" spans="1:6" ht="20.25" customHeight="1" x14ac:dyDescent="0.3">
      <c r="A56" s="235">
        <v>7</v>
      </c>
      <c r="B56" s="236" t="s">
        <v>438</v>
      </c>
      <c r="C56" s="239">
        <v>267</v>
      </c>
      <c r="D56" s="239">
        <v>1015</v>
      </c>
      <c r="E56" s="239">
        <f t="shared" si="6"/>
        <v>748</v>
      </c>
      <c r="F56" s="238">
        <f t="shared" si="7"/>
        <v>2.8014981273408242</v>
      </c>
    </row>
    <row r="57" spans="1:6" ht="20.25" customHeight="1" x14ac:dyDescent="0.3">
      <c r="A57" s="235">
        <v>8</v>
      </c>
      <c r="B57" s="236" t="s">
        <v>439</v>
      </c>
      <c r="C57" s="239">
        <v>658</v>
      </c>
      <c r="D57" s="239">
        <v>2234</v>
      </c>
      <c r="E57" s="239">
        <f t="shared" si="6"/>
        <v>1576</v>
      </c>
      <c r="F57" s="238">
        <f t="shared" si="7"/>
        <v>2.3951367781155017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1315682</v>
      </c>
      <c r="D59" s="243">
        <f>+D50+D52</f>
        <v>4812872</v>
      </c>
      <c r="E59" s="243">
        <f t="shared" si="6"/>
        <v>3497190</v>
      </c>
      <c r="F59" s="244">
        <f t="shared" si="7"/>
        <v>2.6580815120979082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339043</v>
      </c>
      <c r="D60" s="243">
        <f>+D51+D53</f>
        <v>1413766</v>
      </c>
      <c r="E60" s="243">
        <f t="shared" si="6"/>
        <v>1074723</v>
      </c>
      <c r="F60" s="244">
        <f t="shared" si="7"/>
        <v>3.1698722580911567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963915</v>
      </c>
      <c r="D98" s="237">
        <v>0</v>
      </c>
      <c r="E98" s="237">
        <f t="shared" ref="E98:E108" si="14">D98-C98</f>
        <v>-963915</v>
      </c>
      <c r="F98" s="238">
        <f t="shared" ref="F98:F108" si="15">IF(C98=0,0,E98/C98)</f>
        <v>-1</v>
      </c>
    </row>
    <row r="99" spans="1:7" ht="20.25" customHeight="1" x14ac:dyDescent="0.3">
      <c r="A99" s="235">
        <v>2</v>
      </c>
      <c r="B99" s="236" t="s">
        <v>435</v>
      </c>
      <c r="C99" s="237">
        <v>233259</v>
      </c>
      <c r="D99" s="237">
        <v>0</v>
      </c>
      <c r="E99" s="237">
        <f t="shared" si="14"/>
        <v>-233259</v>
      </c>
      <c r="F99" s="238">
        <f t="shared" si="15"/>
        <v>-1</v>
      </c>
    </row>
    <row r="100" spans="1:7" ht="20.25" customHeight="1" x14ac:dyDescent="0.3">
      <c r="A100" s="235">
        <v>3</v>
      </c>
      <c r="B100" s="236" t="s">
        <v>436</v>
      </c>
      <c r="C100" s="237">
        <v>2314823</v>
      </c>
      <c r="D100" s="237">
        <v>0</v>
      </c>
      <c r="E100" s="237">
        <f t="shared" si="14"/>
        <v>-2314823</v>
      </c>
      <c r="F100" s="238">
        <f t="shared" si="15"/>
        <v>-1</v>
      </c>
    </row>
    <row r="101" spans="1:7" ht="20.25" customHeight="1" x14ac:dyDescent="0.3">
      <c r="A101" s="235">
        <v>4</v>
      </c>
      <c r="B101" s="236" t="s">
        <v>437</v>
      </c>
      <c r="C101" s="237">
        <v>597146</v>
      </c>
      <c r="D101" s="237">
        <v>0</v>
      </c>
      <c r="E101" s="237">
        <f t="shared" si="14"/>
        <v>-597146</v>
      </c>
      <c r="F101" s="238">
        <f t="shared" si="15"/>
        <v>-1</v>
      </c>
    </row>
    <row r="102" spans="1:7" ht="20.25" customHeight="1" x14ac:dyDescent="0.3">
      <c r="A102" s="235">
        <v>5</v>
      </c>
      <c r="B102" s="236" t="s">
        <v>373</v>
      </c>
      <c r="C102" s="239">
        <v>76</v>
      </c>
      <c r="D102" s="239">
        <v>0</v>
      </c>
      <c r="E102" s="239">
        <f t="shared" si="14"/>
        <v>-76</v>
      </c>
      <c r="F102" s="238">
        <f t="shared" si="15"/>
        <v>-1</v>
      </c>
    </row>
    <row r="103" spans="1:7" ht="20.25" customHeight="1" x14ac:dyDescent="0.3">
      <c r="A103" s="235">
        <v>6</v>
      </c>
      <c r="B103" s="236" t="s">
        <v>372</v>
      </c>
      <c r="C103" s="239">
        <v>231</v>
      </c>
      <c r="D103" s="239">
        <v>0</v>
      </c>
      <c r="E103" s="239">
        <f t="shared" si="14"/>
        <v>-231</v>
      </c>
      <c r="F103" s="238">
        <f t="shared" si="15"/>
        <v>-1</v>
      </c>
    </row>
    <row r="104" spans="1:7" ht="20.25" customHeight="1" x14ac:dyDescent="0.3">
      <c r="A104" s="235">
        <v>7</v>
      </c>
      <c r="B104" s="236" t="s">
        <v>438</v>
      </c>
      <c r="C104" s="239">
        <v>728</v>
      </c>
      <c r="D104" s="239">
        <v>0</v>
      </c>
      <c r="E104" s="239">
        <f t="shared" si="14"/>
        <v>-728</v>
      </c>
      <c r="F104" s="238">
        <f t="shared" si="15"/>
        <v>-1</v>
      </c>
    </row>
    <row r="105" spans="1:7" ht="20.25" customHeight="1" x14ac:dyDescent="0.3">
      <c r="A105" s="235">
        <v>8</v>
      </c>
      <c r="B105" s="236" t="s">
        <v>439</v>
      </c>
      <c r="C105" s="239">
        <v>1563</v>
      </c>
      <c r="D105" s="239">
        <v>0</v>
      </c>
      <c r="E105" s="239">
        <f t="shared" si="14"/>
        <v>-1563</v>
      </c>
      <c r="F105" s="238">
        <f t="shared" si="15"/>
        <v>-1</v>
      </c>
    </row>
    <row r="106" spans="1:7" ht="20.25" customHeight="1" x14ac:dyDescent="0.3">
      <c r="A106" s="235">
        <v>9</v>
      </c>
      <c r="B106" s="236" t="s">
        <v>440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3278738</v>
      </c>
      <c r="D107" s="243">
        <f>+D98+D100</f>
        <v>0</v>
      </c>
      <c r="E107" s="243">
        <f t="shared" si="14"/>
        <v>-3278738</v>
      </c>
      <c r="F107" s="244">
        <f t="shared" si="15"/>
        <v>-1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830405</v>
      </c>
      <c r="D108" s="243">
        <f>+D99+D101</f>
        <v>0</v>
      </c>
      <c r="E108" s="243">
        <f t="shared" si="14"/>
        <v>-830405</v>
      </c>
      <c r="F108" s="244">
        <f t="shared" si="15"/>
        <v>-1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2714444</v>
      </c>
      <c r="D112" s="243">
        <f t="shared" si="16"/>
        <v>2965827</v>
      </c>
      <c r="E112" s="243">
        <f t="shared" ref="E112:E122" si="17">D112-C112</f>
        <v>251383</v>
      </c>
      <c r="F112" s="244">
        <f t="shared" ref="F112:F122" si="18">IF(C112=0,0,E112/C112)</f>
        <v>9.2609388884058758E-2</v>
      </c>
    </row>
    <row r="113" spans="1:6" ht="20.25" customHeight="1" x14ac:dyDescent="0.3">
      <c r="A113" s="249"/>
      <c r="B113" s="250" t="s">
        <v>461</v>
      </c>
      <c r="C113" s="243">
        <f t="shared" si="16"/>
        <v>807011</v>
      </c>
      <c r="D113" s="243">
        <f t="shared" si="16"/>
        <v>1094642</v>
      </c>
      <c r="E113" s="243">
        <f t="shared" si="17"/>
        <v>287631</v>
      </c>
      <c r="F113" s="244">
        <f t="shared" si="18"/>
        <v>0.35641521614947008</v>
      </c>
    </row>
    <row r="114" spans="1:6" ht="20.25" customHeight="1" x14ac:dyDescent="0.3">
      <c r="A114" s="249"/>
      <c r="B114" s="250" t="s">
        <v>462</v>
      </c>
      <c r="C114" s="243">
        <f t="shared" si="16"/>
        <v>7126528</v>
      </c>
      <c r="D114" s="243">
        <f t="shared" si="16"/>
        <v>7026190</v>
      </c>
      <c r="E114" s="243">
        <f t="shared" si="17"/>
        <v>-100338</v>
      </c>
      <c r="F114" s="244">
        <f t="shared" si="18"/>
        <v>-1.4079506879086141E-2</v>
      </c>
    </row>
    <row r="115" spans="1:6" ht="20.25" customHeight="1" x14ac:dyDescent="0.3">
      <c r="A115" s="249"/>
      <c r="B115" s="250" t="s">
        <v>463</v>
      </c>
      <c r="C115" s="243">
        <f t="shared" si="16"/>
        <v>1986623</v>
      </c>
      <c r="D115" s="243">
        <f t="shared" si="16"/>
        <v>2042143</v>
      </c>
      <c r="E115" s="243">
        <f t="shared" si="17"/>
        <v>55520</v>
      </c>
      <c r="F115" s="244">
        <f t="shared" si="18"/>
        <v>2.7946922994448366E-2</v>
      </c>
    </row>
    <row r="116" spans="1:6" ht="20.25" customHeight="1" x14ac:dyDescent="0.3">
      <c r="A116" s="249"/>
      <c r="B116" s="250" t="s">
        <v>464</v>
      </c>
      <c r="C116" s="252">
        <f t="shared" si="16"/>
        <v>272</v>
      </c>
      <c r="D116" s="252">
        <f t="shared" si="16"/>
        <v>338</v>
      </c>
      <c r="E116" s="252">
        <f t="shared" si="17"/>
        <v>66</v>
      </c>
      <c r="F116" s="244">
        <f t="shared" si="18"/>
        <v>0.24264705882352941</v>
      </c>
    </row>
    <row r="117" spans="1:6" ht="20.25" customHeight="1" x14ac:dyDescent="0.3">
      <c r="A117" s="249"/>
      <c r="B117" s="250" t="s">
        <v>465</v>
      </c>
      <c r="C117" s="252">
        <f t="shared" si="16"/>
        <v>769</v>
      </c>
      <c r="D117" s="252">
        <f t="shared" si="16"/>
        <v>984</v>
      </c>
      <c r="E117" s="252">
        <f t="shared" si="17"/>
        <v>215</v>
      </c>
      <c r="F117" s="244">
        <f t="shared" si="18"/>
        <v>0.27958387516254879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1893</v>
      </c>
      <c r="D118" s="252">
        <f t="shared" si="16"/>
        <v>2113</v>
      </c>
      <c r="E118" s="252">
        <f t="shared" si="17"/>
        <v>220</v>
      </c>
      <c r="F118" s="244">
        <f t="shared" si="18"/>
        <v>0.1162176439513999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4911</v>
      </c>
      <c r="D119" s="252">
        <f t="shared" si="16"/>
        <v>4994</v>
      </c>
      <c r="E119" s="252">
        <f t="shared" si="17"/>
        <v>83</v>
      </c>
      <c r="F119" s="244">
        <f t="shared" si="18"/>
        <v>1.6900834860517206E-2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441</v>
      </c>
      <c r="C121" s="243">
        <f>+C112+C114</f>
        <v>9840972</v>
      </c>
      <c r="D121" s="243">
        <f>+D112+D114</f>
        <v>9992017</v>
      </c>
      <c r="E121" s="243">
        <f t="shared" si="17"/>
        <v>151045</v>
      </c>
      <c r="F121" s="244">
        <f t="shared" si="18"/>
        <v>1.5348585485254912E-2</v>
      </c>
    </row>
    <row r="122" spans="1:6" ht="39.950000000000003" customHeight="1" x14ac:dyDescent="0.3">
      <c r="A122" s="249"/>
      <c r="B122" s="242" t="s">
        <v>470</v>
      </c>
      <c r="C122" s="243">
        <f>+C113+C115</f>
        <v>2793634</v>
      </c>
      <c r="D122" s="243">
        <f>+D113+D115</f>
        <v>3136785</v>
      </c>
      <c r="E122" s="243">
        <f t="shared" si="17"/>
        <v>343151</v>
      </c>
      <c r="F122" s="244">
        <f t="shared" si="18"/>
        <v>0.12283319862229626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FILING&amp;RMILFORD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2195638</v>
      </c>
      <c r="D13" s="23">
        <v>2404819</v>
      </c>
      <c r="E13" s="23">
        <f t="shared" ref="E13:E22" si="0">D13-C13</f>
        <v>209181</v>
      </c>
      <c r="F13" s="24">
        <f t="shared" ref="F13:F22" si="1">IF(C13=0,0,E13/C13)</f>
        <v>9.5271169473292047E-2</v>
      </c>
    </row>
    <row r="14" spans="1:8" ht="24" customHeight="1" x14ac:dyDescent="0.2">
      <c r="A14" s="21">
        <v>2</v>
      </c>
      <c r="B14" s="22" t="s">
        <v>17</v>
      </c>
      <c r="C14" s="23">
        <v>224820</v>
      </c>
      <c r="D14" s="23">
        <v>225915</v>
      </c>
      <c r="E14" s="23">
        <f t="shared" si="0"/>
        <v>1095</v>
      </c>
      <c r="F14" s="24">
        <f t="shared" si="1"/>
        <v>4.8705631171603947E-3</v>
      </c>
    </row>
    <row r="15" spans="1:8" ht="35.1" customHeight="1" x14ac:dyDescent="0.2">
      <c r="A15" s="21">
        <v>3</v>
      </c>
      <c r="B15" s="22" t="s">
        <v>18</v>
      </c>
      <c r="C15" s="23">
        <v>12871074</v>
      </c>
      <c r="D15" s="23">
        <v>13593372</v>
      </c>
      <c r="E15" s="23">
        <f t="shared" si="0"/>
        <v>722298</v>
      </c>
      <c r="F15" s="24">
        <f t="shared" si="1"/>
        <v>5.6117927688085704E-2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748785</v>
      </c>
      <c r="D19" s="23">
        <v>774644</v>
      </c>
      <c r="E19" s="23">
        <f t="shared" si="0"/>
        <v>25859</v>
      </c>
      <c r="F19" s="24">
        <f t="shared" si="1"/>
        <v>3.4534612739304339E-2</v>
      </c>
    </row>
    <row r="20" spans="1:11" ht="24" customHeight="1" x14ac:dyDescent="0.2">
      <c r="A20" s="21">
        <v>8</v>
      </c>
      <c r="B20" s="22" t="s">
        <v>23</v>
      </c>
      <c r="C20" s="23">
        <v>669748</v>
      </c>
      <c r="D20" s="23">
        <v>853110</v>
      </c>
      <c r="E20" s="23">
        <f t="shared" si="0"/>
        <v>183362</v>
      </c>
      <c r="F20" s="24">
        <f t="shared" si="1"/>
        <v>0.27377759993310918</v>
      </c>
    </row>
    <row r="21" spans="1:11" ht="24" customHeight="1" x14ac:dyDescent="0.2">
      <c r="A21" s="21">
        <v>9</v>
      </c>
      <c r="B21" s="22" t="s">
        <v>24</v>
      </c>
      <c r="C21" s="23">
        <v>755181</v>
      </c>
      <c r="D21" s="23">
        <v>720968</v>
      </c>
      <c r="E21" s="23">
        <f t="shared" si="0"/>
        <v>-34213</v>
      </c>
      <c r="F21" s="24">
        <f t="shared" si="1"/>
        <v>-4.5304370740259621E-2</v>
      </c>
    </row>
    <row r="22" spans="1:11" ht="24" customHeight="1" x14ac:dyDescent="0.25">
      <c r="A22" s="25"/>
      <c r="B22" s="26" t="s">
        <v>25</v>
      </c>
      <c r="C22" s="27">
        <f>SUM(C13:C21)</f>
        <v>17465246</v>
      </c>
      <c r="D22" s="27">
        <f>SUM(D13:D21)</f>
        <v>18572828</v>
      </c>
      <c r="E22" s="27">
        <f t="shared" si="0"/>
        <v>1107582</v>
      </c>
      <c r="F22" s="28">
        <f t="shared" si="1"/>
        <v>6.3416341229891635E-2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722904</v>
      </c>
      <c r="D25" s="23">
        <v>727662</v>
      </c>
      <c r="E25" s="23">
        <f>D25-C25</f>
        <v>4758</v>
      </c>
      <c r="F25" s="24">
        <f>IF(C25=0,0,E25/C25)</f>
        <v>6.581786793267156E-3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1076481</v>
      </c>
      <c r="D28" s="23">
        <v>1191309</v>
      </c>
      <c r="E28" s="23">
        <f>D28-C28</f>
        <v>114828</v>
      </c>
      <c r="F28" s="24">
        <f>IF(C28=0,0,E28/C28)</f>
        <v>0.10666978794795264</v>
      </c>
    </row>
    <row r="29" spans="1:11" ht="35.1" customHeight="1" x14ac:dyDescent="0.25">
      <c r="A29" s="25"/>
      <c r="B29" s="26" t="s">
        <v>32</v>
      </c>
      <c r="C29" s="27">
        <f>SUM(C25:C28)</f>
        <v>1799385</v>
      </c>
      <c r="D29" s="27">
        <f>SUM(D25:D28)</f>
        <v>1918971</v>
      </c>
      <c r="E29" s="27">
        <f>D29-C29</f>
        <v>119586</v>
      </c>
      <c r="F29" s="28">
        <f>IF(C29=0,0,E29/C29)</f>
        <v>6.6459373619319931E-2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28261217</v>
      </c>
      <c r="D32" s="23">
        <v>21045558</v>
      </c>
      <c r="E32" s="23">
        <f>D32-C32</f>
        <v>-7215659</v>
      </c>
      <c r="F32" s="24">
        <f>IF(C32=0,0,E32/C32)</f>
        <v>-0.25532017959453057</v>
      </c>
    </row>
    <row r="33" spans="1:8" ht="24" customHeight="1" x14ac:dyDescent="0.2">
      <c r="A33" s="21">
        <v>7</v>
      </c>
      <c r="B33" s="22" t="s">
        <v>35</v>
      </c>
      <c r="C33" s="23">
        <v>1030708</v>
      </c>
      <c r="D33" s="23">
        <v>760872</v>
      </c>
      <c r="E33" s="23">
        <f>D33-C33</f>
        <v>-269836</v>
      </c>
      <c r="F33" s="24">
        <f>IF(C33=0,0,E33/C33)</f>
        <v>-0.26179674553801852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82395451</v>
      </c>
      <c r="D36" s="23">
        <v>88440821</v>
      </c>
      <c r="E36" s="23">
        <f>D36-C36</f>
        <v>6045370</v>
      </c>
      <c r="F36" s="24">
        <f>IF(C36=0,0,E36/C36)</f>
        <v>7.3370191274273133E-2</v>
      </c>
    </row>
    <row r="37" spans="1:8" ht="24" customHeight="1" x14ac:dyDescent="0.2">
      <c r="A37" s="21">
        <v>2</v>
      </c>
      <c r="B37" s="22" t="s">
        <v>39</v>
      </c>
      <c r="C37" s="23">
        <v>47013853</v>
      </c>
      <c r="D37" s="23">
        <v>48643942</v>
      </c>
      <c r="E37" s="23">
        <f>D37-C37</f>
        <v>1630089</v>
      </c>
      <c r="F37" s="23">
        <f>IF(C37=0,0,E37/C37)</f>
        <v>3.4672525138494815E-2</v>
      </c>
    </row>
    <row r="38" spans="1:8" ht="24" customHeight="1" x14ac:dyDescent="0.25">
      <c r="A38" s="25"/>
      <c r="B38" s="26" t="s">
        <v>40</v>
      </c>
      <c r="C38" s="27">
        <f>C36-C37</f>
        <v>35381598</v>
      </c>
      <c r="D38" s="27">
        <f>D36-D37</f>
        <v>39796879</v>
      </c>
      <c r="E38" s="27">
        <f>D38-C38</f>
        <v>4415281</v>
      </c>
      <c r="F38" s="28">
        <f>IF(C38=0,0,E38/C38)</f>
        <v>0.12479032179383193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4823678</v>
      </c>
      <c r="D40" s="23">
        <v>36667</v>
      </c>
      <c r="E40" s="23">
        <f>D40-C40</f>
        <v>-4787011</v>
      </c>
      <c r="F40" s="24">
        <f>IF(C40=0,0,E40/C40)</f>
        <v>-0.99239853904012665</v>
      </c>
    </row>
    <row r="41" spans="1:8" ht="24" customHeight="1" x14ac:dyDescent="0.25">
      <c r="A41" s="25"/>
      <c r="B41" s="26" t="s">
        <v>42</v>
      </c>
      <c r="C41" s="27">
        <f>+C38+C40</f>
        <v>40205276</v>
      </c>
      <c r="D41" s="27">
        <f>+D38+D40</f>
        <v>39833546</v>
      </c>
      <c r="E41" s="27">
        <f>D41-C41</f>
        <v>-371730</v>
      </c>
      <c r="F41" s="28">
        <f>IF(C41=0,0,E41/C41)</f>
        <v>-9.2458014714287742E-3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88761832</v>
      </c>
      <c r="D43" s="27">
        <f>D22+D29+D31+D32+D33+D41</f>
        <v>82131775</v>
      </c>
      <c r="E43" s="27">
        <f>D43-C43</f>
        <v>-6630057</v>
      </c>
      <c r="F43" s="28">
        <f>IF(C43=0,0,E43/C43)</f>
        <v>-7.4694909406556639E-2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4615591</v>
      </c>
      <c r="D49" s="23">
        <v>4262133</v>
      </c>
      <c r="E49" s="23">
        <f t="shared" ref="E49:E56" si="2">D49-C49</f>
        <v>-353458</v>
      </c>
      <c r="F49" s="24">
        <f t="shared" ref="F49:F56" si="3">IF(C49=0,0,E49/C49)</f>
        <v>-7.6579142302686698E-2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6091816</v>
      </c>
      <c r="D50" s="23">
        <v>6577053</v>
      </c>
      <c r="E50" s="23">
        <f t="shared" si="2"/>
        <v>485237</v>
      </c>
      <c r="F50" s="24">
        <f t="shared" si="3"/>
        <v>7.9653916007968728E-2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1977820</v>
      </c>
      <c r="D51" s="23">
        <v>2318298</v>
      </c>
      <c r="E51" s="23">
        <f t="shared" si="2"/>
        <v>340478</v>
      </c>
      <c r="F51" s="24">
        <f t="shared" si="3"/>
        <v>0.17214812268052704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892497</v>
      </c>
      <c r="D54" s="23">
        <v>1062247</v>
      </c>
      <c r="E54" s="23">
        <f t="shared" si="2"/>
        <v>169750</v>
      </c>
      <c r="F54" s="24">
        <f t="shared" si="3"/>
        <v>0.19019671774807087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3191714</v>
      </c>
      <c r="D55" s="23">
        <v>3079908</v>
      </c>
      <c r="E55" s="23">
        <f t="shared" si="2"/>
        <v>-111806</v>
      </c>
      <c r="F55" s="24">
        <f t="shared" si="3"/>
        <v>-3.5030081016030883E-2</v>
      </c>
    </row>
    <row r="56" spans="1:6" ht="24" customHeight="1" x14ac:dyDescent="0.25">
      <c r="A56" s="25"/>
      <c r="B56" s="26" t="s">
        <v>54</v>
      </c>
      <c r="C56" s="27">
        <f>SUM(C49:C55)</f>
        <v>16769438</v>
      </c>
      <c r="D56" s="27">
        <f>SUM(D49:D55)</f>
        <v>17299639</v>
      </c>
      <c r="E56" s="27">
        <f t="shared" si="2"/>
        <v>530201</v>
      </c>
      <c r="F56" s="28">
        <f t="shared" si="3"/>
        <v>3.1617100107946369E-2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7257480</v>
      </c>
      <c r="D60" s="23">
        <v>7828804</v>
      </c>
      <c r="E60" s="23">
        <f>D60-C60</f>
        <v>571324</v>
      </c>
      <c r="F60" s="24">
        <f>IF(C60=0,0,E60/C60)</f>
        <v>7.8722090863495311E-2</v>
      </c>
    </row>
    <row r="61" spans="1:6" ht="24" customHeight="1" x14ac:dyDescent="0.25">
      <c r="A61" s="25"/>
      <c r="B61" s="26" t="s">
        <v>58</v>
      </c>
      <c r="C61" s="27">
        <f>SUM(C59:C60)</f>
        <v>7257480</v>
      </c>
      <c r="D61" s="27">
        <f>SUM(D59:D60)</f>
        <v>7828804</v>
      </c>
      <c r="E61" s="27">
        <f>D61-C61</f>
        <v>571324</v>
      </c>
      <c r="F61" s="28">
        <f>IF(C61=0,0,E61/C61)</f>
        <v>7.8722090863495311E-2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26780814</v>
      </c>
      <c r="D63" s="23">
        <v>30733115</v>
      </c>
      <c r="E63" s="23">
        <f>D63-C63</f>
        <v>3952301</v>
      </c>
      <c r="F63" s="24">
        <f>IF(C63=0,0,E63/C63)</f>
        <v>0.14757956946342257</v>
      </c>
    </row>
    <row r="64" spans="1:6" ht="24" customHeight="1" x14ac:dyDescent="0.2">
      <c r="A64" s="21">
        <v>4</v>
      </c>
      <c r="B64" s="22" t="s">
        <v>60</v>
      </c>
      <c r="C64" s="23">
        <v>1139396</v>
      </c>
      <c r="D64" s="23">
        <v>1238672</v>
      </c>
      <c r="E64" s="23">
        <f>D64-C64</f>
        <v>99276</v>
      </c>
      <c r="F64" s="24">
        <f>IF(C64=0,0,E64/C64)</f>
        <v>8.7130374338684702E-2</v>
      </c>
    </row>
    <row r="65" spans="1:6" ht="24" customHeight="1" x14ac:dyDescent="0.25">
      <c r="A65" s="25"/>
      <c r="B65" s="26" t="s">
        <v>61</v>
      </c>
      <c r="C65" s="27">
        <f>SUM(C61:C64)</f>
        <v>35177690</v>
      </c>
      <c r="D65" s="27">
        <f>SUM(D61:D64)</f>
        <v>39800591</v>
      </c>
      <c r="E65" s="27">
        <f>D65-C65</f>
        <v>4622901</v>
      </c>
      <c r="F65" s="28">
        <f>IF(C65=0,0,E65/C65)</f>
        <v>0.13141570694380444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35488206</v>
      </c>
      <c r="D70" s="23">
        <v>23731621</v>
      </c>
      <c r="E70" s="23">
        <f>D70-C70</f>
        <v>-11756585</v>
      </c>
      <c r="F70" s="24">
        <f>IF(C70=0,0,E70/C70)</f>
        <v>-0.33128146855324275</v>
      </c>
    </row>
    <row r="71" spans="1:6" ht="24" customHeight="1" x14ac:dyDescent="0.2">
      <c r="A71" s="21">
        <v>2</v>
      </c>
      <c r="B71" s="22" t="s">
        <v>65</v>
      </c>
      <c r="C71" s="23">
        <v>716206</v>
      </c>
      <c r="D71" s="23">
        <v>626161</v>
      </c>
      <c r="E71" s="23">
        <f>D71-C71</f>
        <v>-90045</v>
      </c>
      <c r="F71" s="24">
        <f>IF(C71=0,0,E71/C71)</f>
        <v>-0.12572500090756011</v>
      </c>
    </row>
    <row r="72" spans="1:6" ht="24" customHeight="1" x14ac:dyDescent="0.2">
      <c r="A72" s="21">
        <v>3</v>
      </c>
      <c r="B72" s="22" t="s">
        <v>66</v>
      </c>
      <c r="C72" s="23">
        <v>610292</v>
      </c>
      <c r="D72" s="23">
        <v>673763</v>
      </c>
      <c r="E72" s="23">
        <f>D72-C72</f>
        <v>63471</v>
      </c>
      <c r="F72" s="24">
        <f>IF(C72=0,0,E72/C72)</f>
        <v>0.10400103556985836</v>
      </c>
    </row>
    <row r="73" spans="1:6" ht="24" customHeight="1" x14ac:dyDescent="0.25">
      <c r="A73" s="21"/>
      <c r="B73" s="26" t="s">
        <v>67</v>
      </c>
      <c r="C73" s="27">
        <f>SUM(C70:C72)</f>
        <v>36814704</v>
      </c>
      <c r="D73" s="27">
        <f>SUM(D70:D72)</f>
        <v>25031545</v>
      </c>
      <c r="E73" s="27">
        <f>D73-C73</f>
        <v>-11783159</v>
      </c>
      <c r="F73" s="28">
        <f>IF(C73=0,0,E73/C73)</f>
        <v>-0.32006665054267447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88761832</v>
      </c>
      <c r="D75" s="27">
        <f>D56+D65+D67+D73</f>
        <v>82131775</v>
      </c>
      <c r="E75" s="27">
        <f>D75-C75</f>
        <v>-6630057</v>
      </c>
      <c r="F75" s="28">
        <f>IF(C75=0,0,E75/C75)</f>
        <v>-7.4694909406556639E-2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FILING&amp;RMILFORD HEALTH &amp;AMP; MEDICAL,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211623155</v>
      </c>
      <c r="D12" s="51">
        <v>191158170</v>
      </c>
      <c r="E12" s="51">
        <f t="shared" ref="E12:E19" si="0">D12-C12</f>
        <v>-20464985</v>
      </c>
      <c r="F12" s="70">
        <f t="shared" ref="F12:F19" si="1">IF(C12=0,0,E12/C12)</f>
        <v>-9.6704847822536244E-2</v>
      </c>
    </row>
    <row r="13" spans="1:8" ht="23.1" customHeight="1" x14ac:dyDescent="0.2">
      <c r="A13" s="25">
        <v>2</v>
      </c>
      <c r="B13" s="48" t="s">
        <v>72</v>
      </c>
      <c r="C13" s="51">
        <v>127529663</v>
      </c>
      <c r="D13" s="51">
        <v>106023474</v>
      </c>
      <c r="E13" s="51">
        <f t="shared" si="0"/>
        <v>-21506189</v>
      </c>
      <c r="F13" s="70">
        <f t="shared" si="1"/>
        <v>-0.16863675864963276</v>
      </c>
    </row>
    <row r="14" spans="1:8" ht="23.1" customHeight="1" x14ac:dyDescent="0.2">
      <c r="A14" s="25">
        <v>3</v>
      </c>
      <c r="B14" s="48" t="s">
        <v>73</v>
      </c>
      <c r="C14" s="51">
        <v>299029</v>
      </c>
      <c r="D14" s="51">
        <v>187766</v>
      </c>
      <c r="E14" s="51">
        <f t="shared" si="0"/>
        <v>-111263</v>
      </c>
      <c r="F14" s="70">
        <f t="shared" si="1"/>
        <v>-0.3720809687354738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83794463</v>
      </c>
      <c r="D16" s="27">
        <f>D12-D13-D14-D15</f>
        <v>84946930</v>
      </c>
      <c r="E16" s="27">
        <f t="shared" si="0"/>
        <v>1152467</v>
      </c>
      <c r="F16" s="28">
        <f t="shared" si="1"/>
        <v>1.3753498247252924E-2</v>
      </c>
    </row>
    <row r="17" spans="1:7" ht="23.1" customHeight="1" x14ac:dyDescent="0.2">
      <c r="A17" s="25">
        <v>5</v>
      </c>
      <c r="B17" s="48" t="s">
        <v>76</v>
      </c>
      <c r="C17" s="51">
        <v>1669876</v>
      </c>
      <c r="D17" s="51">
        <v>1505504</v>
      </c>
      <c r="E17" s="51">
        <f t="shared" si="0"/>
        <v>-164372</v>
      </c>
      <c r="F17" s="70">
        <f t="shared" si="1"/>
        <v>-9.8433656151714261E-2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85464339</v>
      </c>
      <c r="D19" s="27">
        <f>SUM(D16:D18)</f>
        <v>86452434</v>
      </c>
      <c r="E19" s="27">
        <f t="shared" si="0"/>
        <v>988095</v>
      </c>
      <c r="F19" s="28">
        <f t="shared" si="1"/>
        <v>1.156148882167099E-2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41093039</v>
      </c>
      <c r="D22" s="51">
        <v>41622787</v>
      </c>
      <c r="E22" s="51">
        <f t="shared" ref="E22:E31" si="2">D22-C22</f>
        <v>529748</v>
      </c>
      <c r="F22" s="70">
        <f t="shared" ref="F22:F31" si="3">IF(C22=0,0,E22/C22)</f>
        <v>1.2891429129882557E-2</v>
      </c>
    </row>
    <row r="23" spans="1:7" ht="23.1" customHeight="1" x14ac:dyDescent="0.2">
      <c r="A23" s="25">
        <v>2</v>
      </c>
      <c r="B23" s="48" t="s">
        <v>81</v>
      </c>
      <c r="C23" s="51">
        <v>15388786</v>
      </c>
      <c r="D23" s="51">
        <v>14352576</v>
      </c>
      <c r="E23" s="51">
        <f t="shared" si="2"/>
        <v>-1036210</v>
      </c>
      <c r="F23" s="70">
        <f t="shared" si="3"/>
        <v>-6.7335396047485493E-2</v>
      </c>
    </row>
    <row r="24" spans="1:7" ht="23.1" customHeight="1" x14ac:dyDescent="0.2">
      <c r="A24" s="25">
        <v>3</v>
      </c>
      <c r="B24" s="48" t="s">
        <v>82</v>
      </c>
      <c r="C24" s="51">
        <v>262888</v>
      </c>
      <c r="D24" s="51">
        <v>254332</v>
      </c>
      <c r="E24" s="51">
        <f t="shared" si="2"/>
        <v>-8556</v>
      </c>
      <c r="F24" s="70">
        <f t="shared" si="3"/>
        <v>-3.2546179361553206E-2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11011697</v>
      </c>
      <c r="D25" s="51">
        <v>10557275</v>
      </c>
      <c r="E25" s="51">
        <f t="shared" si="2"/>
        <v>-454422</v>
      </c>
      <c r="F25" s="70">
        <f t="shared" si="3"/>
        <v>-4.1267208859815156E-2</v>
      </c>
    </row>
    <row r="26" spans="1:7" ht="23.1" customHeight="1" x14ac:dyDescent="0.2">
      <c r="A26" s="25">
        <v>5</v>
      </c>
      <c r="B26" s="48" t="s">
        <v>84</v>
      </c>
      <c r="C26" s="51">
        <v>3771551</v>
      </c>
      <c r="D26" s="51">
        <v>3491992</v>
      </c>
      <c r="E26" s="51">
        <f t="shared" si="2"/>
        <v>-279559</v>
      </c>
      <c r="F26" s="70">
        <f t="shared" si="3"/>
        <v>-7.4123086231632551E-2</v>
      </c>
    </row>
    <row r="27" spans="1:7" ht="23.1" customHeight="1" x14ac:dyDescent="0.2">
      <c r="A27" s="25">
        <v>6</v>
      </c>
      <c r="B27" s="48" t="s">
        <v>85</v>
      </c>
      <c r="C27" s="51">
        <v>7969130</v>
      </c>
      <c r="D27" s="51">
        <v>9027011</v>
      </c>
      <c r="E27" s="51">
        <f t="shared" si="2"/>
        <v>1057881</v>
      </c>
      <c r="F27" s="70">
        <f t="shared" si="3"/>
        <v>0.13274736389041214</v>
      </c>
    </row>
    <row r="28" spans="1:7" ht="23.1" customHeight="1" x14ac:dyDescent="0.2">
      <c r="A28" s="25">
        <v>7</v>
      </c>
      <c r="B28" s="48" t="s">
        <v>86</v>
      </c>
      <c r="C28" s="51">
        <v>321450</v>
      </c>
      <c r="D28" s="51">
        <v>458693</v>
      </c>
      <c r="E28" s="51">
        <f t="shared" si="2"/>
        <v>137243</v>
      </c>
      <c r="F28" s="70">
        <f t="shared" si="3"/>
        <v>0.4269497589049619</v>
      </c>
    </row>
    <row r="29" spans="1:7" ht="23.1" customHeight="1" x14ac:dyDescent="0.2">
      <c r="A29" s="25">
        <v>8</v>
      </c>
      <c r="B29" s="48" t="s">
        <v>87</v>
      </c>
      <c r="C29" s="51">
        <v>1306068</v>
      </c>
      <c r="D29" s="51">
        <v>815946</v>
      </c>
      <c r="E29" s="51">
        <f t="shared" si="2"/>
        <v>-490122</v>
      </c>
      <c r="F29" s="70">
        <f t="shared" si="3"/>
        <v>-0.37526530012219883</v>
      </c>
    </row>
    <row r="30" spans="1:7" ht="23.1" customHeight="1" x14ac:dyDescent="0.2">
      <c r="A30" s="25">
        <v>9</v>
      </c>
      <c r="B30" s="48" t="s">
        <v>88</v>
      </c>
      <c r="C30" s="51">
        <v>12285975</v>
      </c>
      <c r="D30" s="51">
        <v>13062442</v>
      </c>
      <c r="E30" s="51">
        <f t="shared" si="2"/>
        <v>776467</v>
      </c>
      <c r="F30" s="70">
        <f t="shared" si="3"/>
        <v>6.3199461174225077E-2</v>
      </c>
    </row>
    <row r="31" spans="1:7" ht="23.1" customHeight="1" x14ac:dyDescent="0.25">
      <c r="A31" s="29"/>
      <c r="B31" s="71" t="s">
        <v>89</v>
      </c>
      <c r="C31" s="27">
        <f>SUM(C22:C30)</f>
        <v>93410584</v>
      </c>
      <c r="D31" s="27">
        <f>SUM(D22:D30)</f>
        <v>93643054</v>
      </c>
      <c r="E31" s="27">
        <f t="shared" si="2"/>
        <v>232470</v>
      </c>
      <c r="F31" s="28">
        <f t="shared" si="3"/>
        <v>2.4886901467182777E-3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-7946245</v>
      </c>
      <c r="D33" s="27">
        <f>+D19-D31</f>
        <v>-7190620</v>
      </c>
      <c r="E33" s="27">
        <f>D33-C33</f>
        <v>755625</v>
      </c>
      <c r="F33" s="28">
        <f>IF(C33=0,0,E33/C33)</f>
        <v>-9.5092084374443525E-2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2341183</v>
      </c>
      <c r="D36" s="51">
        <v>2334923</v>
      </c>
      <c r="E36" s="51">
        <f>D36-C36</f>
        <v>-6260</v>
      </c>
      <c r="F36" s="70">
        <f>IF(C36=0,0,E36/C36)</f>
        <v>-2.6738618894806602E-3</v>
      </c>
    </row>
    <row r="37" spans="1:6" ht="23.1" customHeight="1" x14ac:dyDescent="0.2">
      <c r="A37" s="44">
        <v>2</v>
      </c>
      <c r="B37" s="48" t="s">
        <v>93</v>
      </c>
      <c r="C37" s="51">
        <v>266708</v>
      </c>
      <c r="D37" s="51">
        <v>221551</v>
      </c>
      <c r="E37" s="51">
        <f>D37-C37</f>
        <v>-45157</v>
      </c>
      <c r="F37" s="70">
        <f>IF(C37=0,0,E37/C37)</f>
        <v>-0.16931250656148297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2607891</v>
      </c>
      <c r="D39" s="27">
        <f>SUM(D36:D38)</f>
        <v>2556474</v>
      </c>
      <c r="E39" s="27">
        <f>D39-C39</f>
        <v>-51417</v>
      </c>
      <c r="F39" s="28">
        <f>IF(C39=0,0,E39/C39)</f>
        <v>-1.9715931379033862E-2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-5338354</v>
      </c>
      <c r="D41" s="27">
        <f>D33+D39</f>
        <v>-4634146</v>
      </c>
      <c r="E41" s="27">
        <f>D41-C41</f>
        <v>704208</v>
      </c>
      <c r="F41" s="28">
        <f>IF(C41=0,0,E41/C41)</f>
        <v>-0.131914818687558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1110476</v>
      </c>
      <c r="D44" s="51">
        <v>-2445378</v>
      </c>
      <c r="E44" s="51">
        <f>D44-C44</f>
        <v>-3555854</v>
      </c>
      <c r="F44" s="70">
        <f>IF(C44=0,0,E44/C44)</f>
        <v>-3.2020989197425247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1110476</v>
      </c>
      <c r="D46" s="27">
        <f>SUM(D44:D45)</f>
        <v>-2445378</v>
      </c>
      <c r="E46" s="27">
        <f>D46-C46</f>
        <v>-3555854</v>
      </c>
      <c r="F46" s="28">
        <f>IF(C46=0,0,E46/C46)</f>
        <v>-3.2020989197425247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-4227878</v>
      </c>
      <c r="D48" s="27">
        <f>D41+D46</f>
        <v>-7079524</v>
      </c>
      <c r="E48" s="27">
        <f>D48-C48</f>
        <v>-2851646</v>
      </c>
      <c r="F48" s="28">
        <f>IF(C48=0,0,E48/C48)</f>
        <v>0.67448634988994483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FILING&amp;R&amp;8MILFORD HEALTH &amp;AMP; MEDICAL,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2007-12-14T18:49:33Z</cp:lastPrinted>
  <dcterms:created xsi:type="dcterms:W3CDTF">2006-08-03T13:49:12Z</dcterms:created>
  <dcterms:modified xsi:type="dcterms:W3CDTF">2012-06-28T14:04:54Z</dcterms:modified>
</cp:coreProperties>
</file>