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 s="1"/>
  <c r="D203" i="14"/>
  <c r="D283" i="14" s="1"/>
  <c r="D198" i="14"/>
  <c r="D290" i="14" s="1"/>
  <c r="D191" i="14"/>
  <c r="D264" i="14" s="1"/>
  <c r="D189" i="14"/>
  <c r="D278" i="14"/>
  <c r="D188" i="14"/>
  <c r="D214" i="14"/>
  <c r="D180" i="14"/>
  <c r="D181" i="14"/>
  <c r="D179" i="14"/>
  <c r="D171" i="14"/>
  <c r="D172" i="14" s="1"/>
  <c r="D170" i="14"/>
  <c r="D165" i="14"/>
  <c r="D164" i="14"/>
  <c r="D158" i="14"/>
  <c r="D159" i="14"/>
  <c r="D155" i="14"/>
  <c r="D145" i="14"/>
  <c r="D144" i="14"/>
  <c r="D136" i="14"/>
  <c r="D137" i="14" s="1"/>
  <c r="D138" i="14" s="1"/>
  <c r="D135" i="14"/>
  <c r="D130" i="14"/>
  <c r="D129" i="14"/>
  <c r="D123" i="14"/>
  <c r="D124" i="14" s="1"/>
  <c r="D192" i="14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/>
  <c r="D67" i="14"/>
  <c r="D66" i="14"/>
  <c r="D59" i="14"/>
  <c r="D60" i="14"/>
  <c r="D61" i="14" s="1"/>
  <c r="D139" i="14" s="1"/>
  <c r="D58" i="14"/>
  <c r="D53" i="14"/>
  <c r="D52" i="14"/>
  <c r="D47" i="14"/>
  <c r="D48" i="14" s="1"/>
  <c r="D90" i="14" s="1"/>
  <c r="D44" i="14"/>
  <c r="D36" i="14"/>
  <c r="D35" i="14"/>
  <c r="D37" i="14"/>
  <c r="D30" i="14"/>
  <c r="D31" i="14"/>
  <c r="D29" i="14"/>
  <c r="D24" i="14"/>
  <c r="D23" i="14"/>
  <c r="D20" i="14"/>
  <c r="D21" i="14" s="1"/>
  <c r="D126" i="14" s="1"/>
  <c r="D127" i="14" s="1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 s="1"/>
  <c r="D91" i="19"/>
  <c r="D93" i="19" s="1"/>
  <c r="C91" i="19"/>
  <c r="C93" i="19" s="1"/>
  <c r="E87" i="19"/>
  <c r="D87" i="19"/>
  <c r="C87" i="19"/>
  <c r="E86" i="19"/>
  <c r="E88" i="19"/>
  <c r="D86" i="19"/>
  <c r="D88" i="19"/>
  <c r="C86" i="19"/>
  <c r="C88" i="19"/>
  <c r="E83" i="19"/>
  <c r="D83" i="19"/>
  <c r="C83" i="19"/>
  <c r="E76" i="19"/>
  <c r="E102" i="19" s="1"/>
  <c r="D76" i="19"/>
  <c r="C76" i="19"/>
  <c r="C102" i="19" s="1"/>
  <c r="E75" i="19"/>
  <c r="E77" i="19" s="1"/>
  <c r="D75" i="19"/>
  <c r="D77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4" i="19" s="1"/>
  <c r="C12" i="19"/>
  <c r="C23" i="19" s="1"/>
  <c r="D21" i="18"/>
  <c r="C21" i="18"/>
  <c r="E21" i="18"/>
  <c r="F21" i="18" s="1"/>
  <c r="D19" i="18"/>
  <c r="C19" i="18"/>
  <c r="E19" i="18"/>
  <c r="F19" i="18" s="1"/>
  <c r="E17" i="18"/>
  <c r="F17" i="18" s="1"/>
  <c r="E15" i="18"/>
  <c r="F15" i="18" s="1"/>
  <c r="D45" i="17"/>
  <c r="E45" i="17" s="1"/>
  <c r="C45" i="17"/>
  <c r="D44" i="17"/>
  <c r="E44" i="17" s="1"/>
  <c r="F44" i="17" s="1"/>
  <c r="C44" i="17"/>
  <c r="D43" i="17"/>
  <c r="E43" i="17" s="1"/>
  <c r="D46" i="17"/>
  <c r="C43" i="17"/>
  <c r="C46" i="17"/>
  <c r="D36" i="17"/>
  <c r="D40" i="17"/>
  <c r="C36" i="17"/>
  <c r="C40" i="17"/>
  <c r="F35" i="17"/>
  <c r="E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E24" i="17"/>
  <c r="F24" i="17" s="1"/>
  <c r="F23" i="17"/>
  <c r="E23" i="17"/>
  <c r="E22" i="17"/>
  <c r="F22" i="17" s="1"/>
  <c r="D19" i="17"/>
  <c r="D20" i="17" s="1"/>
  <c r="C19" i="17"/>
  <c r="E18" i="17"/>
  <c r="F18" i="17" s="1"/>
  <c r="D16" i="17"/>
  <c r="C16" i="17"/>
  <c r="E16" i="17" s="1"/>
  <c r="E15" i="17"/>
  <c r="F15" i="17" s="1"/>
  <c r="F13" i="17"/>
  <c r="E13" i="17"/>
  <c r="E12" i="17"/>
  <c r="F12" i="17" s="1"/>
  <c r="C115" i="16"/>
  <c r="C105" i="16"/>
  <c r="C137" i="16"/>
  <c r="C139" i="16"/>
  <c r="C143" i="16" s="1"/>
  <c r="C96" i="16"/>
  <c r="C95" i="16"/>
  <c r="C89" i="16"/>
  <c r="C88" i="16"/>
  <c r="C83" i="16"/>
  <c r="C77" i="16"/>
  <c r="C78" i="16" s="1"/>
  <c r="C63" i="16"/>
  <c r="C59" i="16"/>
  <c r="C60" i="16"/>
  <c r="C48" i="16"/>
  <c r="C64" i="16"/>
  <c r="C36" i="16"/>
  <c r="C32" i="16"/>
  <c r="C33" i="16" s="1"/>
  <c r="C21" i="16"/>
  <c r="C37" i="16" s="1"/>
  <c r="E328" i="15"/>
  <c r="E325" i="15"/>
  <c r="D324" i="15"/>
  <c r="E324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E293" i="15"/>
  <c r="C293" i="15"/>
  <c r="D292" i="15"/>
  <c r="E292" i="15" s="1"/>
  <c r="C292" i="15"/>
  <c r="D291" i="15"/>
  <c r="E291" i="15"/>
  <c r="C291" i="15"/>
  <c r="D290" i="15"/>
  <c r="E290" i="15" s="1"/>
  <c r="C290" i="15"/>
  <c r="D288" i="15"/>
  <c r="C288" i="15"/>
  <c r="E288" i="15" s="1"/>
  <c r="D287" i="15"/>
  <c r="E287" i="15" s="1"/>
  <c r="C287" i="15"/>
  <c r="D282" i="15"/>
  <c r="C282" i="15"/>
  <c r="E282" i="15" s="1"/>
  <c r="D281" i="15"/>
  <c r="E281" i="15" s="1"/>
  <c r="C281" i="15"/>
  <c r="D280" i="15"/>
  <c r="E280" i="15"/>
  <c r="C280" i="15"/>
  <c r="D279" i="15"/>
  <c r="E279" i="15" s="1"/>
  <c r="C279" i="15"/>
  <c r="D278" i="15"/>
  <c r="C278" i="15"/>
  <c r="E278" i="15" s="1"/>
  <c r="D277" i="15"/>
  <c r="E277" i="15" s="1"/>
  <c r="C277" i="15"/>
  <c r="D276" i="15"/>
  <c r="E276" i="15"/>
  <c r="C276" i="15"/>
  <c r="E270" i="15"/>
  <c r="D265" i="15"/>
  <c r="E265" i="15"/>
  <c r="C265" i="15"/>
  <c r="C302" i="15"/>
  <c r="C303" i="15" s="1"/>
  <c r="C306" i="15" s="1"/>
  <c r="C310" i="15" s="1"/>
  <c r="D262" i="15"/>
  <c r="E262" i="15" s="1"/>
  <c r="C262" i="15"/>
  <c r="D251" i="15"/>
  <c r="C251" i="15"/>
  <c r="D233" i="15"/>
  <c r="C233" i="15"/>
  <c r="D232" i="15"/>
  <c r="E232" i="15"/>
  <c r="C232" i="15"/>
  <c r="D231" i="15"/>
  <c r="C231" i="15"/>
  <c r="E231" i="15"/>
  <c r="D230" i="15"/>
  <c r="E230" i="15"/>
  <c r="C230" i="15"/>
  <c r="D228" i="15"/>
  <c r="E228" i="15" s="1"/>
  <c r="C228" i="15"/>
  <c r="D227" i="15"/>
  <c r="E227" i="15"/>
  <c r="C227" i="15"/>
  <c r="D221" i="15"/>
  <c r="D245" i="15" s="1"/>
  <c r="C221" i="15"/>
  <c r="C245" i="15" s="1"/>
  <c r="D220" i="15"/>
  <c r="D244" i="15" s="1"/>
  <c r="C220" i="15"/>
  <c r="C244" i="15" s="1"/>
  <c r="D219" i="15"/>
  <c r="E219" i="15" s="1"/>
  <c r="C219" i="15"/>
  <c r="C243" i="15" s="1"/>
  <c r="D218" i="15"/>
  <c r="D242" i="15" s="1"/>
  <c r="C218" i="15"/>
  <c r="D216" i="15"/>
  <c r="D240" i="15"/>
  <c r="C216" i="15"/>
  <c r="C240" i="15" s="1"/>
  <c r="D215" i="15"/>
  <c r="C215" i="15"/>
  <c r="C239" i="15"/>
  <c r="E209" i="15"/>
  <c r="E208" i="15"/>
  <c r="E207" i="15"/>
  <c r="E206" i="15"/>
  <c r="D205" i="15"/>
  <c r="D210" i="15" s="1"/>
  <c r="D211" i="15" s="1"/>
  <c r="D229" i="15"/>
  <c r="C205" i="15"/>
  <c r="C210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E179" i="15" s="1"/>
  <c r="C179" i="15"/>
  <c r="D178" i="15"/>
  <c r="C178" i="15"/>
  <c r="E178" i="15" s="1"/>
  <c r="D177" i="15"/>
  <c r="E177" i="15" s="1"/>
  <c r="C177" i="15"/>
  <c r="D176" i="15"/>
  <c r="C176" i="15"/>
  <c r="D174" i="15"/>
  <c r="E174" i="15"/>
  <c r="C174" i="15"/>
  <c r="D173" i="15"/>
  <c r="C173" i="15"/>
  <c r="D167" i="15"/>
  <c r="C167" i="15"/>
  <c r="D166" i="15"/>
  <c r="E166" i="15" s="1"/>
  <c r="C166" i="15"/>
  <c r="D165" i="15"/>
  <c r="E165" i="15"/>
  <c r="C165" i="15"/>
  <c r="D164" i="15"/>
  <c r="E164" i="15" s="1"/>
  <c r="C164" i="15"/>
  <c r="D162" i="15"/>
  <c r="E162" i="15"/>
  <c r="C162" i="15"/>
  <c r="D161" i="15"/>
  <c r="E161" i="15" s="1"/>
  <c r="C161" i="15"/>
  <c r="E155" i="15"/>
  <c r="E154" i="15"/>
  <c r="E153" i="15"/>
  <c r="E152" i="15"/>
  <c r="D151" i="15"/>
  <c r="D156" i="15"/>
  <c r="C151" i="15"/>
  <c r="C156" i="15"/>
  <c r="C157" i="15" s="1"/>
  <c r="E150" i="15"/>
  <c r="E149" i="15"/>
  <c r="E143" i="15"/>
  <c r="E142" i="15"/>
  <c r="E141" i="15"/>
  <c r="E140" i="15"/>
  <c r="D139" i="15"/>
  <c r="D163" i="15" s="1"/>
  <c r="C139" i="15"/>
  <c r="C144" i="15" s="1"/>
  <c r="E138" i="15"/>
  <c r="E137" i="15"/>
  <c r="D75" i="15"/>
  <c r="E75" i="15" s="1"/>
  <c r="C75" i="15"/>
  <c r="D74" i="15"/>
  <c r="C74" i="15"/>
  <c r="D73" i="15"/>
  <c r="E73" i="15"/>
  <c r="C73" i="15"/>
  <c r="D72" i="15"/>
  <c r="E72" i="15" s="1"/>
  <c r="C72" i="15"/>
  <c r="D70" i="15"/>
  <c r="C70" i="15"/>
  <c r="D69" i="15"/>
  <c r="C69" i="15"/>
  <c r="E64" i="15"/>
  <c r="E63" i="15"/>
  <c r="E62" i="15"/>
  <c r="E61" i="15"/>
  <c r="D60" i="15"/>
  <c r="D65" i="15"/>
  <c r="C60" i="15"/>
  <c r="E59" i="15"/>
  <c r="E58" i="15"/>
  <c r="D54" i="15"/>
  <c r="D55" i="15" s="1"/>
  <c r="E55" i="15" s="1"/>
  <c r="C54" i="15"/>
  <c r="C55" i="15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D40" i="15"/>
  <c r="E40" i="15"/>
  <c r="C40" i="15"/>
  <c r="D39" i="15"/>
  <c r="C39" i="15"/>
  <c r="E39" i="15"/>
  <c r="D38" i="15"/>
  <c r="C38" i="15"/>
  <c r="D37" i="15"/>
  <c r="D43" i="15"/>
  <c r="C37" i="15"/>
  <c r="E37" i="15" s="1"/>
  <c r="D36" i="15"/>
  <c r="D44" i="15" s="1"/>
  <c r="D83" i="15" s="1"/>
  <c r="C36" i="15"/>
  <c r="E36" i="15" s="1"/>
  <c r="D32" i="15"/>
  <c r="C32" i="15"/>
  <c r="E31" i="15"/>
  <c r="E30" i="15"/>
  <c r="E29" i="15"/>
  <c r="E28" i="15"/>
  <c r="E27" i="15"/>
  <c r="E26" i="15"/>
  <c r="E25" i="15"/>
  <c r="D21" i="15"/>
  <c r="C21" i="15"/>
  <c r="C22" i="15" s="1"/>
  <c r="C284" i="15" s="1"/>
  <c r="C283" i="15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F330" i="14"/>
  <c r="E330" i="14"/>
  <c r="E329" i="14"/>
  <c r="F329" i="14" s="1"/>
  <c r="F316" i="14"/>
  <c r="E316" i="14"/>
  <c r="C311" i="14"/>
  <c r="E308" i="14"/>
  <c r="F308" i="14"/>
  <c r="C307" i="14"/>
  <c r="E307" i="14"/>
  <c r="F307" i="14" s="1"/>
  <c r="C299" i="14"/>
  <c r="E299" i="14" s="1"/>
  <c r="C298" i="14"/>
  <c r="C297" i="14"/>
  <c r="E297" i="14"/>
  <c r="F297" i="14" s="1"/>
  <c r="C296" i="14"/>
  <c r="E296" i="14" s="1"/>
  <c r="F296" i="14" s="1"/>
  <c r="C295" i="14"/>
  <c r="E295" i="14"/>
  <c r="C294" i="14"/>
  <c r="E250" i="14"/>
  <c r="C250" i="14"/>
  <c r="C306" i="14"/>
  <c r="E249" i="14"/>
  <c r="F249" i="14"/>
  <c r="E248" i="14"/>
  <c r="F248" i="14" s="1"/>
  <c r="E245" i="14"/>
  <c r="F245" i="14"/>
  <c r="E244" i="14"/>
  <c r="F244" i="14"/>
  <c r="E243" i="14"/>
  <c r="F243" i="14"/>
  <c r="C238" i="14"/>
  <c r="E238" i="14" s="1"/>
  <c r="C237" i="14"/>
  <c r="E234" i="14"/>
  <c r="F234" i="14" s="1"/>
  <c r="E233" i="14"/>
  <c r="F233" i="14" s="1"/>
  <c r="C230" i="14"/>
  <c r="E230" i="14" s="1"/>
  <c r="F230" i="14" s="1"/>
  <c r="C229" i="14"/>
  <c r="E229" i="14"/>
  <c r="E228" i="14"/>
  <c r="F228" i="14"/>
  <c r="C226" i="14"/>
  <c r="C227" i="14"/>
  <c r="E225" i="14"/>
  <c r="F225" i="14"/>
  <c r="E224" i="14"/>
  <c r="F224" i="14"/>
  <c r="C223" i="14"/>
  <c r="E222" i="14"/>
  <c r="F222" i="14" s="1"/>
  <c r="E221" i="14"/>
  <c r="F221" i="14" s="1"/>
  <c r="C204" i="14"/>
  <c r="C203" i="14"/>
  <c r="C267" i="14"/>
  <c r="C283" i="14"/>
  <c r="C198" i="14"/>
  <c r="E198" i="14" s="1"/>
  <c r="C290" i="14"/>
  <c r="E290" i="14" s="1"/>
  <c r="C191" i="14"/>
  <c r="C200" i="14" s="1"/>
  <c r="C189" i="14"/>
  <c r="C278" i="14"/>
  <c r="C188" i="14"/>
  <c r="E188" i="14"/>
  <c r="C180" i="14"/>
  <c r="E179" i="14"/>
  <c r="C179" i="14"/>
  <c r="C171" i="14"/>
  <c r="C170" i="14"/>
  <c r="E170" i="14"/>
  <c r="E169" i="14"/>
  <c r="F169" i="14"/>
  <c r="E168" i="14"/>
  <c r="F168" i="14"/>
  <c r="C165" i="14"/>
  <c r="C164" i="14"/>
  <c r="E164" i="14" s="1"/>
  <c r="F164" i="14" s="1"/>
  <c r="E163" i="14"/>
  <c r="F163" i="14"/>
  <c r="C158" i="14"/>
  <c r="E158" i="14"/>
  <c r="E157" i="14"/>
  <c r="F157" i="14"/>
  <c r="E156" i="14"/>
  <c r="F156" i="14"/>
  <c r="C155" i="14"/>
  <c r="E155" i="14"/>
  <c r="F155" i="14" s="1"/>
  <c r="E154" i="14"/>
  <c r="F154" i="14" s="1"/>
  <c r="E153" i="14"/>
  <c r="F153" i="14" s="1"/>
  <c r="C145" i="14"/>
  <c r="E145" i="14" s="1"/>
  <c r="C144" i="14"/>
  <c r="E144" i="14" s="1"/>
  <c r="F144" i="14" s="1"/>
  <c r="C136" i="14"/>
  <c r="C137" i="14"/>
  <c r="C135" i="14"/>
  <c r="E135" i="14"/>
  <c r="E134" i="14"/>
  <c r="F134" i="14"/>
  <c r="E133" i="14"/>
  <c r="F133" i="14"/>
  <c r="C130" i="14"/>
  <c r="E130" i="14"/>
  <c r="C129" i="14"/>
  <c r="E129" i="14" s="1"/>
  <c r="E128" i="14"/>
  <c r="F128" i="14" s="1"/>
  <c r="E123" i="14"/>
  <c r="C123" i="14"/>
  <c r="C192" i="14"/>
  <c r="E122" i="14"/>
  <c r="F122" i="14"/>
  <c r="E121" i="14"/>
  <c r="F121" i="14"/>
  <c r="C120" i="14"/>
  <c r="E119" i="14"/>
  <c r="F119" i="14" s="1"/>
  <c r="E118" i="14"/>
  <c r="F118" i="14" s="1"/>
  <c r="C110" i="14"/>
  <c r="E110" i="14" s="1"/>
  <c r="C109" i="14"/>
  <c r="C101" i="14"/>
  <c r="C102" i="14"/>
  <c r="C103" i="14" s="1"/>
  <c r="C100" i="14"/>
  <c r="E100" i="14" s="1"/>
  <c r="E99" i="14"/>
  <c r="F99" i="14" s="1"/>
  <c r="E98" i="14"/>
  <c r="F98" i="14" s="1"/>
  <c r="C95" i="14"/>
  <c r="C94" i="14"/>
  <c r="E94" i="14"/>
  <c r="E93" i="14"/>
  <c r="F93" i="14"/>
  <c r="C88" i="14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E74" i="14"/>
  <c r="F74" i="14" s="1"/>
  <c r="E73" i="14"/>
  <c r="F73" i="14"/>
  <c r="C67" i="14"/>
  <c r="E67" i="14" s="1"/>
  <c r="C66" i="14"/>
  <c r="C59" i="14"/>
  <c r="C58" i="14"/>
  <c r="E58" i="14"/>
  <c r="E57" i="14"/>
  <c r="F57" i="14"/>
  <c r="E56" i="14"/>
  <c r="F56" i="14"/>
  <c r="C53" i="14"/>
  <c r="E53" i="14"/>
  <c r="C52" i="14"/>
  <c r="E51" i="14"/>
  <c r="F51" i="14" s="1"/>
  <c r="C48" i="14"/>
  <c r="C47" i="14"/>
  <c r="E47" i="14"/>
  <c r="F47" i="14" s="1"/>
  <c r="E46" i="14"/>
  <c r="F46" i="14" s="1"/>
  <c r="E45" i="14"/>
  <c r="F45" i="14" s="1"/>
  <c r="C44" i="14"/>
  <c r="E44" i="14" s="1"/>
  <c r="E43" i="14"/>
  <c r="F43" i="14" s="1"/>
  <c r="E42" i="14"/>
  <c r="F42" i="14" s="1"/>
  <c r="C36" i="14"/>
  <c r="E36" i="14" s="1"/>
  <c r="C35" i="14"/>
  <c r="C37" i="14" s="1"/>
  <c r="C30" i="14"/>
  <c r="C31" i="14" s="1"/>
  <c r="C29" i="14"/>
  <c r="E28" i="14"/>
  <c r="F28" i="14"/>
  <c r="E27" i="14"/>
  <c r="F27" i="14"/>
  <c r="C24" i="14"/>
  <c r="E24" i="14"/>
  <c r="F24" i="14" s="1"/>
  <c r="C23" i="14"/>
  <c r="E22" i="14"/>
  <c r="F22" i="14"/>
  <c r="C20" i="14"/>
  <c r="F19" i="14"/>
  <c r="E19" i="14"/>
  <c r="E18" i="14"/>
  <c r="F18" i="14" s="1"/>
  <c r="C17" i="14"/>
  <c r="E17" i="14" s="1"/>
  <c r="F16" i="14"/>
  <c r="E16" i="14"/>
  <c r="E15" i="14"/>
  <c r="F15" i="14" s="1"/>
  <c r="D23" i="13"/>
  <c r="C23" i="13"/>
  <c r="E23" i="13"/>
  <c r="F23" i="13" s="1"/>
  <c r="F22" i="13"/>
  <c r="E22" i="13"/>
  <c r="E21" i="13"/>
  <c r="F21" i="13" s="1"/>
  <c r="D18" i="13"/>
  <c r="C18" i="13"/>
  <c r="F17" i="13"/>
  <c r="E17" i="13"/>
  <c r="D14" i="13"/>
  <c r="E14" i="13" s="1"/>
  <c r="C14" i="13"/>
  <c r="F14" i="13" s="1"/>
  <c r="E13" i="13"/>
  <c r="F13" i="13" s="1"/>
  <c r="F12" i="13"/>
  <c r="E12" i="13"/>
  <c r="D99" i="12"/>
  <c r="E99" i="12" s="1"/>
  <c r="C99" i="12"/>
  <c r="E98" i="12"/>
  <c r="F98" i="12"/>
  <c r="E97" i="12"/>
  <c r="F97" i="12"/>
  <c r="E96" i="12"/>
  <c r="F96" i="12"/>
  <c r="D92" i="12"/>
  <c r="C92" i="12"/>
  <c r="E92" i="12" s="1"/>
  <c r="E91" i="12"/>
  <c r="F91" i="12" s="1"/>
  <c r="F90" i="12"/>
  <c r="E90" i="12"/>
  <c r="F89" i="12"/>
  <c r="E89" i="12"/>
  <c r="F88" i="12"/>
  <c r="E88" i="12"/>
  <c r="F87" i="12"/>
  <c r="E87" i="12"/>
  <c r="D84" i="12"/>
  <c r="C84" i="12"/>
  <c r="F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E74" i="12"/>
  <c r="E73" i="12"/>
  <c r="E75" i="12" s="1"/>
  <c r="D70" i="12"/>
  <c r="C70" i="12"/>
  <c r="E70" i="12"/>
  <c r="F70" i="12" s="1"/>
  <c r="E69" i="12"/>
  <c r="F69" i="12" s="1"/>
  <c r="E68" i="12"/>
  <c r="F68" i="12" s="1"/>
  <c r="D65" i="12"/>
  <c r="C65" i="12"/>
  <c r="E65" i="12"/>
  <c r="E64" i="12"/>
  <c r="F64" i="12"/>
  <c r="E63" i="12"/>
  <c r="F63" i="12"/>
  <c r="D60" i="12"/>
  <c r="C60" i="12"/>
  <c r="F60" i="12" s="1"/>
  <c r="F59" i="12"/>
  <c r="E59" i="12"/>
  <c r="F58" i="12"/>
  <c r="E58" i="12"/>
  <c r="E60" i="12"/>
  <c r="D55" i="12"/>
  <c r="E55" i="12" s="1"/>
  <c r="C55" i="12"/>
  <c r="F55" i="12" s="1"/>
  <c r="F54" i="12"/>
  <c r="E54" i="12"/>
  <c r="F53" i="12"/>
  <c r="E53" i="12"/>
  <c r="D50" i="12"/>
  <c r="E50" i="12" s="1"/>
  <c r="C50" i="12"/>
  <c r="F50" i="12" s="1"/>
  <c r="F49" i="12"/>
  <c r="E49" i="12"/>
  <c r="F48" i="12"/>
  <c r="E48" i="12"/>
  <c r="D45" i="12"/>
  <c r="E45" i="12" s="1"/>
  <c r="C45" i="12"/>
  <c r="F45" i="12" s="1"/>
  <c r="F44" i="12"/>
  <c r="E44" i="12"/>
  <c r="F43" i="12"/>
  <c r="E43" i="12"/>
  <c r="D37" i="12"/>
  <c r="E37" i="12" s="1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E30" i="12" s="1"/>
  <c r="F29" i="12"/>
  <c r="E29" i="12"/>
  <c r="F28" i="12"/>
  <c r="E28" i="12"/>
  <c r="E27" i="12"/>
  <c r="F27" i="12" s="1"/>
  <c r="F26" i="12"/>
  <c r="E26" i="12"/>
  <c r="D23" i="12"/>
  <c r="C23" i="12"/>
  <c r="E23" i="12" s="1"/>
  <c r="F22" i="12"/>
  <c r="E22" i="12"/>
  <c r="E21" i="12"/>
  <c r="F21" i="12"/>
  <c r="E20" i="12"/>
  <c r="F20" i="12"/>
  <c r="E19" i="12"/>
  <c r="F19" i="12"/>
  <c r="D16" i="12"/>
  <c r="C16" i="12"/>
  <c r="E16" i="12" s="1"/>
  <c r="F16" i="12" s="1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G17" i="11"/>
  <c r="D17" i="11"/>
  <c r="D33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 s="1"/>
  <c r="E77" i="10"/>
  <c r="D78" i="10"/>
  <c r="D80" i="10"/>
  <c r="D77" i="10" s="1"/>
  <c r="C78" i="10"/>
  <c r="E73" i="10"/>
  <c r="E75" i="10"/>
  <c r="D73" i="10"/>
  <c r="D75" i="10"/>
  <c r="C73" i="10"/>
  <c r="C75" i="10"/>
  <c r="E71" i="10"/>
  <c r="D71" i="10"/>
  <c r="C71" i="10"/>
  <c r="E66" i="10"/>
  <c r="E65" i="10" s="1"/>
  <c r="D66" i="10"/>
  <c r="D65" i="10" s="1"/>
  <c r="C66" i="10"/>
  <c r="C65" i="10" s="1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C54" i="10"/>
  <c r="C50" i="10" s="1"/>
  <c r="E46" i="10"/>
  <c r="E48" i="10" s="1"/>
  <c r="E42" i="10" s="1"/>
  <c r="D46" i="10"/>
  <c r="D48" i="10"/>
  <c r="C46" i="10"/>
  <c r="C48" i="10"/>
  <c r="C42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15" i="10" s="1"/>
  <c r="E17" i="10" s="1"/>
  <c r="E28" i="10" s="1"/>
  <c r="E70" i="10" s="1"/>
  <c r="E72" i="10" s="1"/>
  <c r="D13" i="10"/>
  <c r="D25" i="10" s="1"/>
  <c r="D27" i="10" s="1"/>
  <c r="D21" i="10" s="1"/>
  <c r="C13" i="10"/>
  <c r="C15" i="10" s="1"/>
  <c r="C17" i="10" s="1"/>
  <c r="C28" i="10" s="1"/>
  <c r="C70" i="10" s="1"/>
  <c r="C72" i="10" s="1"/>
  <c r="D46" i="9"/>
  <c r="C46" i="9"/>
  <c r="E46" i="9" s="1"/>
  <c r="F45" i="9"/>
  <c r="E45" i="9"/>
  <c r="E44" i="9"/>
  <c r="F44" i="9" s="1"/>
  <c r="D39" i="9"/>
  <c r="C39" i="9"/>
  <c r="E39" i="9"/>
  <c r="F38" i="9"/>
  <c r="E38" i="9"/>
  <c r="E37" i="9"/>
  <c r="F37" i="9"/>
  <c r="E36" i="9"/>
  <c r="F36" i="9"/>
  <c r="D31" i="9"/>
  <c r="E31" i="9"/>
  <c r="C31" i="9"/>
  <c r="E30" i="9"/>
  <c r="F30" i="9" s="1"/>
  <c r="E29" i="9"/>
  <c r="F29" i="9" s="1"/>
  <c r="E28" i="9"/>
  <c r="F28" i="9" s="1"/>
  <c r="F27" i="9"/>
  <c r="E27" i="9"/>
  <c r="E26" i="9"/>
  <c r="F26" i="9" s="1"/>
  <c r="E25" i="9"/>
  <c r="F25" i="9" s="1"/>
  <c r="E24" i="9"/>
  <c r="F24" i="9" s="1"/>
  <c r="F23" i="9"/>
  <c r="E23" i="9"/>
  <c r="E22" i="9"/>
  <c r="F22" i="9" s="1"/>
  <c r="F18" i="9"/>
  <c r="E18" i="9"/>
  <c r="E17" i="9"/>
  <c r="F17" i="9" s="1"/>
  <c r="D16" i="9"/>
  <c r="D19" i="9" s="1"/>
  <c r="D33" i="9" s="1"/>
  <c r="C16" i="9"/>
  <c r="E16" i="9"/>
  <c r="F15" i="9"/>
  <c r="E15" i="9"/>
  <c r="E14" i="9"/>
  <c r="F14" i="9"/>
  <c r="E13" i="9"/>
  <c r="F13" i="9" s="1"/>
  <c r="E12" i="9"/>
  <c r="F12" i="9"/>
  <c r="D73" i="8"/>
  <c r="C73" i="8"/>
  <c r="E73" i="8" s="1"/>
  <c r="F73" i="8" s="1"/>
  <c r="E72" i="8"/>
  <c r="F72" i="8" s="1"/>
  <c r="E71" i="8"/>
  <c r="F71" i="8"/>
  <c r="E70" i="8"/>
  <c r="F70" i="8"/>
  <c r="F67" i="8"/>
  <c r="E67" i="8"/>
  <c r="E64" i="8"/>
  <c r="F64" i="8" s="1"/>
  <c r="E63" i="8"/>
  <c r="F63" i="8"/>
  <c r="D61" i="8"/>
  <c r="D65" i="8"/>
  <c r="C61" i="8"/>
  <c r="E60" i="8"/>
  <c r="F60" i="8" s="1"/>
  <c r="F59" i="8"/>
  <c r="E59" i="8"/>
  <c r="D56" i="8"/>
  <c r="D75" i="8" s="1"/>
  <c r="C56" i="8"/>
  <c r="E55" i="8"/>
  <c r="F55" i="8"/>
  <c r="E54" i="8"/>
  <c r="F54" i="8"/>
  <c r="F53" i="8"/>
  <c r="E53" i="8"/>
  <c r="F52" i="8"/>
  <c r="E52" i="8"/>
  <c r="E51" i="8"/>
  <c r="F51" i="8" s="1"/>
  <c r="E50" i="8"/>
  <c r="F50" i="8" s="1"/>
  <c r="A50" i="8"/>
  <c r="A51" i="8"/>
  <c r="A52" i="8" s="1"/>
  <c r="A53" i="8" s="1"/>
  <c r="A54" i="8" s="1"/>
  <c r="A55" i="8" s="1"/>
  <c r="E49" i="8"/>
  <c r="F49" i="8"/>
  <c r="E40" i="8"/>
  <c r="F40" i="8" s="1"/>
  <c r="D38" i="8"/>
  <c r="D41" i="8"/>
  <c r="C38" i="8"/>
  <c r="C41" i="8" s="1"/>
  <c r="E37" i="8"/>
  <c r="F37" i="8" s="1"/>
  <c r="F36" i="8"/>
  <c r="E36" i="8"/>
  <c r="E33" i="8"/>
  <c r="F33" i="8" s="1"/>
  <c r="E32" i="8"/>
  <c r="F32" i="8" s="1"/>
  <c r="F31" i="8"/>
  <c r="E31" i="8"/>
  <c r="D29" i="8"/>
  <c r="C29" i="8"/>
  <c r="E29" i="8"/>
  <c r="E28" i="8"/>
  <c r="F28" i="8"/>
  <c r="F27" i="8"/>
  <c r="E27" i="8"/>
  <c r="F26" i="8"/>
  <c r="E26" i="8"/>
  <c r="E25" i="8"/>
  <c r="F25" i="8"/>
  <c r="D22" i="8"/>
  <c r="D43" i="8" s="1"/>
  <c r="C22" i="8"/>
  <c r="E21" i="8"/>
  <c r="F21" i="8" s="1"/>
  <c r="E20" i="8"/>
  <c r="F20" i="8"/>
  <c r="E19" i="8"/>
  <c r="F19" i="8"/>
  <c r="F18" i="8"/>
  <c r="E18" i="8"/>
  <c r="F17" i="8"/>
  <c r="E17" i="8"/>
  <c r="F16" i="8"/>
  <c r="E16" i="8"/>
  <c r="E15" i="8"/>
  <c r="F15" i="8"/>
  <c r="E14" i="8"/>
  <c r="F14" i="8"/>
  <c r="E13" i="8"/>
  <c r="F13" i="8" s="1"/>
  <c r="D120" i="7"/>
  <c r="C120" i="7"/>
  <c r="F120" i="7"/>
  <c r="D119" i="7"/>
  <c r="E119" i="7" s="1"/>
  <c r="C119" i="7"/>
  <c r="D118" i="7"/>
  <c r="C118" i="7"/>
  <c r="E118" i="7" s="1"/>
  <c r="D117" i="7"/>
  <c r="C117" i="7"/>
  <c r="E117" i="7"/>
  <c r="D116" i="7"/>
  <c r="C116" i="7"/>
  <c r="D115" i="7"/>
  <c r="E115" i="7" s="1"/>
  <c r="C115" i="7"/>
  <c r="D114" i="7"/>
  <c r="C114" i="7"/>
  <c r="E114" i="7" s="1"/>
  <c r="D113" i="7"/>
  <c r="D122" i="7" s="1"/>
  <c r="C113" i="7"/>
  <c r="C122" i="7" s="1"/>
  <c r="D112" i="7"/>
  <c r="D121" i="7" s="1"/>
  <c r="C112" i="7"/>
  <c r="D108" i="7"/>
  <c r="E108" i="7"/>
  <c r="C108" i="7"/>
  <c r="D107" i="7"/>
  <c r="E107" i="7" s="1"/>
  <c r="C107" i="7"/>
  <c r="F106" i="7"/>
  <c r="E106" i="7"/>
  <c r="E105" i="7"/>
  <c r="F105" i="7"/>
  <c r="E104" i="7"/>
  <c r="F104" i="7"/>
  <c r="E103" i="7"/>
  <c r="F103" i="7" s="1"/>
  <c r="E102" i="7"/>
  <c r="F102" i="7"/>
  <c r="E101" i="7"/>
  <c r="F101" i="7"/>
  <c r="E100" i="7"/>
  <c r="F100" i="7"/>
  <c r="E99" i="7"/>
  <c r="F99" i="7" s="1"/>
  <c r="E98" i="7"/>
  <c r="F98" i="7"/>
  <c r="D96" i="7"/>
  <c r="C96" i="7"/>
  <c r="E96" i="7" s="1"/>
  <c r="D95" i="7"/>
  <c r="C95" i="7"/>
  <c r="E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/>
  <c r="C84" i="7"/>
  <c r="F84" i="7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 s="1"/>
  <c r="C72" i="7"/>
  <c r="F72" i="7" s="1"/>
  <c r="D71" i="7"/>
  <c r="E71" i="7" s="1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C60" i="7"/>
  <c r="D59" i="7"/>
  <c r="C59" i="7"/>
  <c r="E59" i="7" s="1"/>
  <c r="F58" i="7"/>
  <c r="E58" i="7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E48" i="7" s="1"/>
  <c r="C48" i="7"/>
  <c r="F48" i="7" s="1"/>
  <c r="D47" i="7"/>
  <c r="E47" i="7" s="1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C36" i="7"/>
  <c r="D35" i="7"/>
  <c r="C35" i="7"/>
  <c r="F34" i="7"/>
  <c r="E34" i="7"/>
  <c r="E33" i="7"/>
  <c r="F33" i="7"/>
  <c r="E32" i="7"/>
  <c r="F32" i="7"/>
  <c r="E31" i="7"/>
  <c r="F31" i="7" s="1"/>
  <c r="E30" i="7"/>
  <c r="F30" i="7"/>
  <c r="E29" i="7"/>
  <c r="F29" i="7"/>
  <c r="E28" i="7"/>
  <c r="F28" i="7"/>
  <c r="E27" i="7"/>
  <c r="F27" i="7" s="1"/>
  <c r="E26" i="7"/>
  <c r="F26" i="7"/>
  <c r="D24" i="7"/>
  <c r="C24" i="7"/>
  <c r="E24" i="7" s="1"/>
  <c r="D23" i="7"/>
  <c r="E23" i="7" s="1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C206" i="6"/>
  <c r="F206" i="6" s="1"/>
  <c r="D205" i="6"/>
  <c r="C205" i="6"/>
  <c r="D204" i="6"/>
  <c r="E204" i="6" s="1"/>
  <c r="C204" i="6"/>
  <c r="D203" i="6"/>
  <c r="C203" i="6"/>
  <c r="E203" i="6" s="1"/>
  <c r="D202" i="6"/>
  <c r="E202" i="6" s="1"/>
  <c r="C202" i="6"/>
  <c r="D201" i="6"/>
  <c r="C201" i="6"/>
  <c r="D200" i="6"/>
  <c r="E200" i="6"/>
  <c r="C200" i="6"/>
  <c r="D199" i="6"/>
  <c r="D208" i="6" s="1"/>
  <c r="C199" i="6"/>
  <c r="D198" i="6"/>
  <c r="D207" i="6" s="1"/>
  <c r="E207" i="6" s="1"/>
  <c r="C198" i="6"/>
  <c r="C207" i="6"/>
  <c r="D193" i="6"/>
  <c r="C193" i="6"/>
  <c r="F193" i="6" s="1"/>
  <c r="D192" i="6"/>
  <c r="E192" i="6" s="1"/>
  <c r="C192" i="6"/>
  <c r="F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E180" i="6"/>
  <c r="D179" i="6"/>
  <c r="C179" i="6"/>
  <c r="E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 s="1"/>
  <c r="D140" i="6"/>
  <c r="E140" i="6" s="1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E128" i="6"/>
  <c r="D127" i="6"/>
  <c r="C127" i="6"/>
  <c r="E127" i="6" s="1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C115" i="6"/>
  <c r="F115" i="6"/>
  <c r="D114" i="6"/>
  <c r="E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F102" i="6" s="1"/>
  <c r="E102" i="6"/>
  <c r="D101" i="6"/>
  <c r="C101" i="6"/>
  <c r="F101" i="6" s="1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D88" i="6"/>
  <c r="E88" i="6"/>
  <c r="C88" i="6"/>
  <c r="F87" i="6"/>
  <c r="E87" i="6"/>
  <c r="F86" i="6"/>
  <c r="E86" i="6"/>
  <c r="E85" i="6"/>
  <c r="F85" i="6" s="1"/>
  <c r="E84" i="6"/>
  <c r="F84" i="6" s="1"/>
  <c r="E83" i="6"/>
  <c r="F83" i="6" s="1"/>
  <c r="F82" i="6"/>
  <c r="E82" i="6"/>
  <c r="E81" i="6"/>
  <c r="F81" i="6" s="1"/>
  <c r="E80" i="6"/>
  <c r="F80" i="6" s="1"/>
  <c r="E79" i="6"/>
  <c r="F79" i="6" s="1"/>
  <c r="D76" i="6"/>
  <c r="C76" i="6"/>
  <c r="E76" i="6"/>
  <c r="F76" i="6" s="1"/>
  <c r="D75" i="6"/>
  <c r="C75" i="6"/>
  <c r="E75" i="6"/>
  <c r="F75" i="6" s="1"/>
  <c r="F74" i="6"/>
  <c r="E74" i="6"/>
  <c r="E73" i="6"/>
  <c r="F73" i="6" s="1"/>
  <c r="E72" i="6"/>
  <c r="F72" i="6" s="1"/>
  <c r="E71" i="6"/>
  <c r="F71" i="6" s="1"/>
  <c r="F70" i="6"/>
  <c r="E70" i="6"/>
  <c r="E69" i="6"/>
  <c r="F69" i="6" s="1"/>
  <c r="E68" i="6"/>
  <c r="F68" i="6" s="1"/>
  <c r="E67" i="6"/>
  <c r="F67" i="6" s="1"/>
  <c r="F66" i="6"/>
  <c r="E66" i="6"/>
  <c r="D63" i="6"/>
  <c r="C63" i="6"/>
  <c r="E63" i="6"/>
  <c r="D62" i="6"/>
  <c r="E62" i="6"/>
  <c r="C62" i="6"/>
  <c r="F61" i="6"/>
  <c r="E61" i="6"/>
  <c r="F60" i="6"/>
  <c r="E60" i="6"/>
  <c r="E59" i="6"/>
  <c r="F59" i="6" s="1"/>
  <c r="E58" i="6"/>
  <c r="F58" i="6" s="1"/>
  <c r="E57" i="6"/>
  <c r="F57" i="6" s="1"/>
  <c r="F56" i="6"/>
  <c r="E56" i="6"/>
  <c r="E55" i="6"/>
  <c r="F55" i="6" s="1"/>
  <c r="E54" i="6"/>
  <c r="F54" i="6" s="1"/>
  <c r="E53" i="6"/>
  <c r="F53" i="6" s="1"/>
  <c r="D50" i="6"/>
  <c r="E50" i="6" s="1"/>
  <c r="F50" i="6" s="1"/>
  <c r="C50" i="6"/>
  <c r="D49" i="6"/>
  <c r="E49" i="6" s="1"/>
  <c r="F49" i="6" s="1"/>
  <c r="C49" i="6"/>
  <c r="F48" i="6"/>
  <c r="E48" i="6"/>
  <c r="E47" i="6"/>
  <c r="F47" i="6" s="1"/>
  <c r="E46" i="6"/>
  <c r="F46" i="6" s="1"/>
  <c r="E45" i="6"/>
  <c r="F45" i="6" s="1"/>
  <c r="F44" i="6"/>
  <c r="E44" i="6"/>
  <c r="E43" i="6"/>
  <c r="F43" i="6" s="1"/>
  <c r="E42" i="6"/>
  <c r="F42" i="6" s="1"/>
  <c r="E41" i="6"/>
  <c r="F41" i="6" s="1"/>
  <c r="F40" i="6"/>
  <c r="E40" i="6"/>
  <c r="D37" i="6"/>
  <c r="C37" i="6"/>
  <c r="F37" i="6"/>
  <c r="D36" i="6"/>
  <c r="C36" i="6"/>
  <c r="E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E24" i="6"/>
  <c r="D23" i="6"/>
  <c r="C23" i="6"/>
  <c r="E23" i="6" s="1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 s="1"/>
  <c r="E166" i="5" s="1"/>
  <c r="D164" i="5"/>
  <c r="C164" i="5"/>
  <c r="C160" i="5" s="1"/>
  <c r="C166" i="5" s="1"/>
  <c r="E162" i="5"/>
  <c r="D162" i="5"/>
  <c r="C162" i="5"/>
  <c r="E161" i="5"/>
  <c r="D161" i="5"/>
  <c r="C161" i="5"/>
  <c r="D160" i="5"/>
  <c r="D166" i="5"/>
  <c r="E147" i="5"/>
  <c r="E143" i="5"/>
  <c r="E149" i="5" s="1"/>
  <c r="D147" i="5"/>
  <c r="C147" i="5"/>
  <c r="C143" i="5"/>
  <c r="C149" i="5" s="1"/>
  <c r="E145" i="5"/>
  <c r="D145" i="5"/>
  <c r="C145" i="5"/>
  <c r="E144" i="5"/>
  <c r="D144" i="5"/>
  <c r="C144" i="5"/>
  <c r="D143" i="5"/>
  <c r="D149" i="5" s="1"/>
  <c r="E126" i="5"/>
  <c r="D126" i="5"/>
  <c r="C126" i="5"/>
  <c r="E119" i="5"/>
  <c r="D119" i="5"/>
  <c r="C119" i="5"/>
  <c r="E108" i="5"/>
  <c r="D108" i="5"/>
  <c r="C108" i="5"/>
  <c r="E107" i="5"/>
  <c r="E109" i="5"/>
  <c r="E106" i="5" s="1"/>
  <c r="D107" i="5"/>
  <c r="D109" i="5" s="1"/>
  <c r="D106" i="5" s="1"/>
  <c r="C107" i="5"/>
  <c r="C109" i="5"/>
  <c r="C106" i="5" s="1"/>
  <c r="D104" i="5"/>
  <c r="E102" i="5"/>
  <c r="E104" i="5"/>
  <c r="D102" i="5"/>
  <c r="C102" i="5"/>
  <c r="C104" i="5" s="1"/>
  <c r="E100" i="5"/>
  <c r="D100" i="5"/>
  <c r="C100" i="5"/>
  <c r="E95" i="5"/>
  <c r="D95" i="5"/>
  <c r="D94" i="5" s="1"/>
  <c r="C95" i="5"/>
  <c r="E94" i="5"/>
  <c r="C94" i="5"/>
  <c r="E89" i="5"/>
  <c r="D89" i="5"/>
  <c r="C89" i="5"/>
  <c r="D88" i="5"/>
  <c r="D90" i="5" s="1"/>
  <c r="D86" i="5" s="1"/>
  <c r="E87" i="5"/>
  <c r="D87" i="5"/>
  <c r="C87" i="5"/>
  <c r="E84" i="5"/>
  <c r="E79" i="5" s="1"/>
  <c r="D84" i="5"/>
  <c r="C84" i="5"/>
  <c r="E83" i="5"/>
  <c r="D83" i="5"/>
  <c r="D79" i="5"/>
  <c r="C83" i="5"/>
  <c r="C79" i="5"/>
  <c r="E75" i="5"/>
  <c r="E88" i="5"/>
  <c r="E90" i="5" s="1"/>
  <c r="E86" i="5" s="1"/>
  <c r="D75" i="5"/>
  <c r="D77" i="5"/>
  <c r="D71" i="5" s="1"/>
  <c r="C75" i="5"/>
  <c r="C77" i="5" s="1"/>
  <c r="C71" i="5" s="1"/>
  <c r="E74" i="5"/>
  <c r="D74" i="5"/>
  <c r="C74" i="5"/>
  <c r="E67" i="5"/>
  <c r="D67" i="5"/>
  <c r="C67" i="5"/>
  <c r="E38" i="5"/>
  <c r="E53" i="5"/>
  <c r="E57" i="5"/>
  <c r="E62" i="5"/>
  <c r="D38" i="5"/>
  <c r="D57" i="5"/>
  <c r="D62" i="5" s="1"/>
  <c r="C38" i="5"/>
  <c r="C43" i="5" s="1"/>
  <c r="E33" i="5"/>
  <c r="E34" i="5" s="1"/>
  <c r="D33" i="5"/>
  <c r="D34" i="5" s="1"/>
  <c r="E26" i="5"/>
  <c r="D26" i="5"/>
  <c r="C26" i="5"/>
  <c r="E13" i="5"/>
  <c r="E25" i="5"/>
  <c r="E27" i="5" s="1"/>
  <c r="D13" i="5"/>
  <c r="D25" i="5" s="1"/>
  <c r="D27" i="5" s="1"/>
  <c r="C13" i="5"/>
  <c r="C15" i="5"/>
  <c r="F174" i="4"/>
  <c r="E174" i="4"/>
  <c r="D171" i="4"/>
  <c r="C171" i="4"/>
  <c r="F170" i="4"/>
  <c r="E170" i="4"/>
  <c r="F169" i="4"/>
  <c r="E169" i="4"/>
  <c r="F168" i="4"/>
  <c r="E168" i="4"/>
  <c r="E167" i="4"/>
  <c r="F167" i="4"/>
  <c r="F166" i="4"/>
  <c r="E166" i="4"/>
  <c r="F165" i="4"/>
  <c r="E165" i="4"/>
  <c r="E164" i="4"/>
  <c r="F164" i="4"/>
  <c r="E163" i="4"/>
  <c r="F163" i="4"/>
  <c r="F162" i="4"/>
  <c r="E162" i="4"/>
  <c r="F161" i="4"/>
  <c r="E161" i="4"/>
  <c r="F160" i="4"/>
  <c r="E160" i="4"/>
  <c r="E159" i="4"/>
  <c r="F159" i="4"/>
  <c r="E158" i="4"/>
  <c r="F158" i="4"/>
  <c r="D155" i="4"/>
  <c r="D176" i="4" s="1"/>
  <c r="C155" i="4"/>
  <c r="C176" i="4" s="1"/>
  <c r="E154" i="4"/>
  <c r="F154" i="4" s="1"/>
  <c r="F153" i="4"/>
  <c r="E153" i="4"/>
  <c r="E152" i="4"/>
  <c r="F152" i="4" s="1"/>
  <c r="F151" i="4"/>
  <c r="E151" i="4"/>
  <c r="F150" i="4"/>
  <c r="E150" i="4"/>
  <c r="F149" i="4"/>
  <c r="E149" i="4"/>
  <c r="E148" i="4"/>
  <c r="F148" i="4" s="1"/>
  <c r="F147" i="4"/>
  <c r="E147" i="4"/>
  <c r="E146" i="4"/>
  <c r="F146" i="4" s="1"/>
  <c r="E145" i="4"/>
  <c r="F145" i="4" s="1"/>
  <c r="E144" i="4"/>
  <c r="F144" i="4" s="1"/>
  <c r="F143" i="4"/>
  <c r="E143" i="4"/>
  <c r="F142" i="4"/>
  <c r="E142" i="4"/>
  <c r="F141" i="4"/>
  <c r="E141" i="4"/>
  <c r="E140" i="4"/>
  <c r="F140" i="4" s="1"/>
  <c r="E139" i="4"/>
  <c r="F139" i="4" s="1"/>
  <c r="E138" i="4"/>
  <c r="F138" i="4" s="1"/>
  <c r="F137" i="4"/>
  <c r="E137" i="4"/>
  <c r="E136" i="4"/>
  <c r="F136" i="4" s="1"/>
  <c r="E135" i="4"/>
  <c r="F135" i="4" s="1"/>
  <c r="E134" i="4"/>
  <c r="F134" i="4" s="1"/>
  <c r="E133" i="4"/>
  <c r="F133" i="4" s="1"/>
  <c r="F132" i="4"/>
  <c r="E132" i="4"/>
  <c r="F131" i="4"/>
  <c r="E131" i="4"/>
  <c r="E130" i="4"/>
  <c r="F130" i="4" s="1"/>
  <c r="E129" i="4"/>
  <c r="F129" i="4" s="1"/>
  <c r="F128" i="4"/>
  <c r="E128" i="4"/>
  <c r="F127" i="4"/>
  <c r="E127" i="4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C118" i="4"/>
  <c r="E118" i="4"/>
  <c r="F117" i="4"/>
  <c r="E117" i="4"/>
  <c r="E116" i="4"/>
  <c r="F116" i="4"/>
  <c r="E115" i="4"/>
  <c r="F115" i="4"/>
  <c r="E114" i="4"/>
  <c r="F114" i="4"/>
  <c r="F113" i="4"/>
  <c r="E113" i="4"/>
  <c r="E112" i="4"/>
  <c r="F112" i="4"/>
  <c r="D109" i="4"/>
  <c r="C109" i="4"/>
  <c r="E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C78" i="4"/>
  <c r="E77" i="4"/>
  <c r="F77" i="4"/>
  <c r="E76" i="4"/>
  <c r="F76" i="4"/>
  <c r="E75" i="4"/>
  <c r="F75" i="4"/>
  <c r="E74" i="4"/>
  <c r="F74" i="4"/>
  <c r="E73" i="4"/>
  <c r="F73" i="4"/>
  <c r="F72" i="4"/>
  <c r="E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C59" i="4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D83" i="4" s="1"/>
  <c r="C41" i="4"/>
  <c r="E40" i="4"/>
  <c r="F40" i="4" s="1"/>
  <c r="E39" i="4"/>
  <c r="F39" i="4" s="1"/>
  <c r="E38" i="4"/>
  <c r="F38" i="4" s="1"/>
  <c r="D35" i="4"/>
  <c r="C35" i="4"/>
  <c r="E35" i="4"/>
  <c r="E34" i="4"/>
  <c r="F34" i="4"/>
  <c r="E33" i="4"/>
  <c r="F33" i="4"/>
  <c r="D30" i="4"/>
  <c r="C30" i="4"/>
  <c r="E29" i="4"/>
  <c r="F29" i="4"/>
  <c r="E28" i="4"/>
  <c r="F28" i="4"/>
  <c r="E27" i="4"/>
  <c r="F27" i="4"/>
  <c r="D24" i="4"/>
  <c r="E24" i="4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C179" i="3"/>
  <c r="E179" i="3"/>
  <c r="E178" i="3"/>
  <c r="F178" i="3"/>
  <c r="E177" i="3"/>
  <c r="F177" i="3"/>
  <c r="E176" i="3"/>
  <c r="F176" i="3"/>
  <c r="E175" i="3"/>
  <c r="F175" i="3"/>
  <c r="E174" i="3"/>
  <c r="F174" i="3"/>
  <c r="F173" i="3"/>
  <c r="E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5" i="3"/>
  <c r="F165" i="3"/>
  <c r="E164" i="3"/>
  <c r="F164" i="3"/>
  <c r="E163" i="3"/>
  <c r="F163" i="3"/>
  <c r="E162" i="3"/>
  <c r="F162" i="3"/>
  <c r="E161" i="3"/>
  <c r="F161" i="3"/>
  <c r="F160" i="3"/>
  <c r="E160" i="3"/>
  <c r="E159" i="3"/>
  <c r="F159" i="3"/>
  <c r="E158" i="3"/>
  <c r="F158" i="3"/>
  <c r="E157" i="3"/>
  <c r="F157" i="3"/>
  <c r="E156" i="3"/>
  <c r="F156" i="3"/>
  <c r="E155" i="3"/>
  <c r="F155" i="3"/>
  <c r="D153" i="3"/>
  <c r="E153" i="3"/>
  <c r="C153" i="3"/>
  <c r="E152" i="3"/>
  <c r="F152" i="3" s="1"/>
  <c r="E151" i="3"/>
  <c r="F151" i="3" s="1"/>
  <c r="E150" i="3"/>
  <c r="F150" i="3" s="1"/>
  <c r="E149" i="3"/>
  <c r="F149" i="3" s="1"/>
  <c r="E148" i="3"/>
  <c r="F148" i="3" s="1"/>
  <c r="F147" i="3"/>
  <c r="E147" i="3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E137" i="3"/>
  <c r="F137" i="3" s="1"/>
  <c r="E136" i="3"/>
  <c r="F136" i="3" s="1"/>
  <c r="E135" i="3"/>
  <c r="F135" i="3" s="1"/>
  <c r="E134" i="3"/>
  <c r="F134" i="3" s="1"/>
  <c r="E133" i="3"/>
  <c r="F133" i="3" s="1"/>
  <c r="E132" i="3"/>
  <c r="F132" i="3" s="1"/>
  <c r="F131" i="3"/>
  <c r="E131" i="3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E124" i="3"/>
  <c r="F124" i="3" s="1"/>
  <c r="E123" i="3"/>
  <c r="F123" i="3"/>
  <c r="E122" i="3"/>
  <c r="F122" i="3"/>
  <c r="E121" i="3"/>
  <c r="F121" i="3"/>
  <c r="E120" i="3"/>
  <c r="F120" i="3"/>
  <c r="E119" i="3"/>
  <c r="F119" i="3"/>
  <c r="F118" i="3"/>
  <c r="E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E111" i="3" s="1"/>
  <c r="E110" i="3"/>
  <c r="F110" i="3" s="1"/>
  <c r="E109" i="3"/>
  <c r="F109" i="3" s="1"/>
  <c r="E108" i="3"/>
  <c r="F108" i="3" s="1"/>
  <c r="E107" i="3"/>
  <c r="F107" i="3"/>
  <c r="E106" i="3"/>
  <c r="F106" i="3"/>
  <c r="F105" i="3"/>
  <c r="E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E94" i="3" s="1"/>
  <c r="F94" i="3" s="1"/>
  <c r="D93" i="3"/>
  <c r="C93" i="3"/>
  <c r="E93" i="3" s="1"/>
  <c r="D92" i="3"/>
  <c r="E92" i="3" s="1"/>
  <c r="F92" i="3" s="1"/>
  <c r="C92" i="3"/>
  <c r="D91" i="3"/>
  <c r="C91" i="3"/>
  <c r="E91" i="3"/>
  <c r="F91" i="3" s="1"/>
  <c r="D90" i="3"/>
  <c r="C90" i="3"/>
  <c r="E90" i="3"/>
  <c r="F90" i="3" s="1"/>
  <c r="D89" i="3"/>
  <c r="C89" i="3"/>
  <c r="F89" i="3"/>
  <c r="D88" i="3"/>
  <c r="C88" i="3"/>
  <c r="D87" i="3"/>
  <c r="C87" i="3"/>
  <c r="E87" i="3" s="1"/>
  <c r="F87" i="3" s="1"/>
  <c r="D86" i="3"/>
  <c r="C86" i="3"/>
  <c r="E86" i="3" s="1"/>
  <c r="F86" i="3" s="1"/>
  <c r="D85" i="3"/>
  <c r="C85" i="3"/>
  <c r="D84" i="3"/>
  <c r="E84" i="3" s="1"/>
  <c r="F84" i="3" s="1"/>
  <c r="C84" i="3"/>
  <c r="C95" i="3" s="1"/>
  <c r="D81" i="3"/>
  <c r="C81" i="3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F75" i="3"/>
  <c r="E75" i="3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8" i="3"/>
  <c r="F68" i="3" s="1"/>
  <c r="E67" i="3"/>
  <c r="F67" i="3"/>
  <c r="E66" i="3"/>
  <c r="F66" i="3"/>
  <c r="E65" i="3"/>
  <c r="F65" i="3"/>
  <c r="E64" i="3"/>
  <c r="F64" i="3"/>
  <c r="E63" i="3"/>
  <c r="F63" i="3"/>
  <c r="F62" i="3"/>
  <c r="E62" i="3"/>
  <c r="E61" i="3"/>
  <c r="F61" i="3"/>
  <c r="E60" i="3"/>
  <c r="F60" i="3"/>
  <c r="E59" i="3"/>
  <c r="F59" i="3"/>
  <c r="E58" i="3"/>
  <c r="F58" i="3"/>
  <c r="E57" i="3"/>
  <c r="F57" i="3"/>
  <c r="D51" i="3"/>
  <c r="C51" i="3"/>
  <c r="E51" i="3" s="1"/>
  <c r="F51" i="3" s="1"/>
  <c r="D50" i="3"/>
  <c r="C50" i="3"/>
  <c r="E50" i="3" s="1"/>
  <c r="F50" i="3" s="1"/>
  <c r="D49" i="3"/>
  <c r="C49" i="3"/>
  <c r="E49" i="3" s="1"/>
  <c r="D48" i="3"/>
  <c r="E48" i="3" s="1"/>
  <c r="F48" i="3" s="1"/>
  <c r="C48" i="3"/>
  <c r="D47" i="3"/>
  <c r="C47" i="3"/>
  <c r="E47" i="3"/>
  <c r="F47" i="3" s="1"/>
  <c r="D46" i="3"/>
  <c r="C46" i="3"/>
  <c r="F46" i="3" s="1"/>
  <c r="D45" i="3"/>
  <c r="C45" i="3"/>
  <c r="E45" i="3" s="1"/>
  <c r="F45" i="3" s="1"/>
  <c r="D44" i="3"/>
  <c r="C44" i="3"/>
  <c r="D43" i="3"/>
  <c r="C43" i="3"/>
  <c r="D42" i="3"/>
  <c r="C42" i="3"/>
  <c r="D41" i="3"/>
  <c r="C41" i="3"/>
  <c r="C52" i="3" s="1"/>
  <c r="D38" i="3"/>
  <c r="E38" i="3" s="1"/>
  <c r="F38" i="3" s="1"/>
  <c r="C38" i="3"/>
  <c r="E37" i="3"/>
  <c r="F37" i="3" s="1"/>
  <c r="E36" i="3"/>
  <c r="F36" i="3" s="1"/>
  <c r="E35" i="3"/>
  <c r="F35" i="3" s="1"/>
  <c r="E34" i="3"/>
  <c r="F34" i="3" s="1"/>
  <c r="E33" i="3"/>
  <c r="F33" i="3" s="1"/>
  <c r="F32" i="3"/>
  <c r="E32" i="3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E24" i="3"/>
  <c r="F24" i="3" s="1"/>
  <c r="E23" i="3"/>
  <c r="F23" i="3" s="1"/>
  <c r="E22" i="3"/>
  <c r="F22" i="3" s="1"/>
  <c r="E21" i="3"/>
  <c r="F21" i="3" s="1"/>
  <c r="E20" i="3"/>
  <c r="F20" i="3" s="1"/>
  <c r="F19" i="3"/>
  <c r="E19" i="3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E46" i="2"/>
  <c r="F46" i="2" s="1"/>
  <c r="F45" i="2"/>
  <c r="E45" i="2"/>
  <c r="E44" i="2"/>
  <c r="F44" i="2" s="1"/>
  <c r="D39" i="2"/>
  <c r="C39" i="2"/>
  <c r="F38" i="2"/>
  <c r="E38" i="2"/>
  <c r="E37" i="2"/>
  <c r="F37" i="2" s="1"/>
  <c r="E36" i="2"/>
  <c r="F36" i="2" s="1"/>
  <c r="D31" i="2"/>
  <c r="C31" i="2"/>
  <c r="E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D19" i="2"/>
  <c r="C16" i="2"/>
  <c r="F15" i="2"/>
  <c r="E15" i="2"/>
  <c r="E14" i="2"/>
  <c r="F14" i="2" s="1"/>
  <c r="E13" i="2"/>
  <c r="F13" i="2" s="1"/>
  <c r="E12" i="2"/>
  <c r="F12" i="2" s="1"/>
  <c r="D73" i="1"/>
  <c r="C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E60" i="1"/>
  <c r="F60" i="1" s="1"/>
  <c r="F59" i="1"/>
  <c r="E59" i="1"/>
  <c r="D56" i="1"/>
  <c r="C56" i="1"/>
  <c r="E55" i="1"/>
  <c r="F55" i="1" s="1"/>
  <c r="E54" i="1"/>
  <c r="F54" i="1" s="1"/>
  <c r="F53" i="1"/>
  <c r="E53" i="1"/>
  <c r="F52" i="1"/>
  <c r="E52" i="1"/>
  <c r="E51" i="1"/>
  <c r="F51" i="1" s="1"/>
  <c r="F50" i="1"/>
  <c r="E50" i="1"/>
  <c r="A50" i="1"/>
  <c r="A51" i="1" s="1"/>
  <c r="A52" i="1" s="1"/>
  <c r="A53" i="1" s="1"/>
  <c r="A54" i="1" s="1"/>
  <c r="A55" i="1" s="1"/>
  <c r="E49" i="1"/>
  <c r="F49" i="1" s="1"/>
  <c r="E40" i="1"/>
  <c r="F40" i="1"/>
  <c r="D38" i="1"/>
  <c r="C38" i="1"/>
  <c r="C41" i="1" s="1"/>
  <c r="C43" i="1" s="1"/>
  <c r="E37" i="1"/>
  <c r="F37" i="1"/>
  <c r="E36" i="1"/>
  <c r="F36" i="1" s="1"/>
  <c r="E33" i="1"/>
  <c r="F33" i="1" s="1"/>
  <c r="E32" i="1"/>
  <c r="F32" i="1" s="1"/>
  <c r="E31" i="1"/>
  <c r="F31" i="1" s="1"/>
  <c r="D29" i="1"/>
  <c r="C29" i="1"/>
  <c r="E28" i="1"/>
  <c r="F28" i="1" s="1"/>
  <c r="F27" i="1"/>
  <c r="E27" i="1"/>
  <c r="F26" i="1"/>
  <c r="E26" i="1"/>
  <c r="E25" i="1"/>
  <c r="F25" i="1" s="1"/>
  <c r="D22" i="1"/>
  <c r="C22" i="1"/>
  <c r="E21" i="1"/>
  <c r="F21" i="1" s="1"/>
  <c r="E20" i="1"/>
  <c r="F20" i="1" s="1"/>
  <c r="E19" i="1"/>
  <c r="F19" i="1" s="1"/>
  <c r="F18" i="1"/>
  <c r="E18" i="1"/>
  <c r="F17" i="1"/>
  <c r="E17" i="1"/>
  <c r="F16" i="1"/>
  <c r="E16" i="1"/>
  <c r="E15" i="1"/>
  <c r="F15" i="1" s="1"/>
  <c r="E14" i="1"/>
  <c r="F14" i="1" s="1"/>
  <c r="E13" i="1"/>
  <c r="F13" i="1" s="1"/>
  <c r="E102" i="14"/>
  <c r="D111" i="14"/>
  <c r="F53" i="14"/>
  <c r="D68" i="14"/>
  <c r="D146" i="14"/>
  <c r="D75" i="1"/>
  <c r="D140" i="5"/>
  <c r="D136" i="5"/>
  <c r="D139" i="5"/>
  <c r="D135" i="5"/>
  <c r="D138" i="5"/>
  <c r="D137" i="5"/>
  <c r="D141" i="5"/>
  <c r="E41" i="8"/>
  <c r="F41" i="8"/>
  <c r="E22" i="1"/>
  <c r="F22" i="1" s="1"/>
  <c r="E29" i="1"/>
  <c r="F29" i="1" s="1"/>
  <c r="E56" i="1"/>
  <c r="F56" i="1" s="1"/>
  <c r="E61" i="1"/>
  <c r="F61" i="1" s="1"/>
  <c r="E73" i="1"/>
  <c r="F73" i="1" s="1"/>
  <c r="E16" i="2"/>
  <c r="F16" i="2" s="1"/>
  <c r="E39" i="2"/>
  <c r="F39" i="2" s="1"/>
  <c r="E25" i="3"/>
  <c r="F25" i="3" s="1"/>
  <c r="E41" i="3"/>
  <c r="E89" i="3"/>
  <c r="D52" i="3"/>
  <c r="F153" i="3"/>
  <c r="E21" i="5"/>
  <c r="C139" i="5"/>
  <c r="C135" i="5"/>
  <c r="C138" i="5"/>
  <c r="C137" i="5"/>
  <c r="C140" i="5"/>
  <c r="C136" i="5"/>
  <c r="E154" i="5"/>
  <c r="E157" i="5"/>
  <c r="E153" i="5"/>
  <c r="E156" i="5"/>
  <c r="E152" i="5"/>
  <c r="E155" i="5"/>
  <c r="F41" i="3"/>
  <c r="F93" i="3"/>
  <c r="C83" i="4"/>
  <c r="E83" i="4" s="1"/>
  <c r="D157" i="5"/>
  <c r="D153" i="5"/>
  <c r="D156" i="5"/>
  <c r="D152" i="5"/>
  <c r="D155" i="5"/>
  <c r="D154" i="5"/>
  <c r="C65" i="1"/>
  <c r="C19" i="2"/>
  <c r="F49" i="3"/>
  <c r="F111" i="3"/>
  <c r="F179" i="3"/>
  <c r="E18" i="4"/>
  <c r="F18" i="4"/>
  <c r="F24" i="4"/>
  <c r="E30" i="4"/>
  <c r="F30" i="4" s="1"/>
  <c r="E176" i="4"/>
  <c r="F176" i="4" s="1"/>
  <c r="C69" i="10"/>
  <c r="C24" i="5"/>
  <c r="C17" i="5"/>
  <c r="D21" i="5"/>
  <c r="E137" i="5"/>
  <c r="E140" i="5"/>
  <c r="E136" i="5"/>
  <c r="E139" i="5"/>
  <c r="E135" i="5"/>
  <c r="E138" i="5"/>
  <c r="C156" i="5"/>
  <c r="C152" i="5"/>
  <c r="C155" i="5"/>
  <c r="C154" i="5"/>
  <c r="C157" i="5"/>
  <c r="C153" i="5"/>
  <c r="D41" i="9"/>
  <c r="E85" i="3"/>
  <c r="F85" i="3" s="1"/>
  <c r="E166" i="3"/>
  <c r="F166" i="3" s="1"/>
  <c r="F35" i="4"/>
  <c r="E41" i="4"/>
  <c r="F41" i="4"/>
  <c r="E59" i="4"/>
  <c r="F59" i="4"/>
  <c r="E78" i="4"/>
  <c r="F78" i="4"/>
  <c r="E103" i="14"/>
  <c r="F103" i="14"/>
  <c r="D294" i="15"/>
  <c r="E32" i="15"/>
  <c r="D33" i="15"/>
  <c r="D66" i="15"/>
  <c r="E15" i="5"/>
  <c r="C25" i="5"/>
  <c r="C27" i="5" s="1"/>
  <c r="D43" i="5"/>
  <c r="E49" i="5"/>
  <c r="C57" i="5"/>
  <c r="C62" i="5" s="1"/>
  <c r="E77" i="5"/>
  <c r="E71" i="5" s="1"/>
  <c r="C88" i="5"/>
  <c r="C90" i="5" s="1"/>
  <c r="C86" i="5" s="1"/>
  <c r="F23" i="6"/>
  <c r="F24" i="6"/>
  <c r="F88" i="6"/>
  <c r="E198" i="6"/>
  <c r="F200" i="6"/>
  <c r="F204" i="6"/>
  <c r="C208" i="6"/>
  <c r="F24" i="7"/>
  <c r="F60" i="7"/>
  <c r="F108" i="7"/>
  <c r="E113" i="7"/>
  <c r="F115" i="7"/>
  <c r="F119" i="7"/>
  <c r="F16" i="9"/>
  <c r="F31" i="9"/>
  <c r="E31" i="11"/>
  <c r="G31" i="11" s="1"/>
  <c r="E33" i="11"/>
  <c r="F74" i="12"/>
  <c r="F99" i="12"/>
  <c r="F67" i="14"/>
  <c r="F110" i="14"/>
  <c r="C32" i="14"/>
  <c r="E66" i="14"/>
  <c r="F66" i="14" s="1"/>
  <c r="C68" i="14"/>
  <c r="E88" i="14"/>
  <c r="F88" i="14"/>
  <c r="C89" i="14"/>
  <c r="E109" i="14"/>
  <c r="C111" i="14"/>
  <c r="F109" i="14"/>
  <c r="E180" i="14"/>
  <c r="F180" i="14"/>
  <c r="E294" i="14"/>
  <c r="F294" i="14"/>
  <c r="C71" i="15"/>
  <c r="C65" i="15"/>
  <c r="C66" i="15" s="1"/>
  <c r="E66" i="15" s="1"/>
  <c r="C289" i="15"/>
  <c r="E171" i="4"/>
  <c r="F171" i="4"/>
  <c r="D49" i="5"/>
  <c r="E115" i="6"/>
  <c r="E167" i="6"/>
  <c r="C43" i="8"/>
  <c r="E43" i="8" s="1"/>
  <c r="F43" i="8" s="1"/>
  <c r="D36" i="11"/>
  <c r="D38" i="11" s="1"/>
  <c r="D40" i="11" s="1"/>
  <c r="E52" i="14"/>
  <c r="F52" i="14"/>
  <c r="E76" i="14"/>
  <c r="F76" i="14"/>
  <c r="C77" i="14"/>
  <c r="E77" i="14"/>
  <c r="E95" i="14"/>
  <c r="F95" i="14"/>
  <c r="E120" i="14"/>
  <c r="F120" i="14"/>
  <c r="E165" i="14"/>
  <c r="F165" i="14"/>
  <c r="E223" i="14"/>
  <c r="F223" i="14"/>
  <c r="D22" i="15"/>
  <c r="D283" i="15"/>
  <c r="E283" i="15" s="1"/>
  <c r="E21" i="15"/>
  <c r="D100" i="15"/>
  <c r="D96" i="15"/>
  <c r="D89" i="15"/>
  <c r="D85" i="15"/>
  <c r="D99" i="15"/>
  <c r="D258" i="15"/>
  <c r="D98" i="15"/>
  <c r="D101" i="15"/>
  <c r="D97" i="15"/>
  <c r="D86" i="15"/>
  <c r="D95" i="15"/>
  <c r="D84" i="15"/>
  <c r="D87" i="15"/>
  <c r="D88" i="15"/>
  <c r="F109" i="4"/>
  <c r="F118" i="4"/>
  <c r="D53" i="5"/>
  <c r="F36" i="6"/>
  <c r="F62" i="6"/>
  <c r="F198" i="6"/>
  <c r="F202" i="6"/>
  <c r="F36" i="7"/>
  <c r="F95" i="7"/>
  <c r="F96" i="7"/>
  <c r="F113" i="7"/>
  <c r="F117" i="7"/>
  <c r="C121" i="7"/>
  <c r="E121" i="7"/>
  <c r="F29" i="8"/>
  <c r="C65" i="8"/>
  <c r="C75" i="8" s="1"/>
  <c r="F39" i="9"/>
  <c r="C24" i="10"/>
  <c r="E25" i="10"/>
  <c r="E27" i="10"/>
  <c r="D42" i="10"/>
  <c r="D50" i="10"/>
  <c r="C80" i="10"/>
  <c r="C77" i="10"/>
  <c r="C33" i="11"/>
  <c r="F33" i="11"/>
  <c r="F36" i="11" s="1"/>
  <c r="F38" i="11" s="1"/>
  <c r="F40" i="11" s="1"/>
  <c r="C36" i="11"/>
  <c r="C38" i="11" s="1"/>
  <c r="C40" i="11" s="1"/>
  <c r="F65" i="12"/>
  <c r="F100" i="14"/>
  <c r="F123" i="14"/>
  <c r="E20" i="14"/>
  <c r="F20" i="14" s="1"/>
  <c r="C21" i="14"/>
  <c r="E23" i="14"/>
  <c r="F23" i="14"/>
  <c r="E37" i="14"/>
  <c r="F37" i="14"/>
  <c r="E298" i="14"/>
  <c r="F298" i="14"/>
  <c r="E70" i="15"/>
  <c r="D320" i="15"/>
  <c r="E320" i="15" s="1"/>
  <c r="E316" i="15"/>
  <c r="D41" i="17"/>
  <c r="D109" i="19"/>
  <c r="D108" i="19"/>
  <c r="D32" i="14"/>
  <c r="E31" i="14"/>
  <c r="F31" i="14"/>
  <c r="D193" i="14"/>
  <c r="E192" i="14"/>
  <c r="F192" i="14" s="1"/>
  <c r="E278" i="14"/>
  <c r="F278" i="14" s="1"/>
  <c r="E37" i="6"/>
  <c r="F63" i="6"/>
  <c r="E89" i="6"/>
  <c r="F89" i="6" s="1"/>
  <c r="E141" i="6"/>
  <c r="E193" i="6"/>
  <c r="E201" i="6"/>
  <c r="F201" i="6"/>
  <c r="F203" i="6"/>
  <c r="E205" i="6"/>
  <c r="F205" i="6" s="1"/>
  <c r="F207" i="6"/>
  <c r="E35" i="7"/>
  <c r="F35" i="7"/>
  <c r="F59" i="7"/>
  <c r="E83" i="7"/>
  <c r="F107" i="7"/>
  <c r="E112" i="7"/>
  <c r="F112" i="7" s="1"/>
  <c r="F114" i="7"/>
  <c r="E116" i="7"/>
  <c r="F116" i="7"/>
  <c r="F118" i="7"/>
  <c r="E120" i="7"/>
  <c r="E38" i="8"/>
  <c r="F38" i="8"/>
  <c r="C59" i="10"/>
  <c r="C61" i="10"/>
  <c r="C57" i="10" s="1"/>
  <c r="E84" i="12"/>
  <c r="C90" i="14"/>
  <c r="E68" i="14"/>
  <c r="C214" i="14"/>
  <c r="C190" i="14"/>
  <c r="F188" i="14"/>
  <c r="C261" i="14"/>
  <c r="C254" i="14"/>
  <c r="E311" i="14"/>
  <c r="F311" i="14" s="1"/>
  <c r="C33" i="15"/>
  <c r="C295" i="15" s="1"/>
  <c r="E295" i="15" s="1"/>
  <c r="C294" i="15"/>
  <c r="D234" i="15"/>
  <c r="E54" i="15"/>
  <c r="E260" i="15"/>
  <c r="C46" i="19"/>
  <c r="C40" i="19"/>
  <c r="C36" i="19"/>
  <c r="C30" i="19"/>
  <c r="C111" i="19"/>
  <c r="C54" i="19"/>
  <c r="D173" i="14"/>
  <c r="D254" i="14"/>
  <c r="E283" i="14"/>
  <c r="F283" i="14" s="1"/>
  <c r="F17" i="14"/>
  <c r="F36" i="14"/>
  <c r="F85" i="14"/>
  <c r="F94" i="14"/>
  <c r="F102" i="14"/>
  <c r="F135" i="14"/>
  <c r="C146" i="14"/>
  <c r="C159" i="14"/>
  <c r="F170" i="14"/>
  <c r="C205" i="14"/>
  <c r="F238" i="14"/>
  <c r="C255" i="14"/>
  <c r="C76" i="15"/>
  <c r="C77" i="15" s="1"/>
  <c r="C253" i="15"/>
  <c r="E245" i="15"/>
  <c r="C38" i="16"/>
  <c r="C127" i="16" s="1"/>
  <c r="C129" i="16" s="1"/>
  <c r="C133" i="16" s="1"/>
  <c r="D282" i="14"/>
  <c r="C181" i="14"/>
  <c r="F179" i="14"/>
  <c r="C264" i="14"/>
  <c r="E191" i="14"/>
  <c r="F191" i="14" s="1"/>
  <c r="C239" i="14"/>
  <c r="E237" i="14"/>
  <c r="F237" i="14"/>
  <c r="F250" i="14"/>
  <c r="E156" i="15"/>
  <c r="D157" i="15"/>
  <c r="E157" i="15"/>
  <c r="C108" i="19"/>
  <c r="C109" i="19"/>
  <c r="C304" i="14"/>
  <c r="E48" i="14"/>
  <c r="F48" i="14" s="1"/>
  <c r="C124" i="14"/>
  <c r="F130" i="14"/>
  <c r="E136" i="14"/>
  <c r="F136" i="14" s="1"/>
  <c r="C138" i="14"/>
  <c r="E189" i="14"/>
  <c r="F189" i="14"/>
  <c r="C193" i="14"/>
  <c r="C282" i="14"/>
  <c r="E203" i="14"/>
  <c r="F203" i="14"/>
  <c r="C280" i="14"/>
  <c r="C43" i="15"/>
  <c r="C44" i="15" s="1"/>
  <c r="E69" i="15"/>
  <c r="D235" i="15"/>
  <c r="C65" i="16"/>
  <c r="C114" i="16" s="1"/>
  <c r="C116" i="16" s="1"/>
  <c r="C119" i="16" s="1"/>
  <c r="C123" i="16" s="1"/>
  <c r="D207" i="14"/>
  <c r="E227" i="14"/>
  <c r="F227" i="14" s="1"/>
  <c r="D289" i="15"/>
  <c r="E289" i="15" s="1"/>
  <c r="E60" i="15"/>
  <c r="C180" i="15"/>
  <c r="C168" i="15"/>
  <c r="C145" i="15"/>
  <c r="E109" i="19"/>
  <c r="E108" i="19"/>
  <c r="C125" i="14"/>
  <c r="F145" i="14"/>
  <c r="F158" i="14"/>
  <c r="C199" i="14"/>
  <c r="C206" i="14"/>
  <c r="C215" i="14"/>
  <c r="C262" i="14"/>
  <c r="C277" i="14"/>
  <c r="F295" i="14"/>
  <c r="F299" i="14"/>
  <c r="E38" i="15"/>
  <c r="E41" i="15"/>
  <c r="D71" i="15"/>
  <c r="E71" i="15" s="1"/>
  <c r="E74" i="15"/>
  <c r="E40" i="17"/>
  <c r="F40" i="17"/>
  <c r="E139" i="15"/>
  <c r="C163" i="15"/>
  <c r="E163" i="15" s="1"/>
  <c r="D175" i="15"/>
  <c r="E175" i="15" s="1"/>
  <c r="E188" i="15"/>
  <c r="D217" i="15"/>
  <c r="E218" i="15"/>
  <c r="E233" i="15"/>
  <c r="D239" i="15"/>
  <c r="E239" i="15" s="1"/>
  <c r="C242" i="15"/>
  <c r="E242" i="15" s="1"/>
  <c r="D243" i="15"/>
  <c r="E251" i="15"/>
  <c r="D302" i="15"/>
  <c r="C22" i="16"/>
  <c r="C20" i="17"/>
  <c r="E20" i="17" s="1"/>
  <c r="F20" i="17" s="1"/>
  <c r="E25" i="17"/>
  <c r="F25" i="17" s="1"/>
  <c r="C39" i="17"/>
  <c r="E22" i="19"/>
  <c r="C33" i="19"/>
  <c r="C101" i="19"/>
  <c r="C103" i="19"/>
  <c r="D102" i="19"/>
  <c r="D125" i="14"/>
  <c r="E125" i="14"/>
  <c r="D161" i="14"/>
  <c r="D174" i="14"/>
  <c r="D267" i="14"/>
  <c r="D277" i="14"/>
  <c r="D285" i="14"/>
  <c r="D306" i="14"/>
  <c r="E306" i="14" s="1"/>
  <c r="E151" i="15"/>
  <c r="C175" i="15"/>
  <c r="E195" i="15"/>
  <c r="E215" i="15"/>
  <c r="C217" i="15"/>
  <c r="C241" i="15" s="1"/>
  <c r="D222" i="15"/>
  <c r="C261" i="15"/>
  <c r="E314" i="15"/>
  <c r="C49" i="16"/>
  <c r="E23" i="19"/>
  <c r="C34" i="19"/>
  <c r="D160" i="14"/>
  <c r="D200" i="14"/>
  <c r="E200" i="14" s="1"/>
  <c r="F200" i="14" s="1"/>
  <c r="D206" i="14"/>
  <c r="E206" i="14"/>
  <c r="D262" i="14"/>
  <c r="D266" i="14"/>
  <c r="D265" i="14" s="1"/>
  <c r="D274" i="14"/>
  <c r="D280" i="14"/>
  <c r="D144" i="15"/>
  <c r="C22" i="19"/>
  <c r="E33" i="19"/>
  <c r="E101" i="19"/>
  <c r="E103" i="19"/>
  <c r="D49" i="14"/>
  <c r="D91" i="14"/>
  <c r="D104" i="14"/>
  <c r="D199" i="14"/>
  <c r="E199" i="14" s="1"/>
  <c r="F199" i="14" s="1"/>
  <c r="D205" i="14"/>
  <c r="E205" i="14" s="1"/>
  <c r="D215" i="14"/>
  <c r="D261" i="14"/>
  <c r="D190" i="14"/>
  <c r="E190" i="14" s="1"/>
  <c r="F190" i="14" s="1"/>
  <c r="D286" i="14"/>
  <c r="F146" i="14"/>
  <c r="E146" i="14"/>
  <c r="C268" i="14"/>
  <c r="C263" i="14"/>
  <c r="C271" i="14"/>
  <c r="C126" i="14"/>
  <c r="C91" i="14"/>
  <c r="E91" i="14" s="1"/>
  <c r="C161" i="14"/>
  <c r="C49" i="14"/>
  <c r="E21" i="14"/>
  <c r="F21" i="14"/>
  <c r="E24" i="5"/>
  <c r="E20" i="5" s="1"/>
  <c r="E17" i="5"/>
  <c r="D295" i="15"/>
  <c r="E33" i="15"/>
  <c r="E43" i="15"/>
  <c r="C158" i="5"/>
  <c r="C141" i="5"/>
  <c r="D281" i="14"/>
  <c r="E280" i="14"/>
  <c r="F280" i="14" s="1"/>
  <c r="D92" i="14"/>
  <c r="D145" i="15"/>
  <c r="D180" i="15"/>
  <c r="E180" i="15"/>
  <c r="E144" i="15"/>
  <c r="D168" i="15"/>
  <c r="E168" i="15" s="1"/>
  <c r="D287" i="14"/>
  <c r="D279" i="14"/>
  <c r="D284" i="14"/>
  <c r="E277" i="14"/>
  <c r="C169" i="15"/>
  <c r="C281" i="14"/>
  <c r="E138" i="14"/>
  <c r="F138" i="14" s="1"/>
  <c r="E264" i="14"/>
  <c r="F264" i="14"/>
  <c r="E159" i="14"/>
  <c r="F159" i="14" s="1"/>
  <c r="C56" i="19"/>
  <c r="C48" i="19"/>
  <c r="C38" i="19"/>
  <c r="C113" i="19"/>
  <c r="C216" i="14"/>
  <c r="E214" i="14"/>
  <c r="F214" i="14" s="1"/>
  <c r="E90" i="14"/>
  <c r="F90" i="14" s="1"/>
  <c r="D194" i="14"/>
  <c r="E193" i="14"/>
  <c r="D102" i="15"/>
  <c r="D284" i="15"/>
  <c r="E284" i="15" s="1"/>
  <c r="E22" i="15"/>
  <c r="E89" i="14"/>
  <c r="F89" i="14"/>
  <c r="E36" i="11"/>
  <c r="E38" i="11"/>
  <c r="E40" i="11" s="1"/>
  <c r="G33" i="11"/>
  <c r="G36" i="11" s="1"/>
  <c r="G38" i="11" s="1"/>
  <c r="G40" i="11" s="1"/>
  <c r="D48" i="9"/>
  <c r="C28" i="5"/>
  <c r="C99" i="5"/>
  <c r="C101" i="5" s="1"/>
  <c r="C98" i="5" s="1"/>
  <c r="C112" i="5"/>
  <c r="C111" i="5"/>
  <c r="E282" i="14"/>
  <c r="F282" i="14" s="1"/>
  <c r="F68" i="14"/>
  <c r="E141" i="5"/>
  <c r="E208" i="6"/>
  <c r="F208" i="6" s="1"/>
  <c r="E158" i="5"/>
  <c r="D50" i="14"/>
  <c r="E49" i="14"/>
  <c r="D272" i="14"/>
  <c r="E262" i="14"/>
  <c r="F262" i="14"/>
  <c r="D246" i="15"/>
  <c r="C45" i="19"/>
  <c r="C39" i="19"/>
  <c r="C35" i="19"/>
  <c r="C29" i="19"/>
  <c r="C110" i="19"/>
  <c r="C53" i="19"/>
  <c r="E54" i="19"/>
  <c r="E46" i="19"/>
  <c r="E40" i="19"/>
  <c r="E36" i="19"/>
  <c r="E30" i="19"/>
  <c r="E48" i="19" s="1"/>
  <c r="E111" i="19"/>
  <c r="D162" i="14"/>
  <c r="D183" i="14" s="1"/>
  <c r="E161" i="14"/>
  <c r="C41" i="17"/>
  <c r="E302" i="15"/>
  <c r="D303" i="15"/>
  <c r="D306" i="15" s="1"/>
  <c r="C287" i="14"/>
  <c r="C279" i="14"/>
  <c r="F277" i="14"/>
  <c r="C284" i="14"/>
  <c r="E284" i="14" s="1"/>
  <c r="F284" i="14" s="1"/>
  <c r="E124" i="14"/>
  <c r="F124" i="14"/>
  <c r="E254" i="14"/>
  <c r="F254" i="14"/>
  <c r="E22" i="10"/>
  <c r="E21" i="10"/>
  <c r="D103" i="15"/>
  <c r="C160" i="14"/>
  <c r="E160" i="14" s="1"/>
  <c r="F160" i="14"/>
  <c r="E39" i="17"/>
  <c r="E41" i="17" s="1"/>
  <c r="E65" i="15"/>
  <c r="E294" i="15"/>
  <c r="C75" i="1"/>
  <c r="D158" i="5"/>
  <c r="D268" i="14"/>
  <c r="E268" i="14"/>
  <c r="F268" i="14" s="1"/>
  <c r="E261" i="14"/>
  <c r="F261" i="14" s="1"/>
  <c r="D271" i="14"/>
  <c r="D263" i="14"/>
  <c r="E263" i="14"/>
  <c r="D270" i="14"/>
  <c r="E267" i="14"/>
  <c r="F267" i="14" s="1"/>
  <c r="E243" i="15"/>
  <c r="D252" i="15"/>
  <c r="E215" i="14"/>
  <c r="F215" i="14" s="1"/>
  <c r="D255" i="14"/>
  <c r="E255" i="14" s="1"/>
  <c r="F255" i="14" s="1"/>
  <c r="E110" i="19"/>
  <c r="E53" i="19"/>
  <c r="E45" i="19"/>
  <c r="E39" i="19"/>
  <c r="E35" i="19"/>
  <c r="E29" i="19"/>
  <c r="E37" i="19" s="1"/>
  <c r="E217" i="15"/>
  <c r="D241" i="15"/>
  <c r="E241" i="15" s="1"/>
  <c r="D208" i="14"/>
  <c r="D210" i="14" s="1"/>
  <c r="C194" i="14"/>
  <c r="C196" i="14" s="1"/>
  <c r="F193" i="14"/>
  <c r="E239" i="14"/>
  <c r="F239" i="14"/>
  <c r="E181" i="14"/>
  <c r="F181" i="14"/>
  <c r="D175" i="14"/>
  <c r="D140" i="14"/>
  <c r="D141" i="14" s="1"/>
  <c r="D62" i="14"/>
  <c r="D105" i="14"/>
  <c r="D106" i="14" s="1"/>
  <c r="E32" i="14"/>
  <c r="E65" i="8"/>
  <c r="F65" i="8" s="1"/>
  <c r="D90" i="15"/>
  <c r="D91" i="15" s="1"/>
  <c r="E111" i="14"/>
  <c r="F111" i="14" s="1"/>
  <c r="F32" i="14"/>
  <c r="C140" i="14"/>
  <c r="C105" i="14"/>
  <c r="C106" i="14" s="1"/>
  <c r="C33" i="2"/>
  <c r="F206" i="14"/>
  <c r="F125" i="14"/>
  <c r="F205" i="14"/>
  <c r="D216" i="14"/>
  <c r="E216" i="14"/>
  <c r="F216" i="14" s="1"/>
  <c r="D223" i="15"/>
  <c r="D288" i="14"/>
  <c r="D289" i="14" s="1"/>
  <c r="E289" i="14" s="1"/>
  <c r="D76" i="15"/>
  <c r="C266" i="14"/>
  <c r="C265" i="14" s="1"/>
  <c r="F121" i="7"/>
  <c r="F83" i="4"/>
  <c r="E65" i="1"/>
  <c r="F65" i="1"/>
  <c r="E303" i="15"/>
  <c r="D195" i="14"/>
  <c r="D196" i="14"/>
  <c r="F161" i="14"/>
  <c r="C162" i="14"/>
  <c r="C127" i="14"/>
  <c r="E126" i="14"/>
  <c r="F126" i="14" s="1"/>
  <c r="E279" i="14"/>
  <c r="D176" i="14"/>
  <c r="D304" i="14"/>
  <c r="E304" i="14" s="1"/>
  <c r="F304" i="14" s="1"/>
  <c r="D273" i="14"/>
  <c r="E271" i="14"/>
  <c r="F271" i="14" s="1"/>
  <c r="E38" i="19"/>
  <c r="E56" i="19"/>
  <c r="F49" i="14"/>
  <c r="C50" i="14"/>
  <c r="E50" i="14" s="1"/>
  <c r="F50" i="14" s="1"/>
  <c r="F39" i="17"/>
  <c r="C22" i="5"/>
  <c r="F263" i="14"/>
  <c r="D247" i="15"/>
  <c r="C141" i="14"/>
  <c r="C112" i="19"/>
  <c r="C55" i="19"/>
  <c r="C47" i="19"/>
  <c r="C37" i="19"/>
  <c r="E112" i="5"/>
  <c r="E111" i="5" s="1"/>
  <c r="E28" i="5"/>
  <c r="E22" i="5" s="1"/>
  <c r="F91" i="14"/>
  <c r="C92" i="14"/>
  <c r="F279" i="14"/>
  <c r="E76" i="15"/>
  <c r="D259" i="15"/>
  <c r="D77" i="15"/>
  <c r="D126" i="15" s="1"/>
  <c r="E140" i="14"/>
  <c r="F140" i="14" s="1"/>
  <c r="E47" i="19"/>
  <c r="E112" i="19"/>
  <c r="C41" i="2"/>
  <c r="C48" i="2" s="1"/>
  <c r="D63" i="14"/>
  <c r="D70" i="14" s="1"/>
  <c r="C195" i="14"/>
  <c r="F195" i="14" s="1"/>
  <c r="D323" i="14"/>
  <c r="E287" i="14"/>
  <c r="F287" i="14" s="1"/>
  <c r="D291" i="14"/>
  <c r="D181" i="15"/>
  <c r="E181" i="15" s="1"/>
  <c r="E145" i="15"/>
  <c r="D169" i="15"/>
  <c r="E169" i="15" s="1"/>
  <c r="E75" i="1"/>
  <c r="F75" i="1" s="1"/>
  <c r="F41" i="17"/>
  <c r="E281" i="14"/>
  <c r="F281" i="14" s="1"/>
  <c r="E195" i="14"/>
  <c r="E99" i="5"/>
  <c r="E101" i="5" s="1"/>
  <c r="E98" i="5" s="1"/>
  <c r="C148" i="14"/>
  <c r="C197" i="14"/>
  <c r="F197" i="14" s="1"/>
  <c r="E127" i="14"/>
  <c r="F127" i="14"/>
  <c r="D197" i="14"/>
  <c r="E197" i="14"/>
  <c r="D127" i="15"/>
  <c r="D123" i="15"/>
  <c r="D112" i="15"/>
  <c r="E77" i="15"/>
  <c r="D115" i="15"/>
  <c r="D111" i="15"/>
  <c r="D125" i="15"/>
  <c r="D121" i="15"/>
  <c r="D124" i="15"/>
  <c r="D113" i="15"/>
  <c r="D109" i="15"/>
  <c r="C322" i="14"/>
  <c r="D300" i="14"/>
  <c r="D33" i="2"/>
  <c r="E19" i="2"/>
  <c r="F19" i="2"/>
  <c r="D305" i="14"/>
  <c r="D309" i="14" s="1"/>
  <c r="C259" i="15"/>
  <c r="D41" i="1"/>
  <c r="F31" i="2"/>
  <c r="D95" i="3"/>
  <c r="E95" i="3" s="1"/>
  <c r="F95" i="3" s="1"/>
  <c r="E122" i="7"/>
  <c r="F122" i="7"/>
  <c r="E69" i="10"/>
  <c r="F127" i="6"/>
  <c r="F128" i="6"/>
  <c r="E153" i="6"/>
  <c r="E154" i="6"/>
  <c r="F179" i="6"/>
  <c r="F180" i="6"/>
  <c r="E56" i="8"/>
  <c r="F56" i="8" s="1"/>
  <c r="E61" i="8"/>
  <c r="F61" i="8" s="1"/>
  <c r="C19" i="9"/>
  <c r="E19" i="9" s="1"/>
  <c r="F19" i="9" s="1"/>
  <c r="F46" i="9"/>
  <c r="E24" i="10"/>
  <c r="E20" i="10" s="1"/>
  <c r="D15" i="10"/>
  <c r="D24" i="10" s="1"/>
  <c r="D20" i="10" s="1"/>
  <c r="D59" i="10"/>
  <c r="D61" i="10"/>
  <c r="D57" i="10" s="1"/>
  <c r="E59" i="10"/>
  <c r="E61" i="10" s="1"/>
  <c r="E57" i="10" s="1"/>
  <c r="F17" i="11"/>
  <c r="D31" i="11"/>
  <c r="F31" i="11" s="1"/>
  <c r="F92" i="12"/>
  <c r="E18" i="13"/>
  <c r="F18" i="13"/>
  <c r="E29" i="14"/>
  <c r="F29" i="14"/>
  <c r="E30" i="14"/>
  <c r="F30" i="14"/>
  <c r="E137" i="14"/>
  <c r="F137" i="14" s="1"/>
  <c r="E43" i="5"/>
  <c r="E35" i="14"/>
  <c r="F35" i="14" s="1"/>
  <c r="F44" i="14"/>
  <c r="F58" i="14"/>
  <c r="C60" i="14"/>
  <c r="E60" i="14" s="1"/>
  <c r="E59" i="14"/>
  <c r="F59" i="14"/>
  <c r="E171" i="14"/>
  <c r="F171" i="14"/>
  <c r="C172" i="14"/>
  <c r="E204" i="14"/>
  <c r="F204" i="14" s="1"/>
  <c r="E226" i="14"/>
  <c r="F229" i="14"/>
  <c r="C269" i="14"/>
  <c r="E269" i="14" s="1"/>
  <c r="F269" i="14" s="1"/>
  <c r="C285" i="14"/>
  <c r="C288" i="14"/>
  <c r="C291" i="14" s="1"/>
  <c r="C211" i="15"/>
  <c r="C234" i="15"/>
  <c r="E234" i="15" s="1"/>
  <c r="D253" i="15"/>
  <c r="D254" i="15" s="1"/>
  <c r="E254" i="15" s="1"/>
  <c r="F43" i="17"/>
  <c r="E46" i="17"/>
  <c r="F46" i="17" s="1"/>
  <c r="E101" i="14"/>
  <c r="F101" i="14" s="1"/>
  <c r="F290" i="14"/>
  <c r="F198" i="14"/>
  <c r="F226" i="14"/>
  <c r="E167" i="15"/>
  <c r="E173" i="15"/>
  <c r="E176" i="15"/>
  <c r="E244" i="15"/>
  <c r="E210" i="15"/>
  <c r="C222" i="15"/>
  <c r="E221" i="15"/>
  <c r="C229" i="15"/>
  <c r="E229" i="15"/>
  <c r="C252" i="15"/>
  <c r="F16" i="17"/>
  <c r="E19" i="17"/>
  <c r="F19" i="17"/>
  <c r="E36" i="17"/>
  <c r="F36" i="17"/>
  <c r="D33" i="19"/>
  <c r="D22" i="19"/>
  <c r="D53" i="19" s="1"/>
  <c r="D23" i="19"/>
  <c r="E205" i="15"/>
  <c r="E216" i="15"/>
  <c r="E220" i="15"/>
  <c r="D326" i="15"/>
  <c r="C289" i="14"/>
  <c r="F289" i="14" s="1"/>
  <c r="E288" i="14"/>
  <c r="D330" i="15"/>
  <c r="E330" i="15" s="1"/>
  <c r="E326" i="15"/>
  <c r="D46" i="19"/>
  <c r="D54" i="19"/>
  <c r="D40" i="19"/>
  <c r="D30" i="19"/>
  <c r="D48" i="19" s="1"/>
  <c r="D36" i="19"/>
  <c r="D111" i="19"/>
  <c r="D110" i="19"/>
  <c r="D35" i="19"/>
  <c r="D39" i="19"/>
  <c r="C246" i="15"/>
  <c r="E246" i="15"/>
  <c r="C223" i="15"/>
  <c r="E222" i="15"/>
  <c r="E253" i="15"/>
  <c r="C235" i="15"/>
  <c r="E235" i="15"/>
  <c r="E211" i="15"/>
  <c r="C181" i="15"/>
  <c r="C272" i="14"/>
  <c r="F272" i="14" s="1"/>
  <c r="C173" i="14"/>
  <c r="C207" i="14"/>
  <c r="E207" i="14" s="1"/>
  <c r="F207" i="14" s="1"/>
  <c r="E172" i="14"/>
  <c r="F172" i="14"/>
  <c r="C263" i="15"/>
  <c r="E259" i="15"/>
  <c r="C254" i="15"/>
  <c r="E252" i="15"/>
  <c r="E285" i="14"/>
  <c r="F285" i="14"/>
  <c r="C61" i="14"/>
  <c r="E61" i="14" s="1"/>
  <c r="C286" i="14"/>
  <c r="E286" i="14" s="1"/>
  <c r="F286" i="14" s="1"/>
  <c r="E41" i="1"/>
  <c r="F41" i="1" s="1"/>
  <c r="D43" i="1"/>
  <c r="E43" i="1" s="1"/>
  <c r="F43" i="1" s="1"/>
  <c r="E33" i="2"/>
  <c r="F33" i="2" s="1"/>
  <c r="D41" i="2"/>
  <c r="E41" i="2" s="1"/>
  <c r="F41" i="2" s="1"/>
  <c r="C174" i="14"/>
  <c r="E174" i="14" s="1"/>
  <c r="F174" i="14" s="1"/>
  <c r="C62" i="14"/>
  <c r="C63" i="14" s="1"/>
  <c r="C104" i="14"/>
  <c r="E104" i="14" s="1"/>
  <c r="F104" i="14" s="1"/>
  <c r="C208" i="14"/>
  <c r="E173" i="14"/>
  <c r="F173" i="14"/>
  <c r="C175" i="14"/>
  <c r="C247" i="15"/>
  <c r="E247" i="15"/>
  <c r="E223" i="15"/>
  <c r="D113" i="19"/>
  <c r="D56" i="19"/>
  <c r="D48" i="2"/>
  <c r="E48" i="2" s="1"/>
  <c r="C273" i="14"/>
  <c r="E273" i="14" s="1"/>
  <c r="F273" i="14" s="1"/>
  <c r="E272" i="14"/>
  <c r="C210" i="14"/>
  <c r="E62" i="14"/>
  <c r="C176" i="14"/>
  <c r="E175" i="14"/>
  <c r="F175" i="14" s="1"/>
  <c r="C209" i="14"/>
  <c r="C211" i="14"/>
  <c r="E176" i="14"/>
  <c r="F176" i="14" s="1"/>
  <c r="E265" i="14" l="1"/>
  <c r="F265" i="14" s="1"/>
  <c r="C113" i="14"/>
  <c r="D105" i="15"/>
  <c r="E196" i="14"/>
  <c r="F196" i="14" s="1"/>
  <c r="D310" i="15"/>
  <c r="E310" i="15" s="1"/>
  <c r="E306" i="15"/>
  <c r="C70" i="14"/>
  <c r="C305" i="14"/>
  <c r="E291" i="14"/>
  <c r="F291" i="14" s="1"/>
  <c r="F48" i="2"/>
  <c r="C324" i="14"/>
  <c r="D113" i="14"/>
  <c r="E113" i="14" s="1"/>
  <c r="D324" i="14"/>
  <c r="E106" i="14"/>
  <c r="F106" i="14" s="1"/>
  <c r="D322" i="14"/>
  <c r="E322" i="14" s="1"/>
  <c r="F322" i="14" s="1"/>
  <c r="E141" i="14"/>
  <c r="F141" i="14" s="1"/>
  <c r="D148" i="14"/>
  <c r="E148" i="14" s="1"/>
  <c r="F148" i="14" s="1"/>
  <c r="E210" i="14"/>
  <c r="F210" i="14" s="1"/>
  <c r="D211" i="14"/>
  <c r="E211" i="14" s="1"/>
  <c r="F211" i="14" s="1"/>
  <c r="C99" i="15"/>
  <c r="E99" i="15" s="1"/>
  <c r="C95" i="15"/>
  <c r="C84" i="15"/>
  <c r="C98" i="15"/>
  <c r="E98" i="15" s="1"/>
  <c r="C97" i="15"/>
  <c r="E97" i="15" s="1"/>
  <c r="C100" i="15"/>
  <c r="E100" i="15" s="1"/>
  <c r="C96" i="15"/>
  <c r="C89" i="15"/>
  <c r="E89" i="15" s="1"/>
  <c r="C87" i="15"/>
  <c r="E87" i="15" s="1"/>
  <c r="C83" i="15"/>
  <c r="C88" i="15"/>
  <c r="E88" i="15" s="1"/>
  <c r="C258" i="15"/>
  <c r="C101" i="15"/>
  <c r="E101" i="15" s="1"/>
  <c r="C85" i="15"/>
  <c r="E85" i="15" s="1"/>
  <c r="C86" i="15"/>
  <c r="E86" i="15" s="1"/>
  <c r="E44" i="15"/>
  <c r="F75" i="8"/>
  <c r="E75" i="8"/>
  <c r="C20" i="5"/>
  <c r="C21" i="5"/>
  <c r="E63" i="14"/>
  <c r="F63" i="14" s="1"/>
  <c r="C183" i="14"/>
  <c r="C323" i="14"/>
  <c r="F62" i="14"/>
  <c r="E208" i="14"/>
  <c r="F208" i="14" s="1"/>
  <c r="D38" i="19"/>
  <c r="C139" i="14"/>
  <c r="F61" i="14"/>
  <c r="D310" i="14"/>
  <c r="C33" i="9"/>
  <c r="F60" i="14"/>
  <c r="D17" i="10"/>
  <c r="D28" i="10" s="1"/>
  <c r="C270" i="14"/>
  <c r="D45" i="19"/>
  <c r="D29" i="19"/>
  <c r="F288" i="14"/>
  <c r="E266" i="14"/>
  <c r="F266" i="14" s="1"/>
  <c r="E92" i="14"/>
  <c r="F92" i="14" s="1"/>
  <c r="D110" i="15"/>
  <c r="D114" i="15"/>
  <c r="D122" i="15"/>
  <c r="E162" i="14"/>
  <c r="F162" i="14" s="1"/>
  <c r="E55" i="19"/>
  <c r="E113" i="19"/>
  <c r="D209" i="14"/>
  <c r="E209" i="14" s="1"/>
  <c r="F209" i="14" s="1"/>
  <c r="E105" i="14"/>
  <c r="F105" i="14" s="1"/>
  <c r="E194" i="14"/>
  <c r="F194" i="14" s="1"/>
  <c r="C126" i="15"/>
  <c r="E126" i="15" s="1"/>
  <c r="C115" i="15"/>
  <c r="E115" i="15" s="1"/>
  <c r="C125" i="15"/>
  <c r="E125" i="15" s="1"/>
  <c r="C114" i="15"/>
  <c r="C113" i="15"/>
  <c r="E113" i="15" s="1"/>
  <c r="C127" i="15"/>
  <c r="E127" i="15" s="1"/>
  <c r="C112" i="15"/>
  <c r="E112" i="15" s="1"/>
  <c r="C122" i="15"/>
  <c r="C111" i="15"/>
  <c r="E111" i="15" s="1"/>
  <c r="C121" i="15"/>
  <c r="C110" i="15"/>
  <c r="C124" i="15"/>
  <c r="E124" i="15" s="1"/>
  <c r="C109" i="15"/>
  <c r="C123" i="15"/>
  <c r="E123" i="15" s="1"/>
  <c r="E52" i="3"/>
  <c r="F52" i="3" s="1"/>
  <c r="E42" i="3"/>
  <c r="F42" i="3" s="1"/>
  <c r="E43" i="3"/>
  <c r="F43" i="3" s="1"/>
  <c r="E44" i="3"/>
  <c r="F44" i="3" s="1"/>
  <c r="E38" i="1"/>
  <c r="F38" i="1" s="1"/>
  <c r="E46" i="3"/>
  <c r="F88" i="3"/>
  <c r="E88" i="3"/>
  <c r="E155" i="4"/>
  <c r="F155" i="4" s="1"/>
  <c r="D15" i="5"/>
  <c r="C49" i="5"/>
  <c r="C53" i="5"/>
  <c r="E199" i="6"/>
  <c r="F199" i="6" s="1"/>
  <c r="E22" i="8"/>
  <c r="F22" i="8" s="1"/>
  <c r="C25" i="10"/>
  <c r="C27" i="10" s="1"/>
  <c r="F75" i="12"/>
  <c r="F23" i="12"/>
  <c r="F30" i="12"/>
  <c r="F73" i="12"/>
  <c r="F129" i="14"/>
  <c r="C274" i="14"/>
  <c r="E189" i="15"/>
  <c r="E240" i="15"/>
  <c r="F45" i="17"/>
  <c r="D101" i="19"/>
  <c r="D103" i="19" s="1"/>
  <c r="D261" i="15"/>
  <c r="C300" i="14" l="1"/>
  <c r="E274" i="14"/>
  <c r="F274" i="14" s="1"/>
  <c r="C21" i="10"/>
  <c r="C22" i="10"/>
  <c r="C20" i="10"/>
  <c r="E261" i="15"/>
  <c r="D263" i="15"/>
  <c r="D24" i="5"/>
  <c r="D20" i="5" s="1"/>
  <c r="D17" i="5"/>
  <c r="E109" i="15"/>
  <c r="C116" i="15"/>
  <c r="C117" i="15" s="1"/>
  <c r="D128" i="15"/>
  <c r="E122" i="15"/>
  <c r="D116" i="15"/>
  <c r="E110" i="15"/>
  <c r="D22" i="10"/>
  <c r="D70" i="10"/>
  <c r="D72" i="10" s="1"/>
  <c r="D69" i="10" s="1"/>
  <c r="E33" i="9"/>
  <c r="C41" i="9"/>
  <c r="F33" i="9"/>
  <c r="E258" i="15"/>
  <c r="C267" i="15"/>
  <c r="C264" i="15"/>
  <c r="C266" i="15" s="1"/>
  <c r="E83" i="15"/>
  <c r="C103" i="15"/>
  <c r="E103" i="15" s="1"/>
  <c r="E95" i="15"/>
  <c r="F324" i="14"/>
  <c r="C325" i="14"/>
  <c r="C309" i="14"/>
  <c r="E305" i="14"/>
  <c r="F305" i="14" s="1"/>
  <c r="F113" i="14"/>
  <c r="E70" i="14"/>
  <c r="F70" i="14" s="1"/>
  <c r="C128" i="15"/>
  <c r="C129" i="15" s="1"/>
  <c r="E114" i="15"/>
  <c r="D47" i="19"/>
  <c r="D37" i="19"/>
  <c r="D112" i="19"/>
  <c r="D55" i="19"/>
  <c r="F270" i="14"/>
  <c r="E270" i="14"/>
  <c r="D312" i="14"/>
  <c r="F139" i="14"/>
  <c r="E139" i="14"/>
  <c r="F323" i="14"/>
  <c r="E323" i="14"/>
  <c r="E96" i="15"/>
  <c r="C102" i="15"/>
  <c r="E102" i="15" s="1"/>
  <c r="E84" i="15"/>
  <c r="C90" i="15"/>
  <c r="E90" i="15" s="1"/>
  <c r="D325" i="14"/>
  <c r="E325" i="14" s="1"/>
  <c r="E324" i="14"/>
  <c r="E183" i="14"/>
  <c r="F183" i="14" s="1"/>
  <c r="E121" i="15"/>
  <c r="C131" i="15" l="1"/>
  <c r="D313" i="14"/>
  <c r="C310" i="14"/>
  <c r="F309" i="14"/>
  <c r="E309" i="14"/>
  <c r="C269" i="15"/>
  <c r="C268" i="15"/>
  <c r="E41" i="9"/>
  <c r="C48" i="9"/>
  <c r="F41" i="9"/>
  <c r="E300" i="14"/>
  <c r="F300" i="14" s="1"/>
  <c r="F325" i="14"/>
  <c r="C91" i="15"/>
  <c r="E116" i="15"/>
  <c r="D117" i="15"/>
  <c r="E128" i="15"/>
  <c r="D129" i="15"/>
  <c r="E129" i="15" s="1"/>
  <c r="D112" i="5"/>
  <c r="D111" i="5" s="1"/>
  <c r="D28" i="5"/>
  <c r="E263" i="15"/>
  <c r="D264" i="15"/>
  <c r="D266" i="15" l="1"/>
  <c r="E264" i="15"/>
  <c r="D99" i="5"/>
  <c r="D101" i="5" s="1"/>
  <c r="D98" i="5" s="1"/>
  <c r="D22" i="5"/>
  <c r="D131" i="15"/>
  <c r="E131" i="15" s="1"/>
  <c r="E117" i="15"/>
  <c r="C105" i="15"/>
  <c r="E105" i="15" s="1"/>
  <c r="E91" i="15"/>
  <c r="D314" i="14"/>
  <c r="D315" i="14"/>
  <c r="D251" i="14"/>
  <c r="D256" i="14"/>
  <c r="E48" i="9"/>
  <c r="F48" i="9" s="1"/>
  <c r="C271" i="15"/>
  <c r="C312" i="14"/>
  <c r="E310" i="14"/>
  <c r="F310" i="14" s="1"/>
  <c r="C313" i="14" l="1"/>
  <c r="E312" i="14"/>
  <c r="F312" i="14" s="1"/>
  <c r="D318" i="14"/>
  <c r="D267" i="15"/>
  <c r="E266" i="15"/>
  <c r="D257" i="14"/>
  <c r="D269" i="15" l="1"/>
  <c r="E269" i="15" s="1"/>
  <c r="D268" i="15"/>
  <c r="E267" i="15"/>
  <c r="C251" i="14"/>
  <c r="C314" i="14"/>
  <c r="C315" i="14"/>
  <c r="C256" i="14"/>
  <c r="E313" i="14"/>
  <c r="F313" i="14" s="1"/>
  <c r="F315" i="14" l="1"/>
  <c r="E315" i="14"/>
  <c r="D271" i="15"/>
  <c r="E271" i="15" s="1"/>
  <c r="E268" i="15"/>
  <c r="C257" i="14"/>
  <c r="E256" i="14"/>
  <c r="F256" i="14" s="1"/>
  <c r="C318" i="14"/>
  <c r="E314" i="14"/>
  <c r="F314" i="14" s="1"/>
  <c r="F251" i="14"/>
  <c r="E251" i="14"/>
  <c r="F318" i="14" l="1"/>
  <c r="E318" i="14"/>
  <c r="F257" i="14"/>
  <c r="E257" i="14"/>
</calcChain>
</file>

<file path=xl/sharedStrings.xml><?xml version="1.0" encoding="utf-8"?>
<sst xmlns="http://schemas.openxmlformats.org/spreadsheetml/2006/main" count="2302" uniqueCount="980">
  <si>
    <t>MILFORD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</si>
  <si>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</si>
  <si>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</si>
  <si>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</si>
  <si>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</si>
  <si>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</si>
  <si>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</si>
  <si>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</si>
  <si>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</si>
  <si>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</si>
  <si>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</si>
  <si>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</si>
  <si>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</si>
  <si>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</si>
  <si>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</si>
  <si>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</si>
  <si>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</si>
  <si>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</si>
  <si>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</si>
  <si>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</si>
  <si>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</si>
  <si>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</si>
  <si>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</si>
  <si>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</si>
  <si>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</si>
  <si>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</si>
  <si>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</si>
  <si>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</si>
  <si>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</si>
  <si>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</si>
  <si>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</si>
  <si>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</si>
  <si>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</si>
  <si>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</si>
  <si>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</si>
  <si>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</si>
  <si>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</si>
  <si>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</si>
  <si>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</si>
  <si>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</si>
  <si>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</si>
  <si>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</si>
  <si>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</si>
  <si>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</si>
  <si>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</si>
  <si>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</si>
  <si>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</si>
  <si>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</si>
  <si>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</si>
  <si>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</si>
  <si>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</si>
  <si>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</si>
  <si>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</si>
  <si>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</si>
  <si>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</si>
  <si>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</si>
  <si>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</si>
  <si>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</si>
  <si>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</si>
  <si>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</si>
  <si>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</si>
  <si>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</si>
  <si>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</si>
  <si>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</si>
  <si>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</si>
  <si>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</si>
  <si>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</si>
  <si>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</si>
  <si>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</si>
  <si>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</si>
  <si>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</si>
  <si>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</si>
  <si>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</si>
  <si>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</si>
  <si>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</si>
  <si>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</si>
  <si>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</si>
  <si>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</si>
  <si>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</si>
  <si>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</si>
  <si>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</si>
  <si>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</si>
  <si>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</si>
  <si>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</si>
  <si>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</si>
  <si>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</si>
  <si>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</si>
  <si>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</si>
  <si>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</si>
  <si>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</si>
  <si>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</si>
  <si>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</si>
  <si>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</si>
  <si>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</si>
  <si>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</si>
  <si>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</si>
  <si>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</si>
  <si>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</si>
  <si>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</si>
  <si>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</si>
  <si>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</si>
  <si>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</si>
  <si>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</si>
  <si>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</si>
  <si>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</si>
  <si>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</si>
  <si>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</si>
  <si>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</si>
  <si>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</si>
  <si>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</si>
  <si>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</si>
  <si>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</si>
  <si>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</si>
  <si>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</si>
  <si>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</si>
  <si>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</si>
  <si>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</si>
  <si>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</si>
  <si>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</si>
  <si>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</si>
  <si>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</si>
  <si>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</si>
  <si>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</si>
  <si>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</si>
  <si>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</si>
  <si>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</si>
  <si>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</si>
  <si>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</si>
  <si>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</si>
  <si>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</si>
  <si>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</si>
  <si>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</si>
  <si>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</si>
  <si>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</si>
  <si>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</si>
  <si>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</si>
  <si>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</si>
  <si>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</si>
  <si>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</si>
  <si>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</si>
  <si>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</si>
  <si>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</si>
  <si>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</si>
  <si>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</si>
  <si>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</si>
  <si>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</si>
  <si>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</si>
  <si>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</si>
  <si>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</si>
  <si>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</si>
  <si>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</si>
  <si>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</si>
  <si>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</si>
  <si>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</si>
  <si>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</si>
  <si>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</si>
  <si>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</si>
  <si>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</si>
  <si>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</si>
  <si>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</si>
  <si>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</si>
  <si>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</si>
  <si>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</si>
  <si>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</si>
  <si>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</si>
  <si>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</si>
  <si>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</si>
  <si>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</si>
  <si>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</si>
  <si>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</si>
  <si>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</si>
  <si>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</si>
  <si>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</si>
  <si>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</si>
  <si>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</si>
  <si>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</si>
  <si>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</si>
  <si>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</si>
  <si>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</si>
  <si>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</si>
  <si>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</si>
  <si>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</si>
  <si>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</si>
  <si>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</si>
  <si>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</si>
  <si>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</si>
  <si>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</si>
  <si>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</si>
  <si>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</si>
  <si>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</si>
  <si>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</si>
  <si>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</si>
  <si>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</si>
  <si>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</si>
  <si>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</si>
  <si>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</si>
  <si>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</si>
  <si>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</si>
  <si>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</si>
  <si>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</si>
  <si>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</si>
  <si>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</si>
  <si>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</si>
  <si>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</si>
  <si>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</si>
  <si>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</si>
  <si>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</si>
  <si>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</si>
  <si>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</si>
  <si>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</si>
  <si>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</si>
  <si>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</si>
  <si>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</si>
  <si>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</si>
  <si>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</si>
  <si>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</si>
  <si>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</si>
  <si>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</si>
  <si>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</si>
  <si>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</si>
  <si>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</si>
  <si>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</si>
  <si>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</si>
  <si>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</si>
  <si>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</si>
  <si>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</si>
  <si>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</si>
  <si>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</si>
  <si>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</si>
  <si>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</si>
  <si>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</si>
  <si>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</si>
  <si>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</si>
  <si>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</si>
  <si>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</si>
  <si>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</si>
  <si>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</si>
  <si>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</si>
  <si>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</si>
  <si>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</si>
  <si>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</si>
  <si>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</si>
  <si>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</si>
  <si>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</si>
  <si>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</si>
  <si>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</si>
  <si>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</si>
  <si>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</si>
  <si>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</si>
  <si>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</si>
  <si>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</si>
  <si>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</si>
  <si>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</si>
  <si>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</si>
  <si>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</si>
  <si>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</si>
  <si>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</si>
  <si>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</si>
  <si>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</si>
  <si>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</si>
  <si>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</si>
  <si>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</si>
  <si>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</si>
  <si>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</si>
  <si>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</si>
  <si>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</si>
  <si>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</si>
  <si>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</si>
  <si>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</si>
  <si>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</si>
  <si>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</si>
  <si>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</si>
  <si>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</si>
  <si>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</si>
  <si>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</si>
  <si>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</si>
  <si>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</si>
  <si>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</si>
  <si>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</si>
  <si>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</si>
  <si>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</si>
  <si>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</si>
  <si>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</si>
  <si>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</si>
  <si>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</si>
  <si>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</si>
  <si>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</si>
  <si>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</si>
  <si>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</si>
  <si>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</si>
  <si>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</si>
  <si>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</si>
  <si>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</si>
  <si>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</si>
  <si>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</si>
  <si>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</si>
  <si>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</si>
  <si>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</si>
  <si>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</si>
  <si>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</si>
  <si>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</si>
  <si>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</si>
  <si>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</si>
  <si>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</si>
  <si>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</si>
  <si>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</si>
  <si>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</si>
  <si>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</si>
  <si>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</si>
  <si>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</si>
  <si>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</si>
  <si>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</si>
  <si>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</si>
  <si>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</si>
  <si>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</si>
  <si>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</si>
  <si>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</si>
  <si>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</si>
  <si>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</si>
  <si>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</si>
  <si>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</si>
  <si>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</si>
  <si>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</si>
  <si>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</si>
  <si>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</si>
  <si>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</si>
  <si>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</si>
  <si>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</si>
  <si>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</si>
  <si>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</si>
  <si>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</si>
  <si>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</si>
  <si>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</si>
  <si>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</si>
  <si>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</si>
  <si>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</si>
  <si>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</si>
  <si>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</si>
  <si>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</si>
  <si>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</si>
  <si>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</si>
  <si>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</si>
  <si>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</si>
  <si>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</si>
  <si>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</si>
  <si>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</si>
  <si>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</si>
  <si>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</si>
  <si>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</si>
  <si>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</si>
  <si>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</si>
  <si>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</si>
  <si>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</si>
  <si>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</si>
  <si>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</si>
  <si>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</si>
  <si>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</si>
  <si>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</si>
  <si>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</si>
  <si>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</si>
  <si>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</si>
  <si>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</si>
  <si>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</si>
  <si>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</si>
  <si>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</si>
  <si>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</si>
  <si>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</si>
  <si>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</si>
  <si>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</si>
  <si>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</si>
  <si>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</si>
  <si>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</si>
  <si>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</si>
  <si>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</si>
  <si>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</si>
  <si>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</si>
  <si>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</si>
  <si>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</si>
  <si>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</si>
  <si>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</si>
  <si>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</si>
  <si>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</si>
  <si>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</si>
  <si>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</si>
  <si>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</si>
  <si>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</si>
  <si>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</si>
  <si>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</si>
  <si>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</si>
  <si>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</si>
  <si>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</si>
  <si>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</si>
  <si>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</si>
  <si>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</si>
  <si>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</si>
  <si>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</si>
  <si>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</si>
  <si>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</si>
  <si>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</si>
  <si>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</si>
  <si>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</si>
  <si>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</si>
  <si>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</si>
  <si>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</si>
  <si>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</si>
  <si>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</si>
  <si>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</si>
  <si>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</si>
  <si>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</si>
  <si>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</si>
  <si>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</si>
  <si>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</si>
  <si>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</si>
  <si>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</si>
  <si>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</si>
  <si>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</si>
  <si>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</si>
  <si>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</si>
  <si>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</si>
  <si>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</si>
  <si>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</si>
  <si>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</si>
  <si>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</si>
  <si>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</si>
  <si>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</si>
  <si>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</si>
  <si>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</si>
  <si>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</si>
  <si>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</si>
  <si>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</si>
  <si>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</si>
  <si>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</si>
  <si>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</si>
  <si>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</si>
  <si>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</si>
  <si>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</si>
  <si>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</si>
  <si>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</si>
  <si>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</si>
  <si>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</si>
  <si>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</si>
  <si>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</si>
  <si>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</si>
  <si>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</si>
  <si>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</si>
  <si>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</si>
  <si>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</si>
  <si>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</si>
  <si>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</si>
  <si>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</si>
  <si>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</si>
  <si>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</si>
  <si>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</si>
  <si>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</si>
  <si>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</si>
  <si>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</si>
  <si>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</si>
  <si>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</si>
  <si>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</si>
  <si>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</si>
  <si>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</si>
  <si>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</si>
  <si>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</si>
  <si>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</si>
  <si>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</si>
  <si>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</si>
  <si>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</si>
  <si>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</si>
  <si>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</si>
  <si>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</si>
  <si>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</si>
  <si>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</si>
  <si>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</si>
  <si>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</si>
  <si>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</si>
  <si>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</si>
  <si>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</si>
  <si>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</si>
  <si>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</si>
  <si>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MILFORD HEALTH &amp; MEDICAL,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</si>
  <si>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</si>
  <si>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</si>
  <si>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</si>
  <si>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</si>
  <si>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</si>
  <si>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</si>
  <si>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</si>
  <si>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</si>
  <si>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</si>
  <si>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</si>
  <si>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</si>
  <si>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</si>
  <si>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</si>
  <si>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</si>
  <si>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</si>
  <si>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</si>
  <si>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</si>
  <si>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</si>
  <si>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</si>
  <si>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</si>
  <si>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</si>
  <si>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</si>
  <si>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</si>
  <si>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</si>
  <si>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</si>
  <si>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</si>
  <si>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</si>
  <si>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</si>
  <si>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</si>
  <si>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</si>
  <si>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</si>
  <si>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</si>
  <si>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</si>
  <si>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</si>
  <si>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</si>
  <si>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</si>
  <si>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</si>
  <si>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</si>
  <si>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</si>
  <si>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</si>
  <si>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</si>
  <si>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</si>
  <si>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</si>
  <si>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</si>
  <si>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</si>
  <si>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</si>
  <si>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</si>
  <si>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</si>
  <si>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</si>
  <si>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</si>
  <si>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</si>
  <si>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</si>
  <si>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</si>
  <si>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</si>
  <si>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</si>
  <si>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</si>
  <si>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</si>
  <si>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</si>
  <si>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</si>
  <si>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</si>
  <si>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</si>
  <si>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</si>
  <si>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</si>
  <si>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</si>
  <si>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</si>
  <si>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</si>
  <si>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</si>
  <si>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</si>
  <si>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</si>
  <si>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</si>
  <si>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</si>
  <si>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</si>
  <si>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</si>
  <si>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</si>
  <si>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</si>
  <si>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</si>
  <si>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</si>
  <si>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</si>
  <si>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</si>
  <si>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</si>
  <si>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</si>
  <si>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</si>
  <si>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</si>
  <si>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</si>
  <si>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</si>
  <si>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</si>
  <si>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</si>
  <si>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</si>
  <si>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</si>
  <si>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</si>
  <si>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</si>
  <si>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</si>
  <si>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</si>
  <si>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</si>
  <si>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</si>
  <si>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</si>
  <si>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</si>
  <si>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</si>
  <si>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</si>
  <si>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</si>
  <si>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</si>
  <si>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</si>
  <si>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</si>
  <si>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xxxx</t>
  </si>
  <si>
    <t>Milford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</si>
  <si>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</si>
  <si>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</si>
  <si>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</si>
  <si>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MilfHospBostonPostRd WalkIn Ctr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</si>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</sst>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1" fillId="0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wrapText="1"/>
    </xf>
    <xf numFmtId="164" fontId="12" fillId="0" borderId="13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4" fontId="10" fillId="0" borderId="9" xfId="0" applyNumberFormat="1" applyFont="1" applyBorder="1" applyAlignment="1"/>
    <xf numFmtId="164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4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4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4" fontId="15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14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4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4" fontId="6" fillId="0" borderId="1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8" xfId="0" applyNumberFormat="1" applyFont="1" applyFill="1" applyBorder="1" applyAlignment="1">
      <alignment horizontal="left"/>
    </xf>
    <xf numFmtId="164" fontId="6" fillId="33" borderId="19" xfId="0" applyNumberFormat="1" applyFont="1" applyFill="1" applyBorder="1" applyAlignment="1">
      <alignment horizontal="center" wrapText="1"/>
    </xf>
    <xf numFmtId="164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9" xfId="0" applyNumberFormat="1" applyFont="1" applyBorder="1" applyAlignment="1"/>
    <xf numFmtId="164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2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2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7" fillId="0" borderId="9" xfId="0" applyNumberFormat="1" applyFont="1" applyBorder="1" applyAlignment="1"/>
    <xf numFmtId="164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4" fontId="8" fillId="0" borderId="9" xfId="0" applyNumberFormat="1" applyFont="1" applyBorder="1" applyAlignment="1"/>
    <xf numFmtId="166" fontId="8" fillId="0" borderId="9" xfId="0" applyNumberFormat="1" applyFont="1" applyBorder="1" applyAlignment="1">
      <alignment horizontal="right"/>
    </xf>
    <xf numFmtId="166" fontId="8" fillId="0" borderId="9" xfId="28" applyNumberFormat="1" applyFont="1" applyBorder="1" applyAlignment="1">
      <alignment horizontal="right"/>
    </xf>
    <xf numFmtId="166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2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4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4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66" fontId="13" fillId="0" borderId="9" xfId="0" applyNumberFormat="1" applyFont="1" applyBorder="1" applyAlignment="1">
      <alignment vertical="top"/>
    </xf>
    <xf numFmtId="171" fontId="13" fillId="0" borderId="9" xfId="28" applyNumberFormat="1" applyFont="1" applyBorder="1" applyAlignment="1">
      <alignment vertical="top"/>
    </xf>
    <xf numFmtId="166" fontId="19" fillId="0" borderId="9" xfId="0" applyNumberFormat="1" applyFont="1" applyBorder="1" applyAlignment="1">
      <alignment vertical="top"/>
    </xf>
    <xf numFmtId="171" fontId="19" fillId="0" borderId="9" xfId="28" applyNumberFormat="1" applyFont="1" applyBorder="1" applyAlignment="1">
      <alignment vertical="top"/>
    </xf>
    <xf numFmtId="171" fontId="13" fillId="0" borderId="9" xfId="0" applyNumberFormat="1" applyFont="1" applyBorder="1" applyAlignment="1">
      <alignment vertical="top"/>
    </xf>
    <xf numFmtId="181" fontId="13" fillId="0" borderId="9" xfId="0" applyNumberFormat="1" applyFont="1" applyBorder="1" applyAlignment="1">
      <alignment horizontal="right" vertical="top"/>
    </xf>
    <xf numFmtId="168" fontId="13" fillId="0" borderId="9" xfId="28" applyNumberFormat="1" applyFont="1" applyBorder="1" applyAlignment="1">
      <alignment vertical="top"/>
    </xf>
    <xf numFmtId="181" fontId="19" fillId="0" borderId="9" xfId="0" applyNumberFormat="1" applyFont="1" applyBorder="1" applyAlignment="1">
      <alignment horizontal="right" vertical="top"/>
    </xf>
    <xf numFmtId="168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0" fontId="13" fillId="0" borderId="9" xfId="28" applyNumberFormat="1" applyFont="1" applyBorder="1" applyProtection="1">
      <protection locked="0"/>
    </xf>
    <xf numFmtId="170" fontId="13" fillId="0" borderId="9" xfId="0" applyNumberFormat="1" applyFont="1" applyBorder="1" applyProtection="1">
      <protection locked="0"/>
    </xf>
    <xf numFmtId="170" fontId="19" fillId="0" borderId="9" xfId="28" applyNumberFormat="1" applyFont="1" applyBorder="1" applyProtection="1">
      <protection locked="0"/>
    </xf>
    <xf numFmtId="170" fontId="19" fillId="0" borderId="9" xfId="0" applyNumberFormat="1" applyFont="1" applyBorder="1" applyProtection="1">
      <protection locked="0"/>
    </xf>
    <xf numFmtId="182" fontId="13" fillId="0" borderId="9" xfId="0" applyNumberFormat="1" applyFont="1" applyBorder="1" applyProtection="1">
      <protection locked="0"/>
    </xf>
    <xf numFmtId="182" fontId="19" fillId="0" borderId="9" xfId="0" applyNumberFormat="1" applyFont="1" applyBorder="1" applyProtection="1">
      <protection locked="0"/>
    </xf>
    <xf numFmtId="183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4" fontId="13" fillId="0" borderId="9" xfId="28" applyNumberFormat="1" applyFont="1" applyBorder="1" applyProtection="1">
      <protection locked="0"/>
    </xf>
    <xf numFmtId="185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86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2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19" xfId="0" applyNumberFormat="1" applyFont="1" applyFill="1" applyBorder="1" applyAlignment="1"/>
    <xf numFmtId="164" fontId="1" fillId="33" borderId="20" xfId="0" applyNumberFormat="1" applyFont="1" applyFill="1" applyBorder="1" applyAlignment="1"/>
    <xf numFmtId="164" fontId="1" fillId="33" borderId="18" xfId="0" applyNumberFormat="1" applyFont="1" applyFill="1" applyBorder="1" applyAlignment="1"/>
    <xf numFmtId="0" fontId="5" fillId="0" borderId="13" xfId="0" applyFont="1" applyBorder="1" applyAlignment="1"/>
    <xf numFmtId="0" fontId="5" fillId="0" borderId="8" xfId="0" applyFont="1" applyBorder="1" applyAlignment="1"/>
    <xf numFmtId="164" fontId="6" fillId="0" borderId="1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9" xfId="0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23" xfId="0" applyNumberFormat="1" applyFont="1" applyBorder="1" applyAlignment="1">
      <alignment horizontal="center" wrapText="1"/>
    </xf>
    <xf numFmtId="164" fontId="6" fillId="0" borderId="24" xfId="0" applyNumberFormat="1" applyFont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7" xfId="0" applyNumberFormat="1" applyFont="1" applyFill="1" applyBorder="1" applyAlignment="1">
      <alignment horizontal="center" wrapText="1"/>
    </xf>
    <xf numFmtId="164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1" xfId="0" applyNumberFormat="1" applyFont="1" applyBorder="1" applyAlignment="1"/>
    <xf numFmtId="164" fontId="10" fillId="0" borderId="30" xfId="0" applyNumberFormat="1" applyFont="1" applyBorder="1" applyAlignment="1"/>
    <xf numFmtId="164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1078653</v>
      </c>
      <c r="D13" s="23">
        <v>303667</v>
      </c>
      <c r="E13" s="23">
        <f t="shared" ref="E13:E22" si="0">D13-C13</f>
        <v>-774986</v>
      </c>
      <c r="F13" s="24">
        <f t="shared" ref="F13:F22" si="1">IF(C13=0,0,E13/C13)</f>
        <v>-0.71847572852437258</v>
      </c>
    </row>
    <row r="14" spans="1:8" ht="24" customHeight="1" x14ac:dyDescent="0.2">
      <c r="A14" s="21">
        <v>2</v>
      </c>
      <c r="B14" s="22" t="s">
        <v>17</v>
      </c>
      <c r="C14" s="23">
        <v>221990</v>
      </c>
      <c r="D14" s="23">
        <v>223228</v>
      </c>
      <c r="E14" s="23">
        <f t="shared" si="0"/>
        <v>1238</v>
      </c>
      <c r="F14" s="24">
        <f t="shared" si="1"/>
        <v>5.5768277850353617E-3</v>
      </c>
    </row>
    <row r="15" spans="1:8" ht="32.25" customHeight="1" x14ac:dyDescent="0.2">
      <c r="A15" s="21">
        <v>3</v>
      </c>
      <c r="B15" s="22" t="s">
        <v>18</v>
      </c>
      <c r="C15" s="23">
        <v>13535241</v>
      </c>
      <c r="D15" s="23">
        <v>12226798</v>
      </c>
      <c r="E15" s="23">
        <f t="shared" si="0"/>
        <v>-1308443</v>
      </c>
      <c r="F15" s="24">
        <f t="shared" si="1"/>
        <v>-9.6669353726320795E-2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778225</v>
      </c>
      <c r="D19" s="23">
        <v>748785</v>
      </c>
      <c r="E19" s="23">
        <f t="shared" si="0"/>
        <v>-29440</v>
      </c>
      <c r="F19" s="24">
        <f t="shared" si="1"/>
        <v>-3.7829676507436794E-2</v>
      </c>
    </row>
    <row r="20" spans="1:11" ht="24" customHeight="1" x14ac:dyDescent="0.2">
      <c r="A20" s="21">
        <v>8</v>
      </c>
      <c r="B20" s="22" t="s">
        <v>23</v>
      </c>
      <c r="C20" s="23">
        <v>581707</v>
      </c>
      <c r="D20" s="23">
        <v>623576</v>
      </c>
      <c r="E20" s="23">
        <f t="shared" si="0"/>
        <v>41869</v>
      </c>
      <c r="F20" s="24">
        <f t="shared" si="1"/>
        <v>7.1976097932464275E-2</v>
      </c>
    </row>
    <row r="21" spans="1:11" ht="24" customHeight="1" x14ac:dyDescent="0.2">
      <c r="A21" s="21">
        <v>9</v>
      </c>
      <c r="B21" s="22" t="s">
        <v>24</v>
      </c>
      <c r="C21" s="23">
        <v>747089</v>
      </c>
      <c r="D21" s="23">
        <v>718834</v>
      </c>
      <c r="E21" s="23">
        <f t="shared" si="0"/>
        <v>-28255</v>
      </c>
      <c r="F21" s="24">
        <f t="shared" si="1"/>
        <v>-3.7820125848459819E-2</v>
      </c>
    </row>
    <row r="22" spans="1:11" ht="24" customHeight="1" x14ac:dyDescent="0.25">
      <c r="A22" s="25"/>
      <c r="B22" s="26" t="s">
        <v>25</v>
      </c>
      <c r="C22" s="27">
        <f>SUM(C13:C21)</f>
        <v>16942905</v>
      </c>
      <c r="D22" s="27">
        <f>SUM(D13:D21)</f>
        <v>14844888</v>
      </c>
      <c r="E22" s="27">
        <f t="shared" si="0"/>
        <v>-2098017</v>
      </c>
      <c r="F22" s="28">
        <f t="shared" si="1"/>
        <v>-0.12382864685837523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682345</v>
      </c>
      <c r="D25" s="23">
        <v>722904</v>
      </c>
      <c r="E25" s="23">
        <f>D25-C25</f>
        <v>40559</v>
      </c>
      <c r="F25" s="24">
        <f>IF(C25=0,0,E25/C25)</f>
        <v>5.9440605558771592E-2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1060894</v>
      </c>
      <c r="D28" s="23">
        <v>1076481</v>
      </c>
      <c r="E28" s="23">
        <f>D28-C28</f>
        <v>15587</v>
      </c>
      <c r="F28" s="24">
        <f>IF(C28=0,0,E28/C28)</f>
        <v>1.4692325529223466E-2</v>
      </c>
    </row>
    <row r="29" spans="1:11" ht="24" customHeight="1" x14ac:dyDescent="0.25">
      <c r="A29" s="25"/>
      <c r="B29" s="26" t="s">
        <v>32</v>
      </c>
      <c r="C29" s="27">
        <f>SUM(C25:C28)</f>
        <v>1743239</v>
      </c>
      <c r="D29" s="27">
        <f>SUM(D25:D28)</f>
        <v>1799385</v>
      </c>
      <c r="E29" s="27">
        <f>D29-C29</f>
        <v>56146</v>
      </c>
      <c r="F29" s="28">
        <f>IF(C29=0,0,E29/C29)</f>
        <v>3.2207861343166368E-2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749093</v>
      </c>
      <c r="D31" s="23">
        <v>777498</v>
      </c>
      <c r="E31" s="23">
        <f>D31-C31</f>
        <v>28405</v>
      </c>
      <c r="F31" s="24">
        <f>IF(C31=0,0,E31/C31)</f>
        <v>3.7919190274104821E-2</v>
      </c>
    </row>
    <row r="32" spans="1:11" ht="24" customHeight="1" x14ac:dyDescent="0.2">
      <c r="A32" s="21">
        <v>6</v>
      </c>
      <c r="B32" s="22" t="s">
        <v>34</v>
      </c>
      <c r="C32" s="23">
        <v>29687316</v>
      </c>
      <c r="D32" s="23">
        <v>27793697</v>
      </c>
      <c r="E32" s="23">
        <f>D32-C32</f>
        <v>-1893619</v>
      </c>
      <c r="F32" s="24">
        <f>IF(C32=0,0,E32/C32)</f>
        <v>-6.3785456388176009E-2</v>
      </c>
    </row>
    <row r="33" spans="1:8" ht="24" customHeight="1" x14ac:dyDescent="0.2">
      <c r="A33" s="21">
        <v>7</v>
      </c>
      <c r="B33" s="22" t="s">
        <v>35</v>
      </c>
      <c r="C33" s="23">
        <v>1220276</v>
      </c>
      <c r="D33" s="23">
        <v>719613</v>
      </c>
      <c r="E33" s="23">
        <f>D33-C33</f>
        <v>-500663</v>
      </c>
      <c r="F33" s="24">
        <f>IF(C33=0,0,E33/C33)</f>
        <v>-0.4102866892407947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71103559</v>
      </c>
      <c r="D36" s="23">
        <v>72086645</v>
      </c>
      <c r="E36" s="23">
        <f>D36-C36</f>
        <v>983086</v>
      </c>
      <c r="F36" s="24">
        <f>IF(C36=0,0,E36/C36)</f>
        <v>1.3826115230040735E-2</v>
      </c>
    </row>
    <row r="37" spans="1:8" ht="24" customHeight="1" x14ac:dyDescent="0.2">
      <c r="A37" s="21">
        <v>2</v>
      </c>
      <c r="B37" s="22" t="s">
        <v>39</v>
      </c>
      <c r="C37" s="23">
        <v>42570348</v>
      </c>
      <c r="D37" s="23">
        <v>45954913</v>
      </c>
      <c r="E37" s="23">
        <f>D37-C37</f>
        <v>3384565</v>
      </c>
      <c r="F37" s="24">
        <f>IF(C37=0,0,E37/C37)</f>
        <v>7.9505222743304793E-2</v>
      </c>
    </row>
    <row r="38" spans="1:8" ht="24" customHeight="1" x14ac:dyDescent="0.25">
      <c r="A38" s="25"/>
      <c r="B38" s="26" t="s">
        <v>40</v>
      </c>
      <c r="C38" s="27">
        <f>C36-C37</f>
        <v>28533211</v>
      </c>
      <c r="D38" s="27">
        <f>D36-D37</f>
        <v>26131732</v>
      </c>
      <c r="E38" s="27">
        <f>D38-C38</f>
        <v>-2401479</v>
      </c>
      <c r="F38" s="28">
        <f>IF(C38=0,0,E38/C38)</f>
        <v>-8.4164344489654527E-2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644126</v>
      </c>
      <c r="D40" s="23">
        <v>238283</v>
      </c>
      <c r="E40" s="23">
        <f>D40-C40</f>
        <v>-405843</v>
      </c>
      <c r="F40" s="24">
        <f>IF(C40=0,0,E40/C40)</f>
        <v>-0.63006771966975406</v>
      </c>
    </row>
    <row r="41" spans="1:8" ht="24" customHeight="1" x14ac:dyDescent="0.25">
      <c r="A41" s="25"/>
      <c r="B41" s="26" t="s">
        <v>42</v>
      </c>
      <c r="C41" s="27">
        <f>+C38+C40</f>
        <v>29177337</v>
      </c>
      <c r="D41" s="27">
        <f>+D38+D40</f>
        <v>26370015</v>
      </c>
      <c r="E41" s="27">
        <f>D41-C41</f>
        <v>-2807322</v>
      </c>
      <c r="F41" s="28">
        <f>IF(C41=0,0,E41/C41)</f>
        <v>-9.6215840396949179E-2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79520166</v>
      </c>
      <c r="D43" s="27">
        <f>D22+D29+D31+D32+D33+D41</f>
        <v>72305096</v>
      </c>
      <c r="E43" s="27">
        <f>D43-C43</f>
        <v>-7215070</v>
      </c>
      <c r="F43" s="28">
        <f>IF(C43=0,0,E43/C43)</f>
        <v>-9.0732582223231273E-2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4324984</v>
      </c>
      <c r="D49" s="23">
        <v>3958361</v>
      </c>
      <c r="E49" s="23">
        <f t="shared" ref="E49:E56" si="2">D49-C49</f>
        <v>-366623</v>
      </c>
      <c r="F49" s="24">
        <f t="shared" ref="F49:F56" si="3">IF(C49=0,0,E49/C49)</f>
        <v>-8.4768637294380736E-2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6257395</v>
      </c>
      <c r="D50" s="23">
        <v>5811602</v>
      </c>
      <c r="E50" s="23">
        <f t="shared" si="2"/>
        <v>-445793</v>
      </c>
      <c r="F50" s="24">
        <f t="shared" si="3"/>
        <v>-7.1242585772513967E-2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2372068</v>
      </c>
      <c r="D51" s="23">
        <v>1885402</v>
      </c>
      <c r="E51" s="23">
        <f t="shared" si="2"/>
        <v>-486666</v>
      </c>
      <c r="F51" s="24">
        <f t="shared" si="3"/>
        <v>-0.20516528193964084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833487</v>
      </c>
      <c r="D54" s="23">
        <v>892497</v>
      </c>
      <c r="E54" s="23">
        <f t="shared" si="2"/>
        <v>59010</v>
      </c>
      <c r="F54" s="24">
        <f t="shared" si="3"/>
        <v>7.0798944674602002E-2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2990484</v>
      </c>
      <c r="D55" s="23">
        <v>3133999</v>
      </c>
      <c r="E55" s="23">
        <f t="shared" si="2"/>
        <v>143515</v>
      </c>
      <c r="F55" s="24">
        <f t="shared" si="3"/>
        <v>4.799055938771115E-2</v>
      </c>
    </row>
    <row r="56" spans="1:6" ht="24" customHeight="1" x14ac:dyDescent="0.25">
      <c r="A56" s="25"/>
      <c r="B56" s="26" t="s">
        <v>54</v>
      </c>
      <c r="C56" s="27">
        <f>SUM(C49:C55)</f>
        <v>16778418</v>
      </c>
      <c r="D56" s="27">
        <f>SUM(D49:D55)</f>
        <v>15681861</v>
      </c>
      <c r="E56" s="27">
        <f t="shared" si="2"/>
        <v>-1096557</v>
      </c>
      <c r="F56" s="28">
        <f t="shared" si="3"/>
        <v>-6.535520810126437E-2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2783548</v>
      </c>
      <c r="D60" s="23">
        <v>1891051</v>
      </c>
      <c r="E60" s="23">
        <f>D60-C60</f>
        <v>-892497</v>
      </c>
      <c r="F60" s="24">
        <f>IF(C60=0,0,E60/C60)</f>
        <v>-0.32063287573988308</v>
      </c>
    </row>
    <row r="61" spans="1:6" ht="24" customHeight="1" x14ac:dyDescent="0.25">
      <c r="A61" s="25"/>
      <c r="B61" s="26" t="s">
        <v>58</v>
      </c>
      <c r="C61" s="27">
        <f>SUM(C59:C60)</f>
        <v>2783548</v>
      </c>
      <c r="D61" s="27">
        <f>SUM(D59:D60)</f>
        <v>1891051</v>
      </c>
      <c r="E61" s="27">
        <f>D61-C61</f>
        <v>-892497</v>
      </c>
      <c r="F61" s="28">
        <f>IF(C61=0,0,E61/C61)</f>
        <v>-0.32063287573988308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20708832</v>
      </c>
      <c r="D63" s="23">
        <v>26780814</v>
      </c>
      <c r="E63" s="23">
        <f>D63-C63</f>
        <v>6071982</v>
      </c>
      <c r="F63" s="24">
        <f>IF(C63=0,0,E63/C63)</f>
        <v>0.29320736196034619</v>
      </c>
    </row>
    <row r="64" spans="1:6" ht="24" customHeight="1" x14ac:dyDescent="0.2">
      <c r="A64" s="21">
        <v>4</v>
      </c>
      <c r="B64" s="22" t="s">
        <v>60</v>
      </c>
      <c r="C64" s="23">
        <v>1150469</v>
      </c>
      <c r="D64" s="23">
        <v>1139396</v>
      </c>
      <c r="E64" s="23">
        <f>D64-C64</f>
        <v>-11073</v>
      </c>
      <c r="F64" s="24">
        <f>IF(C64=0,0,E64/C64)</f>
        <v>-9.6247704197157859E-3</v>
      </c>
    </row>
    <row r="65" spans="1:6" ht="24" customHeight="1" x14ac:dyDescent="0.25">
      <c r="A65" s="25"/>
      <c r="B65" s="26" t="s">
        <v>61</v>
      </c>
      <c r="C65" s="27">
        <f>SUM(C61:C64)</f>
        <v>24642849</v>
      </c>
      <c r="D65" s="27">
        <f>SUM(D61:D64)</f>
        <v>29811261</v>
      </c>
      <c r="E65" s="27">
        <f>D65-C65</f>
        <v>5168412</v>
      </c>
      <c r="F65" s="28">
        <f>IF(C65=0,0,E65/C65)</f>
        <v>0.20973273017255431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36805806</v>
      </c>
      <c r="D70" s="23">
        <v>25485476</v>
      </c>
      <c r="E70" s="23">
        <f>D70-C70</f>
        <v>-11320330</v>
      </c>
      <c r="F70" s="24">
        <f>IF(C70=0,0,E70/C70)</f>
        <v>-0.30756913732577951</v>
      </c>
    </row>
    <row r="71" spans="1:6" ht="24" customHeight="1" x14ac:dyDescent="0.2">
      <c r="A71" s="21">
        <v>2</v>
      </c>
      <c r="B71" s="22" t="s">
        <v>65</v>
      </c>
      <c r="C71" s="23">
        <v>689851</v>
      </c>
      <c r="D71" s="23">
        <v>716206</v>
      </c>
      <c r="E71" s="23">
        <f>D71-C71</f>
        <v>26355</v>
      </c>
      <c r="F71" s="24">
        <f>IF(C71=0,0,E71/C71)</f>
        <v>3.8203902002026523E-2</v>
      </c>
    </row>
    <row r="72" spans="1:6" ht="24" customHeight="1" x14ac:dyDescent="0.2">
      <c r="A72" s="21">
        <v>3</v>
      </c>
      <c r="B72" s="22" t="s">
        <v>66</v>
      </c>
      <c r="C72" s="23">
        <v>603242</v>
      </c>
      <c r="D72" s="23">
        <v>610292</v>
      </c>
      <c r="E72" s="23">
        <f>D72-C72</f>
        <v>7050</v>
      </c>
      <c r="F72" s="24">
        <f>IF(C72=0,0,E72/C72)</f>
        <v>1.1686852042795428E-2</v>
      </c>
    </row>
    <row r="73" spans="1:6" ht="24" customHeight="1" x14ac:dyDescent="0.25">
      <c r="A73" s="21"/>
      <c r="B73" s="26" t="s">
        <v>67</v>
      </c>
      <c r="C73" s="27">
        <f>SUM(C70:C72)</f>
        <v>38098899</v>
      </c>
      <c r="D73" s="27">
        <f>SUM(D70:D72)</f>
        <v>26811974</v>
      </c>
      <c r="E73" s="27">
        <f>D73-C73</f>
        <v>-11286925</v>
      </c>
      <c r="F73" s="28">
        <f>IF(C73=0,0,E73/C73)</f>
        <v>-0.29625331167706448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79520166</v>
      </c>
      <c r="D75" s="27">
        <f>D56+D65+D67+D73</f>
        <v>72305096</v>
      </c>
      <c r="E75" s="27">
        <f>D75-C75</f>
        <v>-7215070</v>
      </c>
      <c r="F75" s="28">
        <f>IF(C75=0,0,E75/C75)</f>
        <v>-9.0732582223231273E-2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activeCell="A3" sqref="A3:E3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88202602</v>
      </c>
      <c r="D11" s="51">
        <v>87766711</v>
      </c>
      <c r="E11" s="51">
        <v>83794463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1359817</v>
      </c>
      <c r="D12" s="49">
        <v>1545977</v>
      </c>
      <c r="E12" s="49">
        <v>1669876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89562419</v>
      </c>
      <c r="D13" s="51">
        <f>+D11+D12</f>
        <v>89312688</v>
      </c>
      <c r="E13" s="51">
        <f>+E11+E12</f>
        <v>85464339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92910297</v>
      </c>
      <c r="D14" s="49">
        <v>96215027</v>
      </c>
      <c r="E14" s="49">
        <v>93410584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-3347878</v>
      </c>
      <c r="D15" s="51">
        <f>+D13-D14</f>
        <v>-6902339</v>
      </c>
      <c r="E15" s="51">
        <f>+E13-E14</f>
        <v>-7946245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-2920902</v>
      </c>
      <c r="D16" s="49">
        <v>2214662</v>
      </c>
      <c r="E16" s="49">
        <v>3718367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-6268780</v>
      </c>
      <c r="D17" s="51">
        <f>D15+D16</f>
        <v>-4687677</v>
      </c>
      <c r="E17" s="51">
        <f>E15+E16</f>
        <v>-4227878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-3.8640574587354003E-2</v>
      </c>
      <c r="D20" s="169">
        <f>IF(+D27=0,0,+D24/+D27)</f>
        <v>-7.5412857468286798E-2</v>
      </c>
      <c r="E20" s="169">
        <f>IF(+E27=0,0,+E24/+E27)</f>
        <v>-8.9100738880921598E-2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-3.3712498362649862E-2</v>
      </c>
      <c r="D21" s="169">
        <f>IF(+D27=0,0,+D26/+D27)</f>
        <v>2.4196723711546329E-2</v>
      </c>
      <c r="E21" s="169">
        <f>IF(+E27=0,0,+E26/+E27)</f>
        <v>4.1693812250998531E-2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-7.2353072950003872E-2</v>
      </c>
      <c r="D22" s="169">
        <f>IF(+D27=0,0,+D28/+D27)</f>
        <v>-5.1216133756740473E-2</v>
      </c>
      <c r="E22" s="169">
        <f>IF(+E27=0,0,+E28/+E27)</f>
        <v>-4.7406926629923067E-2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-3347878</v>
      </c>
      <c r="D24" s="51">
        <f>+D15</f>
        <v>-6902339</v>
      </c>
      <c r="E24" s="51">
        <f>+E15</f>
        <v>-7946245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89562419</v>
      </c>
      <c r="D25" s="51">
        <f>+D13</f>
        <v>89312688</v>
      </c>
      <c r="E25" s="51">
        <f>+E13</f>
        <v>85464339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-2920902</v>
      </c>
      <c r="D26" s="51">
        <f>+D16</f>
        <v>2214662</v>
      </c>
      <c r="E26" s="51">
        <f>+E16</f>
        <v>3718367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86641517</v>
      </c>
      <c r="D27" s="51">
        <f>SUM(D25:D26)</f>
        <v>91527350</v>
      </c>
      <c r="E27" s="51">
        <f>SUM(E25:E26)</f>
        <v>89182706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-6268780</v>
      </c>
      <c r="D28" s="51">
        <f>+D17</f>
        <v>-4687677</v>
      </c>
      <c r="E28" s="51">
        <f>+E17</f>
        <v>-4227878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55437122</v>
      </c>
      <c r="D31" s="51">
        <v>45266281</v>
      </c>
      <c r="E31" s="52">
        <v>35488206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56632755</v>
      </c>
      <c r="D32" s="51">
        <v>46559374</v>
      </c>
      <c r="E32" s="51">
        <v>36814704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-9312558</v>
      </c>
      <c r="D33" s="51">
        <f>+D32-C32</f>
        <v>-10073381</v>
      </c>
      <c r="E33" s="51">
        <f>+E32-D32</f>
        <v>-9744670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0.85870000000000002</v>
      </c>
      <c r="D34" s="171">
        <f>IF(C32=0,0,+D33/C32)</f>
        <v>-0.17787199298356579</v>
      </c>
      <c r="E34" s="171">
        <f>IF(D32=0,0,+E33/D32)</f>
        <v>-0.20929555453215501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1.1747297051761336</v>
      </c>
      <c r="D38" s="269">
        <f>IF(+D40=0,0,+D39/+D40)</f>
        <v>1.1059532687049465</v>
      </c>
      <c r="E38" s="269">
        <f>IF(+E40=0,0,+E39/+E40)</f>
        <v>1.0414926248571956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19473593</v>
      </c>
      <c r="D39" s="270">
        <v>19238557</v>
      </c>
      <c r="E39" s="270">
        <v>17465246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16577084</v>
      </c>
      <c r="D40" s="270">
        <v>17395452</v>
      </c>
      <c r="E40" s="270">
        <v>16769438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13.577171062886288</v>
      </c>
      <c r="D42" s="271">
        <f>IF((D48/365)=0,0,+D45/(D48/365))</f>
        <v>11.688169973340118</v>
      </c>
      <c r="E42" s="271">
        <f>IF((E48/365)=0,0,+E45/(E48/365))</f>
        <v>9.8558311087537049</v>
      </c>
    </row>
    <row r="43" spans="1:14" ht="24" customHeight="1" x14ac:dyDescent="0.2">
      <c r="A43" s="17">
        <v>5</v>
      </c>
      <c r="B43" s="188" t="s">
        <v>16</v>
      </c>
      <c r="C43" s="272">
        <v>3081116</v>
      </c>
      <c r="D43" s="272">
        <v>2724153</v>
      </c>
      <c r="E43" s="272">
        <v>2195638</v>
      </c>
    </row>
    <row r="44" spans="1:14" ht="24" customHeight="1" x14ac:dyDescent="0.2">
      <c r="A44" s="17">
        <v>6</v>
      </c>
      <c r="B44" s="273" t="s">
        <v>17</v>
      </c>
      <c r="C44" s="274">
        <v>220277</v>
      </c>
      <c r="D44" s="274">
        <v>223553</v>
      </c>
      <c r="E44" s="274">
        <v>224820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3301393</v>
      </c>
      <c r="D45" s="270">
        <f>+D43+D44</f>
        <v>2947706</v>
      </c>
      <c r="E45" s="270">
        <f>+E43+E44</f>
        <v>2420458</v>
      </c>
    </row>
    <row r="46" spans="1:14" ht="24" customHeight="1" x14ac:dyDescent="0.2">
      <c r="A46" s="17">
        <v>8</v>
      </c>
      <c r="B46" s="45" t="s">
        <v>324</v>
      </c>
      <c r="C46" s="270">
        <f>+C14</f>
        <v>92910297</v>
      </c>
      <c r="D46" s="270">
        <f>+D14</f>
        <v>96215027</v>
      </c>
      <c r="E46" s="270">
        <f>+E14</f>
        <v>93410584</v>
      </c>
    </row>
    <row r="47" spans="1:14" ht="24" customHeight="1" x14ac:dyDescent="0.2">
      <c r="A47" s="17">
        <v>9</v>
      </c>
      <c r="B47" s="45" t="s">
        <v>347</v>
      </c>
      <c r="C47" s="270">
        <v>4157755</v>
      </c>
      <c r="D47" s="270">
        <v>4163603</v>
      </c>
      <c r="E47" s="270">
        <v>3771551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88752542</v>
      </c>
      <c r="D48" s="270">
        <f>+D46-D47</f>
        <v>92051424</v>
      </c>
      <c r="E48" s="270">
        <f>+E46-E47</f>
        <v>89639033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47.490602941622974</v>
      </c>
      <c r="D50" s="278">
        <f>IF((D55/365)=0,0,+D54/(D55/365))</f>
        <v>48.018869762591422</v>
      </c>
      <c r="E50" s="278">
        <f>IF((E55/365)=0,0,+E54/(E55/365))</f>
        <v>47.449885919073196</v>
      </c>
    </row>
    <row r="51" spans="1:5" ht="24" customHeight="1" x14ac:dyDescent="0.2">
      <c r="A51" s="17">
        <v>12</v>
      </c>
      <c r="B51" s="188" t="s">
        <v>350</v>
      </c>
      <c r="C51" s="279">
        <v>13800088</v>
      </c>
      <c r="D51" s="279">
        <v>14042585</v>
      </c>
      <c r="E51" s="279">
        <v>12871074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2323938</v>
      </c>
      <c r="D53" s="270">
        <v>2496124</v>
      </c>
      <c r="E53" s="270">
        <v>1977820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11476150</v>
      </c>
      <c r="D54" s="280">
        <f>+D51+D52-D53</f>
        <v>11546461</v>
      </c>
      <c r="E54" s="280">
        <f>+E51+E52-E53</f>
        <v>10893254</v>
      </c>
    </row>
    <row r="55" spans="1:5" ht="24" customHeight="1" x14ac:dyDescent="0.2">
      <c r="A55" s="17">
        <v>16</v>
      </c>
      <c r="B55" s="45" t="s">
        <v>75</v>
      </c>
      <c r="C55" s="270">
        <f>+C11</f>
        <v>88202602</v>
      </c>
      <c r="D55" s="270">
        <f>+D11</f>
        <v>87766711</v>
      </c>
      <c r="E55" s="270">
        <f>+E11</f>
        <v>83794463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68.174223787302907</v>
      </c>
      <c r="D57" s="283">
        <f>IF((D61/365)=0,0,+D58/(D61/365))</f>
        <v>68.976010409138269</v>
      </c>
      <c r="E57" s="283">
        <f>IF((E61/365)=0,0,+E58/(E61/365))</f>
        <v>68.283254126581213</v>
      </c>
    </row>
    <row r="58" spans="1:5" ht="24" customHeight="1" x14ac:dyDescent="0.2">
      <c r="A58" s="17">
        <v>18</v>
      </c>
      <c r="B58" s="45" t="s">
        <v>54</v>
      </c>
      <c r="C58" s="281">
        <f>+C40</f>
        <v>16577084</v>
      </c>
      <c r="D58" s="281">
        <f>+D40</f>
        <v>17395452</v>
      </c>
      <c r="E58" s="281">
        <f>+E40</f>
        <v>16769438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92910297</v>
      </c>
      <c r="D59" s="281">
        <f t="shared" si="0"/>
        <v>96215027</v>
      </c>
      <c r="E59" s="281">
        <f t="shared" si="0"/>
        <v>93410584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4157755</v>
      </c>
      <c r="D60" s="176">
        <f t="shared" si="0"/>
        <v>4163603</v>
      </c>
      <c r="E60" s="176">
        <f t="shared" si="0"/>
        <v>3771551</v>
      </c>
    </row>
    <row r="61" spans="1:5" ht="24" customHeight="1" x14ac:dyDescent="0.2">
      <c r="A61" s="17">
        <v>21</v>
      </c>
      <c r="B61" s="45" t="s">
        <v>353</v>
      </c>
      <c r="C61" s="281">
        <f>+C59-C60</f>
        <v>88752542</v>
      </c>
      <c r="D61" s="281">
        <f>+D59-D60</f>
        <v>92051424</v>
      </c>
      <c r="E61" s="281">
        <f>+E59-E60</f>
        <v>89639033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59.831850358133728</v>
      </c>
      <c r="D65" s="284">
        <f>IF(D67=0,0,(D66/D67)*100)</f>
        <v>51.275116747720105</v>
      </c>
      <c r="E65" s="284">
        <f>IF(E67=0,0,(E66/E67)*100)</f>
        <v>41.475827132544993</v>
      </c>
    </row>
    <row r="66" spans="1:5" ht="24" customHeight="1" x14ac:dyDescent="0.2">
      <c r="A66" s="17">
        <v>2</v>
      </c>
      <c r="B66" s="45" t="s">
        <v>67</v>
      </c>
      <c r="C66" s="281">
        <f>+C32</f>
        <v>56632755</v>
      </c>
      <c r="D66" s="281">
        <f>+D32</f>
        <v>46559374</v>
      </c>
      <c r="E66" s="281">
        <f>+E32</f>
        <v>36814704</v>
      </c>
    </row>
    <row r="67" spans="1:5" ht="24" customHeight="1" x14ac:dyDescent="0.2">
      <c r="A67" s="17">
        <v>3</v>
      </c>
      <c r="B67" s="45" t="s">
        <v>43</v>
      </c>
      <c r="C67" s="281">
        <v>94653190</v>
      </c>
      <c r="D67" s="281">
        <v>90803058</v>
      </c>
      <c r="E67" s="281">
        <v>88761832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-9.3873269740690066</v>
      </c>
      <c r="D69" s="284">
        <f>IF(D75=0,0,(D72/D75)*100)</f>
        <v>-2.3412483605199217</v>
      </c>
      <c r="E69" s="284">
        <f>IF(E75=0,0,(E72/E75)*100)</f>
        <v>-1.8992323526471435</v>
      </c>
    </row>
    <row r="70" spans="1:5" ht="24" customHeight="1" x14ac:dyDescent="0.2">
      <c r="A70" s="17">
        <v>5</v>
      </c>
      <c r="B70" s="45" t="s">
        <v>358</v>
      </c>
      <c r="C70" s="281">
        <f>+C28</f>
        <v>-6268780</v>
      </c>
      <c r="D70" s="281">
        <f>+D28</f>
        <v>-4687677</v>
      </c>
      <c r="E70" s="281">
        <f>+E28</f>
        <v>-4227878</v>
      </c>
    </row>
    <row r="71" spans="1:5" ht="24" customHeight="1" x14ac:dyDescent="0.2">
      <c r="A71" s="17">
        <v>6</v>
      </c>
      <c r="B71" s="45" t="s">
        <v>347</v>
      </c>
      <c r="C71" s="176">
        <f>+C47</f>
        <v>4157755</v>
      </c>
      <c r="D71" s="176">
        <f>+D47</f>
        <v>4163603</v>
      </c>
      <c r="E71" s="176">
        <f>+E47</f>
        <v>3771551</v>
      </c>
    </row>
    <row r="72" spans="1:5" ht="24" customHeight="1" x14ac:dyDescent="0.2">
      <c r="A72" s="17">
        <v>7</v>
      </c>
      <c r="B72" s="45" t="s">
        <v>359</v>
      </c>
      <c r="C72" s="281">
        <f>+C70+C71</f>
        <v>-2111025</v>
      </c>
      <c r="D72" s="281">
        <f>+D70+D71</f>
        <v>-524074</v>
      </c>
      <c r="E72" s="281">
        <f>+E70+E71</f>
        <v>-456327</v>
      </c>
    </row>
    <row r="73" spans="1:5" ht="24" customHeight="1" x14ac:dyDescent="0.2">
      <c r="A73" s="17">
        <v>8</v>
      </c>
      <c r="B73" s="45" t="s">
        <v>54</v>
      </c>
      <c r="C73" s="270">
        <f>+C40</f>
        <v>16577084</v>
      </c>
      <c r="D73" s="270">
        <f>+D40</f>
        <v>17395452</v>
      </c>
      <c r="E73" s="270">
        <f>+E40</f>
        <v>16769438</v>
      </c>
    </row>
    <row r="74" spans="1:5" ht="24" customHeight="1" x14ac:dyDescent="0.2">
      <c r="A74" s="17">
        <v>9</v>
      </c>
      <c r="B74" s="45" t="s">
        <v>58</v>
      </c>
      <c r="C74" s="281">
        <v>5910947</v>
      </c>
      <c r="D74" s="281">
        <v>4988931</v>
      </c>
      <c r="E74" s="281">
        <v>7257480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22488031</v>
      </c>
      <c r="D75" s="270">
        <f>+D73+D74</f>
        <v>22384383</v>
      </c>
      <c r="E75" s="270">
        <f>+E73+E74</f>
        <v>24026918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9.4509068235199756</v>
      </c>
      <c r="D77" s="286">
        <f>IF(D80=0,0,(D78/D80)*100)</f>
        <v>9.678166915478597</v>
      </c>
      <c r="E77" s="286">
        <f>IF(E80=0,0,(E78/E80)*100)</f>
        <v>16.467257442925906</v>
      </c>
    </row>
    <row r="78" spans="1:5" ht="24" customHeight="1" x14ac:dyDescent="0.2">
      <c r="A78" s="17">
        <v>12</v>
      </c>
      <c r="B78" s="45" t="s">
        <v>58</v>
      </c>
      <c r="C78" s="270">
        <f>+C74</f>
        <v>5910947</v>
      </c>
      <c r="D78" s="270">
        <f>+D74</f>
        <v>4988931</v>
      </c>
      <c r="E78" s="270">
        <f>+E74</f>
        <v>7257480</v>
      </c>
    </row>
    <row r="79" spans="1:5" ht="24" customHeight="1" x14ac:dyDescent="0.2">
      <c r="A79" s="17">
        <v>13</v>
      </c>
      <c r="B79" s="45" t="s">
        <v>67</v>
      </c>
      <c r="C79" s="270">
        <f>+C32</f>
        <v>56632755</v>
      </c>
      <c r="D79" s="270">
        <f>+D32</f>
        <v>46559374</v>
      </c>
      <c r="E79" s="270">
        <f>+E32</f>
        <v>36814704</v>
      </c>
    </row>
    <row r="80" spans="1:5" ht="24" customHeight="1" x14ac:dyDescent="0.2">
      <c r="A80" s="17">
        <v>14</v>
      </c>
      <c r="B80" s="45" t="s">
        <v>362</v>
      </c>
      <c r="C80" s="270">
        <f>+C78+C79</f>
        <v>62543702</v>
      </c>
      <c r="D80" s="270">
        <f>+D78+D79</f>
        <v>51548305</v>
      </c>
      <c r="E80" s="270">
        <f>+E78+E79</f>
        <v>44072184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FILING&amp;R&amp;8MILFORD HEALTH &amp;AMP; MEDICAL,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zoomScaleSheetLayoutView="75" workbookViewId="0">
      <selection activeCell="A2" sqref="A2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13379</v>
      </c>
      <c r="D11" s="297">
        <v>37</v>
      </c>
      <c r="E11" s="297">
        <v>78</v>
      </c>
      <c r="F11" s="298">
        <f>IF(D11=0,0,$C11/(D11*365))</f>
        <v>0.99067012217697148</v>
      </c>
      <c r="G11" s="298">
        <f>IF(E11=0,0,$C11/(E11*365))</f>
        <v>0.46993326308394801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1923</v>
      </c>
      <c r="D13" s="297">
        <v>6</v>
      </c>
      <c r="E13" s="297">
        <v>10</v>
      </c>
      <c r="F13" s="298">
        <f>IF(D13=0,0,$C13/(D13*365))</f>
        <v>0.87808219178082192</v>
      </c>
      <c r="G13" s="298">
        <f>IF(E13=0,0,$C13/(E13*365))</f>
        <v>0.5268493150684932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0</v>
      </c>
      <c r="D16" s="297">
        <v>0</v>
      </c>
      <c r="E16" s="297">
        <v>0</v>
      </c>
      <c r="F16" s="298">
        <f t="shared" si="0"/>
        <v>0</v>
      </c>
      <c r="G16" s="298">
        <f t="shared" si="0"/>
        <v>0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1">
        <f t="shared" si="0"/>
        <v>0</v>
      </c>
      <c r="G17" s="301">
        <f t="shared" si="0"/>
        <v>0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1199</v>
      </c>
      <c r="D21" s="297">
        <v>4</v>
      </c>
      <c r="E21" s="297">
        <v>12</v>
      </c>
      <c r="F21" s="298">
        <f>IF(D21=0,0,$C21/(D21*365))</f>
        <v>0.82123287671232881</v>
      </c>
      <c r="G21" s="298">
        <f>IF(E21=0,0,$C21/(E21*365))</f>
        <v>0.2737442922374429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1207</v>
      </c>
      <c r="D23" s="297">
        <v>4</v>
      </c>
      <c r="E23" s="297">
        <v>12</v>
      </c>
      <c r="F23" s="298">
        <f>IF(D23=0,0,$C23/(D23*365))</f>
        <v>0.82671232876712331</v>
      </c>
      <c r="G23" s="298">
        <f>IF(E23=0,0,$C23/(E23*365))</f>
        <v>0.27557077625570775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6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16501</v>
      </c>
      <c r="D31" s="300">
        <f>SUM(D10:D29)-D17-D23</f>
        <v>47</v>
      </c>
      <c r="E31" s="300">
        <f>SUM(E10:E29)-E17-E23</f>
        <v>106</v>
      </c>
      <c r="F31" s="301">
        <f>IF(D31=0,0,$C31/(D31*365))</f>
        <v>0.96187700378898278</v>
      </c>
      <c r="G31" s="301">
        <f>IF(E31=0,0,$C31/(E31*365))</f>
        <v>0.4264926337554924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17708</v>
      </c>
      <c r="D33" s="300">
        <f>SUM(D10:D29)-D17</f>
        <v>51</v>
      </c>
      <c r="E33" s="300">
        <f>SUM(E10:E29)-E17</f>
        <v>118</v>
      </c>
      <c r="F33" s="301">
        <f>IF(D33=0,0,$C33/(D33*365))</f>
        <v>0.95127585280687621</v>
      </c>
      <c r="G33" s="301">
        <f>IF(E33=0,0,$C33/(E33*365))</f>
        <v>0.41114464824703972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17708</v>
      </c>
      <c r="D36" s="300">
        <f>+D33</f>
        <v>51</v>
      </c>
      <c r="E36" s="300">
        <f>+E33</f>
        <v>118</v>
      </c>
      <c r="F36" s="301">
        <f>+F33</f>
        <v>0.95127585280687621</v>
      </c>
      <c r="G36" s="301">
        <f>+G33</f>
        <v>0.41114464824703972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20370</v>
      </c>
      <c r="D37" s="302">
        <v>59</v>
      </c>
      <c r="E37" s="302">
        <v>118</v>
      </c>
      <c r="F37" s="301">
        <f>IF(D37=0,0,$C37/(D37*365))</f>
        <v>0.94590201996749479</v>
      </c>
      <c r="G37" s="301">
        <f>IF(E37=0,0,$C37/(E37*365))</f>
        <v>0.47295100998374739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-2662</v>
      </c>
      <c r="D38" s="300">
        <f>+D36-D37</f>
        <v>-8</v>
      </c>
      <c r="E38" s="300">
        <f>+E36-E37</f>
        <v>0</v>
      </c>
      <c r="F38" s="301">
        <f>+F36-F37</f>
        <v>5.3738328393814205E-3</v>
      </c>
      <c r="G38" s="301">
        <f>+G36-G37</f>
        <v>-6.1806361736707671E-2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-0.13068237604320079</v>
      </c>
      <c r="D40" s="148">
        <f>IF(D37=0,0,D38/D37)</f>
        <v>-0.13559322033898305</v>
      </c>
      <c r="E40" s="148">
        <f>IF(E37=0,0,E38/E37)</f>
        <v>0</v>
      </c>
      <c r="F40" s="148">
        <f>IF(F37=0,0,F38/F37)</f>
        <v>5.6811728127677411E-3</v>
      </c>
      <c r="G40" s="148">
        <f>IF(G37=0,0,G38/G37)</f>
        <v>-0.13068237604320077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118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A3" sqref="A3:F3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1574</v>
      </c>
      <c r="D12" s="296">
        <v>1214</v>
      </c>
      <c r="E12" s="296">
        <f>+D12-C12</f>
        <v>-360</v>
      </c>
      <c r="F12" s="316">
        <f>IF(C12=0,0,+E12/C12)</f>
        <v>-0.22871664548919948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3006</v>
      </c>
      <c r="D13" s="296">
        <v>2401</v>
      </c>
      <c r="E13" s="296">
        <f>+D13-C13</f>
        <v>-605</v>
      </c>
      <c r="F13" s="316">
        <f>IF(C13=0,0,+E13/C13)</f>
        <v>-0.20126413838988688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7715</v>
      </c>
      <c r="D14" s="296">
        <v>7364</v>
      </c>
      <c r="E14" s="296">
        <f>+D14-C14</f>
        <v>-351</v>
      </c>
      <c r="F14" s="316">
        <f>IF(C14=0,0,+E14/C14)</f>
        <v>-4.5495787427090081E-2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12295</v>
      </c>
      <c r="D16" s="300">
        <f>SUM(D12:D15)</f>
        <v>10979</v>
      </c>
      <c r="E16" s="300">
        <f>+D16-C16</f>
        <v>-1316</v>
      </c>
      <c r="F16" s="309">
        <f>IF(C16=0,0,+E16/C16)</f>
        <v>-0.10703538023586824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370</v>
      </c>
      <c r="D19" s="296">
        <v>417</v>
      </c>
      <c r="E19" s="296">
        <f>+D19-C19</f>
        <v>47</v>
      </c>
      <c r="F19" s="316">
        <f>IF(C19=0,0,+E19/C19)</f>
        <v>0.12702702702702703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2186</v>
      </c>
      <c r="D20" s="296">
        <v>1825</v>
      </c>
      <c r="E20" s="296">
        <f>+D20-C20</f>
        <v>-361</v>
      </c>
      <c r="F20" s="316">
        <f>IF(C20=0,0,+E20/C20)</f>
        <v>-0.16514181152790486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82</v>
      </c>
      <c r="D21" s="296">
        <v>91</v>
      </c>
      <c r="E21" s="296">
        <f>+D21-C21</f>
        <v>9</v>
      </c>
      <c r="F21" s="316">
        <f>IF(C21=0,0,+E21/C21)</f>
        <v>0.10975609756097561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2638</v>
      </c>
      <c r="D23" s="300">
        <f>SUM(D19:D22)</f>
        <v>2333</v>
      </c>
      <c r="E23" s="300">
        <f>+D23-C23</f>
        <v>-305</v>
      </c>
      <c r="F23" s="309">
        <f>IF(C23=0,0,+E23/C23)</f>
        <v>-0.11561789234268385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1</v>
      </c>
      <c r="E26" s="296">
        <f>+D26-C26</f>
        <v>1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84</v>
      </c>
      <c r="D27" s="296">
        <v>64</v>
      </c>
      <c r="E27" s="296">
        <f>+D27-C27</f>
        <v>-20</v>
      </c>
      <c r="F27" s="316">
        <f>IF(C27=0,0,+E27/C27)</f>
        <v>-0.23809523809523808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84</v>
      </c>
      <c r="D30" s="300">
        <f>SUM(D26:D29)</f>
        <v>65</v>
      </c>
      <c r="E30" s="300">
        <f>+D30-C30</f>
        <v>-19</v>
      </c>
      <c r="F30" s="309">
        <f>IF(C30=0,0,+E30/C30)</f>
        <v>-0.22619047619047619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1372</v>
      </c>
      <c r="D63" s="296">
        <v>1226</v>
      </c>
      <c r="E63" s="296">
        <f>+D63-C63</f>
        <v>-146</v>
      </c>
      <c r="F63" s="316">
        <f>IF(C63=0,0,+E63/C63)</f>
        <v>-0.10641399416909621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2222</v>
      </c>
      <c r="D64" s="296">
        <v>2317</v>
      </c>
      <c r="E64" s="296">
        <f>+D64-C64</f>
        <v>95</v>
      </c>
      <c r="F64" s="316">
        <f>IF(C64=0,0,+E64/C64)</f>
        <v>4.2754275427542753E-2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3594</v>
      </c>
      <c r="D65" s="300">
        <f>SUM(D63:D64)</f>
        <v>3543</v>
      </c>
      <c r="E65" s="300">
        <f>+D65-C65</f>
        <v>-51</v>
      </c>
      <c r="F65" s="309">
        <f>IF(C65=0,0,+E65/C65)</f>
        <v>-1.4190317195325543E-2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325</v>
      </c>
      <c r="D68" s="296">
        <v>317</v>
      </c>
      <c r="E68" s="296">
        <f>+D68-C68</f>
        <v>-8</v>
      </c>
      <c r="F68" s="316">
        <f>IF(C68=0,0,+E68/C68)</f>
        <v>-2.4615384615384615E-2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2498</v>
      </c>
      <c r="D69" s="296">
        <v>2668</v>
      </c>
      <c r="E69" s="296">
        <f>+D69-C69</f>
        <v>170</v>
      </c>
      <c r="F69" s="318">
        <f>IF(C69=0,0,+E69/C69)</f>
        <v>6.8054443554843871E-2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2823</v>
      </c>
      <c r="D70" s="300">
        <f>SUM(D68:D69)</f>
        <v>2985</v>
      </c>
      <c r="E70" s="300">
        <f>+D70-C70</f>
        <v>162</v>
      </c>
      <c r="F70" s="309">
        <f>IF(C70=0,0,+E70/C70)</f>
        <v>5.7385759829968117E-2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3033</v>
      </c>
      <c r="D73" s="319">
        <v>3143</v>
      </c>
      <c r="E73" s="296">
        <f>+D73-C73</f>
        <v>110</v>
      </c>
      <c r="F73" s="316">
        <f>IF(C73=0,0,+E73/C73)</f>
        <v>3.6267721727662378E-2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36913</v>
      </c>
      <c r="D74" s="319">
        <v>35049</v>
      </c>
      <c r="E74" s="296">
        <f>+D74-C74</f>
        <v>-1864</v>
      </c>
      <c r="F74" s="316">
        <f>IF(C74=0,0,+E74/C74)</f>
        <v>-5.0497114837591089E-2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39946</v>
      </c>
      <c r="D75" s="300">
        <f>SUM(D73:D74)</f>
        <v>38192</v>
      </c>
      <c r="E75" s="300">
        <f>SUM(E73:E74)</f>
        <v>-1754</v>
      </c>
      <c r="F75" s="309">
        <f>IF(C75=0,0,+E75/C75)</f>
        <v>-4.3909277524658286E-2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0</v>
      </c>
      <c r="D84" s="320">
        <f>SUM(D79:D83)</f>
        <v>0</v>
      </c>
      <c r="E84" s="300">
        <f t="shared" si="0"/>
        <v>0</v>
      </c>
      <c r="F84" s="309">
        <f t="shared" si="1"/>
        <v>0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0</v>
      </c>
      <c r="D87" s="322">
        <v>0</v>
      </c>
      <c r="E87" s="323">
        <f t="shared" ref="E87:E92" si="2">+D87-C87</f>
        <v>0</v>
      </c>
      <c r="F87" s="318">
        <f t="shared" ref="F87:F92" si="3">IF(C87=0,0,+E87/C87)</f>
        <v>0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32857</v>
      </c>
      <c r="D91" s="322">
        <v>31089</v>
      </c>
      <c r="E91" s="296">
        <f t="shared" si="2"/>
        <v>-1768</v>
      </c>
      <c r="F91" s="316">
        <f t="shared" si="3"/>
        <v>-5.3808929604041759E-2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32857</v>
      </c>
      <c r="D92" s="320">
        <f>SUM(D87:D91)</f>
        <v>31089</v>
      </c>
      <c r="E92" s="300">
        <f t="shared" si="2"/>
        <v>-1768</v>
      </c>
      <c r="F92" s="309">
        <f t="shared" si="3"/>
        <v>-5.3808929604041759E-2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206.3</v>
      </c>
      <c r="D96" s="325">
        <v>217.4</v>
      </c>
      <c r="E96" s="326">
        <f>+D96-C96</f>
        <v>11.099999999999994</v>
      </c>
      <c r="F96" s="316">
        <f>IF(C96=0,0,+E96/C96)</f>
        <v>5.3805138148327644E-2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20.3</v>
      </c>
      <c r="D97" s="325">
        <v>21.2</v>
      </c>
      <c r="E97" s="326">
        <f>+D97-C97</f>
        <v>0.89999999999999858</v>
      </c>
      <c r="F97" s="316">
        <f>IF(C97=0,0,+E97/C97)</f>
        <v>4.4334975369458053E-2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321.3</v>
      </c>
      <c r="D98" s="325">
        <v>285.39999999999998</v>
      </c>
      <c r="E98" s="326">
        <f>+D98-C98</f>
        <v>-35.900000000000034</v>
      </c>
      <c r="F98" s="316">
        <f>IF(C98=0,0,+E98/C98)</f>
        <v>-0.11173358232181772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547.90000000000009</v>
      </c>
      <c r="D99" s="327">
        <f>SUM(D96:D98)</f>
        <v>524</v>
      </c>
      <c r="E99" s="327">
        <f>+D99-C99</f>
        <v>-23.900000000000091</v>
      </c>
      <c r="F99" s="309">
        <f>IF(C99=0,0,+E99/C99)</f>
        <v>-4.3621098740646264E-2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FILING&amp;RMILFORD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0</v>
      </c>
      <c r="D12" s="296">
        <v>0</v>
      </c>
      <c r="E12" s="296">
        <f>+D12-C12</f>
        <v>0</v>
      </c>
      <c r="F12" s="316">
        <f>IF(C12=0,0,+E12/C12)</f>
        <v>0</v>
      </c>
    </row>
    <row r="13" spans="1:16" ht="15.75" customHeight="1" x14ac:dyDescent="0.2">
      <c r="A13" s="294">
        <v>2</v>
      </c>
      <c r="B13" s="295" t="s">
        <v>584</v>
      </c>
      <c r="C13" s="296">
        <v>2222</v>
      </c>
      <c r="D13" s="296">
        <v>2317</v>
      </c>
      <c r="E13" s="296">
        <f>+D13-C13</f>
        <v>95</v>
      </c>
      <c r="F13" s="316">
        <f>IF(C13=0,0,+E13/C13)</f>
        <v>4.2754275427542753E-2</v>
      </c>
    </row>
    <row r="14" spans="1:16" ht="15.75" customHeight="1" x14ac:dyDescent="0.25">
      <c r="A14" s="294"/>
      <c r="B14" s="135" t="s">
        <v>585</v>
      </c>
      <c r="C14" s="300">
        <f>SUM(C11:C13)</f>
        <v>2222</v>
      </c>
      <c r="D14" s="300">
        <f>SUM(D11:D13)</f>
        <v>2317</v>
      </c>
      <c r="E14" s="300">
        <f>+D14-C14</f>
        <v>95</v>
      </c>
      <c r="F14" s="309">
        <f>IF(C14=0,0,+E14/C14)</f>
        <v>4.2754275427542753E-2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558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584</v>
      </c>
      <c r="C17" s="296">
        <v>2498</v>
      </c>
      <c r="D17" s="296">
        <v>2668</v>
      </c>
      <c r="E17" s="296">
        <f>+D17-C17</f>
        <v>170</v>
      </c>
      <c r="F17" s="316">
        <f>IF(C17=0,0,+E17/C17)</f>
        <v>6.8054443554843871E-2</v>
      </c>
    </row>
    <row r="18" spans="1:6" ht="15.75" customHeight="1" x14ac:dyDescent="0.25">
      <c r="A18" s="294"/>
      <c r="B18" s="135" t="s">
        <v>586</v>
      </c>
      <c r="C18" s="300">
        <f>SUM(C16:C17)</f>
        <v>2498</v>
      </c>
      <c r="D18" s="300">
        <f>SUM(D16:D17)</f>
        <v>2668</v>
      </c>
      <c r="E18" s="300">
        <f>+D18-C18</f>
        <v>170</v>
      </c>
      <c r="F18" s="309">
        <f>IF(C18=0,0,+E18/C18)</f>
        <v>6.8054443554843871E-2</v>
      </c>
    </row>
    <row r="19" spans="1:6" ht="15.75" customHeight="1" x14ac:dyDescent="0.25">
      <c r="A19" s="293"/>
      <c r="B19" s="135"/>
      <c r="C19" s="300"/>
      <c r="D19" s="300"/>
      <c r="E19" s="300"/>
      <c r="F19" s="309"/>
    </row>
    <row r="20" spans="1:6" ht="15.75" customHeight="1" x14ac:dyDescent="0.25">
      <c r="A20" s="293" t="s">
        <v>141</v>
      </c>
      <c r="B20" s="291" t="s">
        <v>587</v>
      </c>
      <c r="C20" s="296"/>
      <c r="D20" s="296"/>
      <c r="E20" s="296"/>
      <c r="F20" s="316"/>
    </row>
    <row r="21" spans="1:6" ht="15.75" customHeight="1" x14ac:dyDescent="0.2">
      <c r="A21" s="294">
        <v>1</v>
      </c>
      <c r="B21" s="295" t="s">
        <v>588</v>
      </c>
      <c r="C21" s="296">
        <v>13278</v>
      </c>
      <c r="D21" s="296">
        <v>12586</v>
      </c>
      <c r="E21" s="296">
        <f>+D21-C21</f>
        <v>-692</v>
      </c>
      <c r="F21" s="316">
        <f>IF(C21=0,0,+E21/C21)</f>
        <v>-5.2116282572676607E-2</v>
      </c>
    </row>
    <row r="22" spans="1:6" ht="15.75" customHeight="1" x14ac:dyDescent="0.2">
      <c r="A22" s="294">
        <v>2</v>
      </c>
      <c r="B22" s="295" t="s">
        <v>584</v>
      </c>
      <c r="C22" s="296">
        <v>23635</v>
      </c>
      <c r="D22" s="296">
        <v>22463</v>
      </c>
      <c r="E22" s="296">
        <f>+D22-C22</f>
        <v>-1172</v>
      </c>
      <c r="F22" s="316">
        <f>IF(C22=0,0,+E22/C22)</f>
        <v>-4.9587476200550033E-2</v>
      </c>
    </row>
    <row r="23" spans="1:6" ht="15.75" customHeight="1" x14ac:dyDescent="0.25">
      <c r="A23" s="294"/>
      <c r="B23" s="135" t="s">
        <v>589</v>
      </c>
      <c r="C23" s="300">
        <f>SUM(C20:C22)</f>
        <v>36913</v>
      </c>
      <c r="D23" s="300">
        <f>SUM(D20:D22)</f>
        <v>35049</v>
      </c>
      <c r="E23" s="300">
        <f>+D23-C23</f>
        <v>-1864</v>
      </c>
      <c r="F23" s="309">
        <f>IF(C23=0,0,+E23/C23)</f>
        <v>-5.0497114837591089E-2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590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591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592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activeCell="A2" sqref="A2:F2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593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594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595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596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597</v>
      </c>
      <c r="D7" s="341" t="s">
        <v>597</v>
      </c>
      <c r="E7" s="341" t="s">
        <v>598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599</v>
      </c>
      <c r="D8" s="344" t="s">
        <v>600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601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602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603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604</v>
      </c>
      <c r="C15" s="361">
        <v>80427776</v>
      </c>
      <c r="D15" s="361">
        <v>72726849</v>
      </c>
      <c r="E15" s="361">
        <f t="shared" ref="E15:E24" si="0">D15-C15</f>
        <v>-7700927</v>
      </c>
      <c r="F15" s="362">
        <f t="shared" ref="F15:F24" si="1">IF(C15=0,0,E15/C15)</f>
        <v>-9.5749595264203249E-2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605</v>
      </c>
      <c r="C16" s="361">
        <v>25602331</v>
      </c>
      <c r="D16" s="361">
        <v>24094124</v>
      </c>
      <c r="E16" s="361">
        <f t="shared" si="0"/>
        <v>-1508207</v>
      </c>
      <c r="F16" s="362">
        <f t="shared" si="1"/>
        <v>-5.8908971999463641E-2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606</v>
      </c>
      <c r="C17" s="366">
        <f>IF(C15=0,0,C16/C15)</f>
        <v>0.31832697947534944</v>
      </c>
      <c r="D17" s="366">
        <f>IF(LN_IA1=0,0,LN_IA2/LN_IA1)</f>
        <v>0.33129613521410778</v>
      </c>
      <c r="E17" s="367">
        <f t="shared" si="0"/>
        <v>1.2969155738758342E-2</v>
      </c>
      <c r="F17" s="362">
        <f t="shared" si="1"/>
        <v>4.0741616560850277E-2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2423</v>
      </c>
      <c r="D18" s="369">
        <v>2362</v>
      </c>
      <c r="E18" s="369">
        <f t="shared" si="0"/>
        <v>-61</v>
      </c>
      <c r="F18" s="362">
        <f t="shared" si="1"/>
        <v>-2.5175402393726783E-2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607</v>
      </c>
      <c r="C19" s="372">
        <v>1.5705</v>
      </c>
      <c r="D19" s="372">
        <v>1.5058</v>
      </c>
      <c r="E19" s="373">
        <f t="shared" si="0"/>
        <v>-6.469999999999998E-2</v>
      </c>
      <c r="F19" s="362">
        <f t="shared" si="1"/>
        <v>-4.1197070996497914E-2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608</v>
      </c>
      <c r="C20" s="376">
        <f>C18*C19</f>
        <v>3805.3215</v>
      </c>
      <c r="D20" s="376">
        <f>LN_IA4*LN_IA5</f>
        <v>3556.6995999999999</v>
      </c>
      <c r="E20" s="376">
        <f t="shared" si="0"/>
        <v>-248.6219000000001</v>
      </c>
      <c r="F20" s="362">
        <f t="shared" si="1"/>
        <v>-6.533532055044497E-2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609</v>
      </c>
      <c r="C21" s="378">
        <f>IF(C20=0,0,C16/C20)</f>
        <v>6728.0336234402266</v>
      </c>
      <c r="D21" s="378">
        <f>IF(LN_IA6=0,0,LN_IA2/LN_IA6)</f>
        <v>6774.2926616574532</v>
      </c>
      <c r="E21" s="378">
        <f t="shared" si="0"/>
        <v>46.259038217226589</v>
      </c>
      <c r="F21" s="362">
        <f t="shared" si="1"/>
        <v>6.8755658497397761E-3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11854</v>
      </c>
      <c r="D22" s="369">
        <v>10822</v>
      </c>
      <c r="E22" s="369">
        <f t="shared" si="0"/>
        <v>-1032</v>
      </c>
      <c r="F22" s="362">
        <f t="shared" si="1"/>
        <v>-8.7059220516281427E-2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610</v>
      </c>
      <c r="C23" s="378">
        <f>IF(C22=0,0,C16/C22)</f>
        <v>2159.8052134300656</v>
      </c>
      <c r="D23" s="378">
        <f>IF(LN_IA8=0,0,LN_IA2/LN_IA8)</f>
        <v>2226.4021437811866</v>
      </c>
      <c r="E23" s="378">
        <f t="shared" si="0"/>
        <v>66.596930351121046</v>
      </c>
      <c r="F23" s="362">
        <f t="shared" si="1"/>
        <v>3.0834692840358519E-2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611</v>
      </c>
      <c r="C24" s="379">
        <f>IF(C18=0,0,C22/C18)</f>
        <v>4.8922822946760212</v>
      </c>
      <c r="D24" s="379">
        <f>IF(LN_IA4=0,0,LN_IA8/LN_IA4)</f>
        <v>4.5817104149026253</v>
      </c>
      <c r="E24" s="379">
        <f t="shared" si="0"/>
        <v>-0.31057187977339584</v>
      </c>
      <c r="F24" s="362">
        <f t="shared" si="1"/>
        <v>-6.3482003095236897E-2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612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613</v>
      </c>
      <c r="C27" s="361">
        <v>25008398</v>
      </c>
      <c r="D27" s="361">
        <v>25285669</v>
      </c>
      <c r="E27" s="361">
        <f t="shared" ref="E27:E32" si="2">D27-C27</f>
        <v>277271</v>
      </c>
      <c r="F27" s="362">
        <f t="shared" ref="F27:F32" si="3">IF(C27=0,0,E27/C27)</f>
        <v>1.1087115616122233E-2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614</v>
      </c>
      <c r="C28" s="361">
        <v>6242107</v>
      </c>
      <c r="D28" s="361">
        <v>6322615</v>
      </c>
      <c r="E28" s="361">
        <f t="shared" si="2"/>
        <v>80508</v>
      </c>
      <c r="F28" s="362">
        <f t="shared" si="3"/>
        <v>1.2897568080777853E-2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615</v>
      </c>
      <c r="C29" s="366">
        <f>IF(C27=0,0,C28/C27)</f>
        <v>0.2496004342221361</v>
      </c>
      <c r="D29" s="366">
        <f>IF(LN_IA11=0,0,LN_IA12/LN_IA11)</f>
        <v>0.25004736872890332</v>
      </c>
      <c r="E29" s="367">
        <f t="shared" si="2"/>
        <v>4.4693450676722146E-4</v>
      </c>
      <c r="F29" s="362">
        <f t="shared" si="3"/>
        <v>1.7905998767993511E-3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616</v>
      </c>
      <c r="C30" s="366">
        <f>IF(C15=0,0,C27/C15)</f>
        <v>0.31094230431039149</v>
      </c>
      <c r="D30" s="366">
        <f>IF(LN_IA1=0,0,LN_IA11/LN_IA1)</f>
        <v>0.34767997442045095</v>
      </c>
      <c r="E30" s="367">
        <f t="shared" si="2"/>
        <v>3.6737670110059462E-2</v>
      </c>
      <c r="F30" s="362">
        <f t="shared" si="3"/>
        <v>0.11814947532319973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617</v>
      </c>
      <c r="C31" s="376">
        <f>C30*C18</f>
        <v>753.41320334407862</v>
      </c>
      <c r="D31" s="376">
        <f>LN_IA14*LN_IA4</f>
        <v>821.22009958110516</v>
      </c>
      <c r="E31" s="376">
        <f t="shared" si="2"/>
        <v>67.806896237026535</v>
      </c>
      <c r="F31" s="362">
        <f t="shared" si="3"/>
        <v>8.999961234560365E-2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618</v>
      </c>
      <c r="C32" s="378">
        <f>IF(C31=0,0,C28/C31)</f>
        <v>8285.1043388859653</v>
      </c>
      <c r="D32" s="378">
        <f>IF(LN_IA15=0,0,LN_IA12/LN_IA15)</f>
        <v>7699.0504777283122</v>
      </c>
      <c r="E32" s="378">
        <f t="shared" si="2"/>
        <v>-586.05386115765305</v>
      </c>
      <c r="F32" s="362">
        <f t="shared" si="3"/>
        <v>-7.0735845583382875E-2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619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620</v>
      </c>
      <c r="C35" s="361">
        <f>C15+C27</f>
        <v>105436174</v>
      </c>
      <c r="D35" s="361">
        <f>LN_IA1+LN_IA11</f>
        <v>98012518</v>
      </c>
      <c r="E35" s="361">
        <f>D35-C35</f>
        <v>-7423656</v>
      </c>
      <c r="F35" s="362">
        <f>IF(C35=0,0,E35/C35)</f>
        <v>-7.0409004029300226E-2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621</v>
      </c>
      <c r="C36" s="361">
        <f>C16+C28</f>
        <v>31844438</v>
      </c>
      <c r="D36" s="361">
        <f>LN_IA2+LN_IA12</f>
        <v>30416739</v>
      </c>
      <c r="E36" s="361">
        <f>D36-C36</f>
        <v>-1427699</v>
      </c>
      <c r="F36" s="362">
        <f>IF(C36=0,0,E36/C36)</f>
        <v>-4.4833543615999755E-2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622</v>
      </c>
      <c r="C37" s="361">
        <f>C35-C36</f>
        <v>73591736</v>
      </c>
      <c r="D37" s="361">
        <f>LN_IA17-LN_IA18</f>
        <v>67595779</v>
      </c>
      <c r="E37" s="361">
        <f>D37-C37</f>
        <v>-5995957</v>
      </c>
      <c r="F37" s="362">
        <f>IF(C37=0,0,E37/C37)</f>
        <v>-8.1475955398035455E-2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623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624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604</v>
      </c>
      <c r="C42" s="361">
        <v>40385831</v>
      </c>
      <c r="D42" s="361">
        <v>36643492</v>
      </c>
      <c r="E42" s="361">
        <f t="shared" ref="E42:E53" si="4">D42-C42</f>
        <v>-3742339</v>
      </c>
      <c r="F42" s="362">
        <f t="shared" ref="F42:F53" si="5">IF(C42=0,0,E42/C42)</f>
        <v>-9.2664652610466275E-2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605</v>
      </c>
      <c r="C43" s="361">
        <v>15819603</v>
      </c>
      <c r="D43" s="361">
        <v>14479721</v>
      </c>
      <c r="E43" s="361">
        <f t="shared" si="4"/>
        <v>-1339882</v>
      </c>
      <c r="F43" s="362">
        <f t="shared" si="5"/>
        <v>-8.4697574269088804E-2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606</v>
      </c>
      <c r="C44" s="366">
        <f>IF(C42=0,0,C43/C42)</f>
        <v>0.39171171196155402</v>
      </c>
      <c r="D44" s="366">
        <f>IF(LN_IB1=0,0,LN_IB2/LN_IB1)</f>
        <v>0.39515123176579348</v>
      </c>
      <c r="E44" s="367">
        <f t="shared" si="4"/>
        <v>3.4395198042394548E-3</v>
      </c>
      <c r="F44" s="362">
        <f t="shared" si="5"/>
        <v>8.7807428249095584E-3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1930</v>
      </c>
      <c r="D45" s="369">
        <v>1753</v>
      </c>
      <c r="E45" s="369">
        <f t="shared" si="4"/>
        <v>-177</v>
      </c>
      <c r="F45" s="362">
        <f t="shared" si="5"/>
        <v>-9.1709844559585488E-2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607</v>
      </c>
      <c r="C46" s="372">
        <v>1.0646800000000001</v>
      </c>
      <c r="D46" s="372">
        <v>1.13964</v>
      </c>
      <c r="E46" s="373">
        <f t="shared" si="4"/>
        <v>7.4959999999999916E-2</v>
      </c>
      <c r="F46" s="362">
        <f t="shared" si="5"/>
        <v>7.040613141976923E-2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608</v>
      </c>
      <c r="C47" s="376">
        <f>C45*C46</f>
        <v>2054.8324000000002</v>
      </c>
      <c r="D47" s="376">
        <f>LN_IB4*LN_IB5</f>
        <v>1997.78892</v>
      </c>
      <c r="E47" s="376">
        <f t="shared" si="4"/>
        <v>-57.043480000000272</v>
      </c>
      <c r="F47" s="362">
        <f t="shared" si="5"/>
        <v>-2.7760648508365095E-2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609</v>
      </c>
      <c r="C48" s="378">
        <f>IF(C47=0,0,C43/C47)</f>
        <v>7698.7315364503684</v>
      </c>
      <c r="D48" s="378">
        <f>IF(LN_IB6=0,0,LN_IB2/LN_IB6)</f>
        <v>7247.8733138634088</v>
      </c>
      <c r="E48" s="378">
        <f t="shared" si="4"/>
        <v>-450.85822258695953</v>
      </c>
      <c r="F48" s="362">
        <f t="shared" si="5"/>
        <v>-5.8562663271518024E-2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625</v>
      </c>
      <c r="C49" s="378">
        <f>C21-C48</f>
        <v>-970.69791301014175</v>
      </c>
      <c r="D49" s="378">
        <f>LN_IA7-LN_IB7</f>
        <v>-473.58065220595563</v>
      </c>
      <c r="E49" s="378">
        <f t="shared" si="4"/>
        <v>497.11726080418612</v>
      </c>
      <c r="F49" s="362">
        <f t="shared" si="5"/>
        <v>-0.51212354960424467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626</v>
      </c>
      <c r="C50" s="391">
        <f>C49*C47</f>
        <v>-1994621.522265621</v>
      </c>
      <c r="D50" s="391">
        <f>LN_IB8*LN_IB6</f>
        <v>-946114.17970343167</v>
      </c>
      <c r="E50" s="391">
        <f t="shared" si="4"/>
        <v>1048507.3425621893</v>
      </c>
      <c r="F50" s="362">
        <f t="shared" si="5"/>
        <v>-0.52566731625919005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6915</v>
      </c>
      <c r="D51" s="369">
        <v>5589</v>
      </c>
      <c r="E51" s="369">
        <f t="shared" si="4"/>
        <v>-1326</v>
      </c>
      <c r="F51" s="362">
        <f t="shared" si="5"/>
        <v>-0.19175704989154013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610</v>
      </c>
      <c r="C52" s="378">
        <f>IF(C51=0,0,C43/C51)</f>
        <v>2287.722776572668</v>
      </c>
      <c r="D52" s="378">
        <f>IF(LN_IB10=0,0,LN_IB2/LN_IB10)</f>
        <v>2590.7534442655215</v>
      </c>
      <c r="E52" s="378">
        <f t="shared" si="4"/>
        <v>303.03066769285351</v>
      </c>
      <c r="F52" s="362">
        <f t="shared" si="5"/>
        <v>0.13245952297893204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611</v>
      </c>
      <c r="C53" s="379">
        <f>IF(C45=0,0,C51/C45)</f>
        <v>3.5829015544041449</v>
      </c>
      <c r="D53" s="379">
        <f>IF(LN_IB4=0,0,LN_IB10/LN_IB4)</f>
        <v>3.188248716486024</v>
      </c>
      <c r="E53" s="379">
        <f t="shared" si="4"/>
        <v>-0.39465283791812089</v>
      </c>
      <c r="F53" s="362">
        <f t="shared" si="5"/>
        <v>-0.11014894825480454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627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613</v>
      </c>
      <c r="C56" s="361">
        <v>54681379</v>
      </c>
      <c r="D56" s="361">
        <v>51278934</v>
      </c>
      <c r="E56" s="361">
        <f t="shared" ref="E56:E63" si="6">D56-C56</f>
        <v>-3402445</v>
      </c>
      <c r="F56" s="362">
        <f t="shared" ref="F56:F63" si="7">IF(C56=0,0,E56/C56)</f>
        <v>-6.2223101579058568E-2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614</v>
      </c>
      <c r="C57" s="361">
        <v>22280688</v>
      </c>
      <c r="D57" s="361">
        <v>21002090</v>
      </c>
      <c r="E57" s="361">
        <f t="shared" si="6"/>
        <v>-1278598</v>
      </c>
      <c r="F57" s="362">
        <f t="shared" si="7"/>
        <v>-5.73859299138339E-2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615</v>
      </c>
      <c r="C58" s="366">
        <f>IF(C56=0,0,C57/C56)</f>
        <v>0.40746390101098218</v>
      </c>
      <c r="D58" s="366">
        <f>IF(LN_IB13=0,0,LN_IB14/LN_IB13)</f>
        <v>0.40956565126724359</v>
      </c>
      <c r="E58" s="367">
        <f t="shared" si="6"/>
        <v>2.1017502562614143E-3</v>
      </c>
      <c r="F58" s="362">
        <f t="shared" si="7"/>
        <v>5.158126280749388E-3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616</v>
      </c>
      <c r="C59" s="366">
        <f>IF(C42=0,0,C56/C42)</f>
        <v>1.3539743431303914</v>
      </c>
      <c r="D59" s="366">
        <f>IF(LN_IB1=0,0,LN_IB13/LN_IB1)</f>
        <v>1.3994008540452423</v>
      </c>
      <c r="E59" s="367">
        <f t="shared" si="6"/>
        <v>4.5426510914850837E-2</v>
      </c>
      <c r="F59" s="362">
        <f t="shared" si="7"/>
        <v>3.3550496097159897E-2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617</v>
      </c>
      <c r="C60" s="376">
        <f>C59*C45</f>
        <v>2613.1704822416555</v>
      </c>
      <c r="D60" s="376">
        <f>LN_IB16*LN_IB4</f>
        <v>2453.1496971413098</v>
      </c>
      <c r="E60" s="376">
        <f t="shared" si="6"/>
        <v>-160.02078510034562</v>
      </c>
      <c r="F60" s="362">
        <f t="shared" si="7"/>
        <v>-6.1236259244393049E-2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618</v>
      </c>
      <c r="C61" s="378">
        <f>IF(C60=0,0,C57/C60)</f>
        <v>8526.3047900674901</v>
      </c>
      <c r="D61" s="378">
        <f>IF(LN_IB17=0,0,LN_IB14/LN_IB17)</f>
        <v>8561.2753369572329</v>
      </c>
      <c r="E61" s="378">
        <f t="shared" si="6"/>
        <v>34.970546889742764</v>
      </c>
      <c r="F61" s="362">
        <f t="shared" si="7"/>
        <v>4.1014891856177658E-3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628</v>
      </c>
      <c r="C62" s="378">
        <f>C32-C61</f>
        <v>-241.20045118152484</v>
      </c>
      <c r="D62" s="378">
        <f>LN_IA16-LN_IB18</f>
        <v>-862.22485922892065</v>
      </c>
      <c r="E62" s="378">
        <f t="shared" si="6"/>
        <v>-621.02440804739581</v>
      </c>
      <c r="F62" s="362">
        <f t="shared" si="7"/>
        <v>2.5747232436974987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629</v>
      </c>
      <c r="C63" s="361">
        <f>C62*C60</f>
        <v>-630297.8993309302</v>
      </c>
      <c r="D63" s="361">
        <f>LN_IB19*LN_IB17</f>
        <v>-2115166.6522851354</v>
      </c>
      <c r="E63" s="361">
        <f t="shared" si="6"/>
        <v>-1484868.752954205</v>
      </c>
      <c r="F63" s="362">
        <f t="shared" si="7"/>
        <v>2.3558205644194805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630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620</v>
      </c>
      <c r="C66" s="361">
        <f>C42+C56</f>
        <v>95067210</v>
      </c>
      <c r="D66" s="361">
        <f>LN_IB1+LN_IB13</f>
        <v>87922426</v>
      </c>
      <c r="E66" s="361">
        <f>D66-C66</f>
        <v>-7144784</v>
      </c>
      <c r="F66" s="362">
        <f>IF(C66=0,0,E66/C66)</f>
        <v>-7.5155082388554367E-2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621</v>
      </c>
      <c r="C67" s="361">
        <f>C43+C57</f>
        <v>38100291</v>
      </c>
      <c r="D67" s="361">
        <f>LN_IB2+LN_IB14</f>
        <v>35481811</v>
      </c>
      <c r="E67" s="361">
        <f>D67-C67</f>
        <v>-2618480</v>
      </c>
      <c r="F67" s="362">
        <f>IF(C67=0,0,E67/C67)</f>
        <v>-6.8725984271353721E-2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622</v>
      </c>
      <c r="C68" s="361">
        <f>C66-C67</f>
        <v>56966919</v>
      </c>
      <c r="D68" s="361">
        <f>LN_IB21-LN_IB22</f>
        <v>52440615</v>
      </c>
      <c r="E68" s="361">
        <f>D68-C68</f>
        <v>-4526304</v>
      </c>
      <c r="F68" s="362">
        <f>IF(C68=0,0,E68/C68)</f>
        <v>-7.9454955252187681E-2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631</v>
      </c>
      <c r="C70" s="353">
        <f>C50+C63</f>
        <v>-2624919.4215965513</v>
      </c>
      <c r="D70" s="353">
        <f>LN_IB9+LN_IB20</f>
        <v>-3061280.831988567</v>
      </c>
      <c r="E70" s="361">
        <f>D70-C70</f>
        <v>-436361.41039201571</v>
      </c>
      <c r="F70" s="362">
        <f>IF(C70=0,0,E70/C70)</f>
        <v>0.16623802117575409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632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633</v>
      </c>
      <c r="C73" s="400">
        <v>84371463</v>
      </c>
      <c r="D73" s="400">
        <v>79887595</v>
      </c>
      <c r="E73" s="400">
        <f>D73-C73</f>
        <v>-4483868</v>
      </c>
      <c r="F73" s="401">
        <f>IF(C73=0,0,E73/C73)</f>
        <v>-5.314436707112688E-2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634</v>
      </c>
      <c r="C74" s="400">
        <v>36447939</v>
      </c>
      <c r="D74" s="400">
        <v>35946182</v>
      </c>
      <c r="E74" s="400">
        <f>D74-C74</f>
        <v>-501757</v>
      </c>
      <c r="F74" s="401">
        <f>IF(C74=0,0,E74/C74)</f>
        <v>-1.3766402539249201E-2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635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636</v>
      </c>
      <c r="C76" s="353">
        <f>C73-C74</f>
        <v>47923524</v>
      </c>
      <c r="D76" s="353">
        <f>LN_IB32-LN_IB33</f>
        <v>43941413</v>
      </c>
      <c r="E76" s="400">
        <f>D76-C76</f>
        <v>-3982111</v>
      </c>
      <c r="F76" s="401">
        <f>IF(C76=0,0,E76/C76)</f>
        <v>-8.309303380945024E-2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637</v>
      </c>
      <c r="C77" s="366">
        <f>IF(C73=0,0,C76/C73)</f>
        <v>0.56800631749149588</v>
      </c>
      <c r="D77" s="366">
        <f>IF(LN_IB1=0,0,LN_IB34/LN_IB32)</f>
        <v>0.55004050378534985</v>
      </c>
      <c r="E77" s="405">
        <f>D77-C77</f>
        <v>-1.7965813706146028E-2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638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639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604</v>
      </c>
      <c r="C83" s="361">
        <v>2605659</v>
      </c>
      <c r="D83" s="361">
        <v>1744121</v>
      </c>
      <c r="E83" s="361">
        <f t="shared" ref="E83:E95" si="8">D83-C83</f>
        <v>-861538</v>
      </c>
      <c r="F83" s="362">
        <f t="shared" ref="F83:F95" si="9">IF(C83=0,0,E83/C83)</f>
        <v>-0.3306411161245581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605</v>
      </c>
      <c r="C84" s="361">
        <v>188048</v>
      </c>
      <c r="D84" s="361">
        <v>25685</v>
      </c>
      <c r="E84" s="361">
        <f t="shared" si="8"/>
        <v>-162363</v>
      </c>
      <c r="F84" s="362">
        <f t="shared" si="9"/>
        <v>-0.8634125329703054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606</v>
      </c>
      <c r="C85" s="366">
        <f>IF(C83=0,0,C84/C83)</f>
        <v>7.2169075078511807E-2</v>
      </c>
      <c r="D85" s="366">
        <f>IF(LN_IC1=0,0,LN_IC2/LN_IC1)</f>
        <v>1.4726615871261225E-2</v>
      </c>
      <c r="E85" s="367">
        <f t="shared" si="8"/>
        <v>-5.7442459207250579E-2</v>
      </c>
      <c r="F85" s="362">
        <f t="shared" si="9"/>
        <v>-0.7959428487168454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99</v>
      </c>
      <c r="D86" s="369">
        <v>79</v>
      </c>
      <c r="E86" s="369">
        <f t="shared" si="8"/>
        <v>-20</v>
      </c>
      <c r="F86" s="362">
        <f t="shared" si="9"/>
        <v>-0.20202020202020202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607</v>
      </c>
      <c r="C87" s="372">
        <v>1.1172299999999999</v>
      </c>
      <c r="D87" s="372">
        <v>1.0085500000000001</v>
      </c>
      <c r="E87" s="373">
        <f t="shared" si="8"/>
        <v>-0.10867999999999989</v>
      </c>
      <c r="F87" s="362">
        <f t="shared" si="9"/>
        <v>-9.7276299419098933E-2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608</v>
      </c>
      <c r="C88" s="376">
        <f>C86*C87</f>
        <v>110.60576999999999</v>
      </c>
      <c r="D88" s="376">
        <f>LN_IC4*LN_IC5</f>
        <v>79.675449999999998</v>
      </c>
      <c r="E88" s="376">
        <f t="shared" si="8"/>
        <v>-30.930319999999995</v>
      </c>
      <c r="F88" s="362">
        <f t="shared" si="9"/>
        <v>-0.27964472377887695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609</v>
      </c>
      <c r="C89" s="378">
        <f>IF(C88=0,0,C84/C88)</f>
        <v>1700.1644670074627</v>
      </c>
      <c r="D89" s="378">
        <f>IF(LN_IC6=0,0,LN_IC2/LN_IC6)</f>
        <v>322.37031607603097</v>
      </c>
      <c r="E89" s="378">
        <f t="shared" si="8"/>
        <v>-1377.7941509314317</v>
      </c>
      <c r="F89" s="362">
        <f t="shared" si="9"/>
        <v>-0.81038874630555613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640</v>
      </c>
      <c r="C90" s="378">
        <f>C48-C89</f>
        <v>5998.5670694429054</v>
      </c>
      <c r="D90" s="378">
        <f>LN_IB7-LN_IC7</f>
        <v>6925.5029977873783</v>
      </c>
      <c r="E90" s="378">
        <f t="shared" si="8"/>
        <v>926.93592834447281</v>
      </c>
      <c r="F90" s="362">
        <f t="shared" si="9"/>
        <v>0.15452622561583837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641</v>
      </c>
      <c r="C91" s="378">
        <f>C21-C89</f>
        <v>5027.8691564327637</v>
      </c>
      <c r="D91" s="378">
        <f>LN_IA7-LN_IC7</f>
        <v>6451.9223455814226</v>
      </c>
      <c r="E91" s="378">
        <f t="shared" si="8"/>
        <v>1424.0531891486589</v>
      </c>
      <c r="F91" s="362">
        <f t="shared" si="9"/>
        <v>0.28323195072144919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626</v>
      </c>
      <c r="C92" s="353">
        <f>C91*C88</f>
        <v>556111.33950649621</v>
      </c>
      <c r="D92" s="353">
        <f>LN_IC9*LN_IC6</f>
        <v>514059.81624925532</v>
      </c>
      <c r="E92" s="353">
        <f t="shared" si="8"/>
        <v>-42051.523257240886</v>
      </c>
      <c r="F92" s="362">
        <f t="shared" si="9"/>
        <v>-7.5617093682279896E-2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440</v>
      </c>
      <c r="D93" s="369">
        <v>278</v>
      </c>
      <c r="E93" s="369">
        <f t="shared" si="8"/>
        <v>-162</v>
      </c>
      <c r="F93" s="362">
        <f t="shared" si="9"/>
        <v>-0.36818181818181817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610</v>
      </c>
      <c r="C94" s="411">
        <f>IF(C93=0,0,C84/C93)</f>
        <v>427.38181818181818</v>
      </c>
      <c r="D94" s="411">
        <f>IF(LN_IC11=0,0,LN_IC2/LN_IC11)</f>
        <v>92.392086330935257</v>
      </c>
      <c r="E94" s="411">
        <f t="shared" si="8"/>
        <v>-334.98973185088289</v>
      </c>
      <c r="F94" s="362">
        <f t="shared" si="9"/>
        <v>-0.78381839750695814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611</v>
      </c>
      <c r="C95" s="379">
        <f>IF(C86=0,0,C93/C86)</f>
        <v>4.4444444444444446</v>
      </c>
      <c r="D95" s="379">
        <f>IF(LN_IC4=0,0,LN_IC11/LN_IC4)</f>
        <v>3.518987341772152</v>
      </c>
      <c r="E95" s="379">
        <f t="shared" si="8"/>
        <v>-0.92545710267229264</v>
      </c>
      <c r="F95" s="362">
        <f t="shared" si="9"/>
        <v>-0.20822784810126582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642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613</v>
      </c>
      <c r="C98" s="361">
        <v>5204794</v>
      </c>
      <c r="D98" s="361">
        <v>3962849</v>
      </c>
      <c r="E98" s="361">
        <f t="shared" ref="E98:E106" si="10">D98-C98</f>
        <v>-1241945</v>
      </c>
      <c r="F98" s="362">
        <f t="shared" ref="F98:F106" si="11">IF(C98=0,0,E98/C98)</f>
        <v>-0.23861559170257265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614</v>
      </c>
      <c r="C99" s="361">
        <v>462477</v>
      </c>
      <c r="D99" s="361">
        <v>317583</v>
      </c>
      <c r="E99" s="361">
        <f t="shared" si="10"/>
        <v>-144894</v>
      </c>
      <c r="F99" s="362">
        <f t="shared" si="11"/>
        <v>-0.31329990464390661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615</v>
      </c>
      <c r="C100" s="366">
        <f>IF(C98=0,0,C99/C98)</f>
        <v>8.8855966249576826E-2</v>
      </c>
      <c r="D100" s="366">
        <f>IF(LN_IC14=0,0,LN_IC15/LN_IC14)</f>
        <v>8.0140070943909292E-2</v>
      </c>
      <c r="E100" s="367">
        <f t="shared" si="10"/>
        <v>-8.7158953056675342E-3</v>
      </c>
      <c r="F100" s="362">
        <f t="shared" si="11"/>
        <v>-9.8090152789363685E-2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616</v>
      </c>
      <c r="C101" s="366">
        <f>IF(C83=0,0,C98/C83)</f>
        <v>1.9974962188068355</v>
      </c>
      <c r="D101" s="366">
        <f>IF(LN_IC1=0,0,LN_IC14/LN_IC1)</f>
        <v>2.2721181615266373</v>
      </c>
      <c r="E101" s="367">
        <f t="shared" si="10"/>
        <v>0.27462194271980178</v>
      </c>
      <c r="F101" s="362">
        <f t="shared" si="11"/>
        <v>0.1374830851413785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617</v>
      </c>
      <c r="C102" s="376">
        <f>C101*C86</f>
        <v>197.7521256618767</v>
      </c>
      <c r="D102" s="376">
        <f>LN_IC17*LN_IC4</f>
        <v>179.49733476060433</v>
      </c>
      <c r="E102" s="376">
        <f t="shared" si="10"/>
        <v>-18.254790901272372</v>
      </c>
      <c r="F102" s="362">
        <f t="shared" si="11"/>
        <v>-9.2311477513445456E-2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618</v>
      </c>
      <c r="C103" s="378">
        <f>IF(C102=0,0,C99/C102)</f>
        <v>2338.670183453597</v>
      </c>
      <c r="D103" s="378">
        <f>IF(LN_IC18=0,0,LN_IC15/LN_IC18)</f>
        <v>1769.2908946172408</v>
      </c>
      <c r="E103" s="378">
        <f t="shared" si="10"/>
        <v>-569.37928883635618</v>
      </c>
      <c r="F103" s="362">
        <f t="shared" si="11"/>
        <v>-0.24346284177426578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643</v>
      </c>
      <c r="C104" s="378">
        <f>C61-C103</f>
        <v>6187.6346066138931</v>
      </c>
      <c r="D104" s="378">
        <f>LN_IB18-LN_IC19</f>
        <v>6791.9844423399918</v>
      </c>
      <c r="E104" s="378">
        <f t="shared" si="10"/>
        <v>604.34983572609872</v>
      </c>
      <c r="F104" s="362">
        <f t="shared" si="11"/>
        <v>9.7670575938681961E-2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644</v>
      </c>
      <c r="C105" s="378">
        <f>C32-C103</f>
        <v>5946.4341554323682</v>
      </c>
      <c r="D105" s="378">
        <f>LN_IA16-LN_IC19</f>
        <v>5929.7595831110712</v>
      </c>
      <c r="E105" s="378">
        <f t="shared" si="10"/>
        <v>-16.674572321297092</v>
      </c>
      <c r="F105" s="362">
        <f t="shared" si="11"/>
        <v>-2.8041296490374868E-3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629</v>
      </c>
      <c r="C106" s="361">
        <f>C105*C102</f>
        <v>1175919.9943451374</v>
      </c>
      <c r="D106" s="361">
        <f>LN_IC21*LN_IC18</f>
        <v>1064376.0409395895</v>
      </c>
      <c r="E106" s="361">
        <f t="shared" si="10"/>
        <v>-111543.95340554789</v>
      </c>
      <c r="F106" s="362">
        <f t="shared" si="11"/>
        <v>-9.4856753811441083E-2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645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620</v>
      </c>
      <c r="C109" s="361">
        <f>C83+C98</f>
        <v>7810453</v>
      </c>
      <c r="D109" s="361">
        <f>LN_IC1+LN_IC14</f>
        <v>5706970</v>
      </c>
      <c r="E109" s="361">
        <f>D109-C109</f>
        <v>-2103483</v>
      </c>
      <c r="F109" s="362">
        <f>IF(C109=0,0,E109/C109)</f>
        <v>-0.26931638920303341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621</v>
      </c>
      <c r="C110" s="361">
        <f>C84+C99</f>
        <v>650525</v>
      </c>
      <c r="D110" s="361">
        <f>LN_IC2+LN_IC15</f>
        <v>343268</v>
      </c>
      <c r="E110" s="361">
        <f>D110-C110</f>
        <v>-307257</v>
      </c>
      <c r="F110" s="362">
        <f>IF(C110=0,0,E110/C110)</f>
        <v>-0.47232158641097577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622</v>
      </c>
      <c r="C111" s="361">
        <f>C109-C110</f>
        <v>7159928</v>
      </c>
      <c r="D111" s="361">
        <f>LN_IC23-LN_IC24</f>
        <v>5363702</v>
      </c>
      <c r="E111" s="361">
        <f>D111-C111</f>
        <v>-1796226</v>
      </c>
      <c r="F111" s="362">
        <f>IF(C111=0,0,E111/C111)</f>
        <v>-0.25087207580858356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631</v>
      </c>
      <c r="C113" s="361">
        <f>C92+C106</f>
        <v>1732031.3338516336</v>
      </c>
      <c r="D113" s="361">
        <f>LN_IC10+LN_IC22</f>
        <v>1578435.8571888448</v>
      </c>
      <c r="E113" s="361">
        <f>D113-C113</f>
        <v>-153595.47666278877</v>
      </c>
      <c r="F113" s="362">
        <f>IF(C113=0,0,E113/C113)</f>
        <v>-8.8679386833740631E-2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646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647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604</v>
      </c>
      <c r="C118" s="361">
        <v>6734400</v>
      </c>
      <c r="D118" s="361">
        <v>5974004</v>
      </c>
      <c r="E118" s="361">
        <f t="shared" ref="E118:E130" si="12">D118-C118</f>
        <v>-760396</v>
      </c>
      <c r="F118" s="362">
        <f t="shared" ref="F118:F130" si="13">IF(C118=0,0,E118/C118)</f>
        <v>-0.11291221192682348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605</v>
      </c>
      <c r="C119" s="361">
        <v>1481372</v>
      </c>
      <c r="D119" s="361">
        <v>1555529</v>
      </c>
      <c r="E119" s="361">
        <f t="shared" si="12"/>
        <v>74157</v>
      </c>
      <c r="F119" s="362">
        <f t="shared" si="13"/>
        <v>5.0059674409938894E-2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606</v>
      </c>
      <c r="C120" s="366">
        <f>IF(C118=0,0,C119/C118)</f>
        <v>0.21997089569969114</v>
      </c>
      <c r="D120" s="366">
        <f>IF(LN_ID1=0,0,LN_1D2/LN_ID1)</f>
        <v>0.26038298601741816</v>
      </c>
      <c r="E120" s="367">
        <f t="shared" si="12"/>
        <v>4.0412090317727023E-2</v>
      </c>
      <c r="F120" s="362">
        <f t="shared" si="13"/>
        <v>0.18371562378369569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417</v>
      </c>
      <c r="D121" s="369">
        <v>406</v>
      </c>
      <c r="E121" s="369">
        <f t="shared" si="12"/>
        <v>-11</v>
      </c>
      <c r="F121" s="362">
        <f t="shared" si="13"/>
        <v>-2.6378896882494004E-2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607</v>
      </c>
      <c r="C122" s="372">
        <v>0.82345000000000002</v>
      </c>
      <c r="D122" s="372">
        <v>0.90485000000000004</v>
      </c>
      <c r="E122" s="373">
        <f t="shared" si="12"/>
        <v>8.1400000000000028E-2</v>
      </c>
      <c r="F122" s="362">
        <f t="shared" si="13"/>
        <v>9.8852389337543298E-2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608</v>
      </c>
      <c r="C123" s="376">
        <f>C121*C122</f>
        <v>343.37864999999999</v>
      </c>
      <c r="D123" s="376">
        <f>LN_ID4*LN_ID5</f>
        <v>367.3691</v>
      </c>
      <c r="E123" s="376">
        <f t="shared" si="12"/>
        <v>23.99045000000001</v>
      </c>
      <c r="F123" s="362">
        <f t="shared" si="13"/>
        <v>6.9865875470126085E-2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609</v>
      </c>
      <c r="C124" s="378">
        <f>IF(C123=0,0,C119/C123)</f>
        <v>4314.1063080072099</v>
      </c>
      <c r="D124" s="378">
        <f>IF(LN_ID6=0,0,LN_1D2/LN_ID6)</f>
        <v>4234.2401688111495</v>
      </c>
      <c r="E124" s="378">
        <f t="shared" si="12"/>
        <v>-79.866139196060431</v>
      </c>
      <c r="F124" s="362">
        <f t="shared" si="13"/>
        <v>-1.8512788859149032E-2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648</v>
      </c>
      <c r="C125" s="378">
        <f>C48-C124</f>
        <v>3384.6252284431584</v>
      </c>
      <c r="D125" s="378">
        <f>LN_IB7-LN_ID7</f>
        <v>3013.6331450522594</v>
      </c>
      <c r="E125" s="378">
        <f t="shared" si="12"/>
        <v>-370.9920833908991</v>
      </c>
      <c r="F125" s="362">
        <f t="shared" si="13"/>
        <v>-0.10961097857252161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649</v>
      </c>
      <c r="C126" s="378">
        <f>C21-C124</f>
        <v>2413.9273154330167</v>
      </c>
      <c r="D126" s="378">
        <f>LN_IA7-LN_ID7</f>
        <v>2540.0524928463037</v>
      </c>
      <c r="E126" s="378">
        <f t="shared" si="12"/>
        <v>126.12517741328702</v>
      </c>
      <c r="F126" s="362">
        <f t="shared" si="13"/>
        <v>5.2248954062091284E-2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626</v>
      </c>
      <c r="C127" s="391">
        <f>C126*C123</f>
        <v>828891.1027715134</v>
      </c>
      <c r="D127" s="391">
        <f>LN_ID9*LN_ID6</f>
        <v>933136.79824970302</v>
      </c>
      <c r="E127" s="391">
        <f t="shared" si="12"/>
        <v>104245.69547818962</v>
      </c>
      <c r="F127" s="362">
        <f t="shared" si="13"/>
        <v>0.12576524845016379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1485</v>
      </c>
      <c r="D128" s="369">
        <v>1247</v>
      </c>
      <c r="E128" s="369">
        <f t="shared" si="12"/>
        <v>-238</v>
      </c>
      <c r="F128" s="362">
        <f t="shared" si="13"/>
        <v>-0.16026936026936026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610</v>
      </c>
      <c r="C129" s="378">
        <f>IF(C128=0,0,C119/C128)</f>
        <v>997.55690235690236</v>
      </c>
      <c r="D129" s="378">
        <f>IF(LN_ID11=0,0,LN_1D2/LN_ID11)</f>
        <v>1247.4170008019246</v>
      </c>
      <c r="E129" s="378">
        <f t="shared" si="12"/>
        <v>249.86009844502223</v>
      </c>
      <c r="F129" s="362">
        <f t="shared" si="13"/>
        <v>0.25047202606155511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611</v>
      </c>
      <c r="C130" s="379">
        <f>IF(C121=0,0,C128/C121)</f>
        <v>3.5611510791366907</v>
      </c>
      <c r="D130" s="379">
        <f>IF(LN_ID4=0,0,LN_ID11/LN_ID4)</f>
        <v>3.0714285714285716</v>
      </c>
      <c r="E130" s="379">
        <f t="shared" si="12"/>
        <v>-0.48972250770811909</v>
      </c>
      <c r="F130" s="362">
        <f t="shared" si="13"/>
        <v>-0.13751803751803748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650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613</v>
      </c>
      <c r="C133" s="361">
        <v>8750141</v>
      </c>
      <c r="D133" s="361">
        <v>11552237</v>
      </c>
      <c r="E133" s="361">
        <f t="shared" ref="E133:E141" si="14">D133-C133</f>
        <v>2802096</v>
      </c>
      <c r="F133" s="362">
        <f t="shared" ref="F133:F141" si="15">IF(C133=0,0,E133/C133)</f>
        <v>0.32023438250880759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614</v>
      </c>
      <c r="C134" s="361">
        <v>1808365</v>
      </c>
      <c r="D134" s="361">
        <v>2450311</v>
      </c>
      <c r="E134" s="361">
        <f t="shared" si="14"/>
        <v>641946</v>
      </c>
      <c r="F134" s="362">
        <f t="shared" si="15"/>
        <v>0.35498696336193192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615</v>
      </c>
      <c r="C135" s="366">
        <f>IF(C133=0,0,C134/C133)</f>
        <v>0.2066669554239183</v>
      </c>
      <c r="D135" s="366">
        <f>IF(LN_ID14=0,0,LN_ID15/LN_ID14)</f>
        <v>0.21210705770665889</v>
      </c>
      <c r="E135" s="367">
        <f t="shared" si="14"/>
        <v>5.4401022827405832E-3</v>
      </c>
      <c r="F135" s="362">
        <f t="shared" si="15"/>
        <v>2.632303878276895E-2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616</v>
      </c>
      <c r="C136" s="366">
        <f>IF(C118=0,0,C133/C118)</f>
        <v>1.2993200582086006</v>
      </c>
      <c r="D136" s="366">
        <f>IF(LN_ID1=0,0,LN_ID14/LN_ID1)</f>
        <v>1.9337511324063392</v>
      </c>
      <c r="E136" s="367">
        <f t="shared" si="14"/>
        <v>0.63443107419773859</v>
      </c>
      <c r="F136" s="362">
        <f t="shared" si="15"/>
        <v>0.4882792889940003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617</v>
      </c>
      <c r="C137" s="376">
        <f>C136*C121</f>
        <v>541.81646427298642</v>
      </c>
      <c r="D137" s="376">
        <f>LN_ID17*LN_ID4</f>
        <v>785.10295975697375</v>
      </c>
      <c r="E137" s="376">
        <f t="shared" si="14"/>
        <v>243.28649548398732</v>
      </c>
      <c r="F137" s="362">
        <f t="shared" si="15"/>
        <v>0.44902012309727624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618</v>
      </c>
      <c r="C138" s="378">
        <f>IF(C137=0,0,C134/C137)</f>
        <v>3337.5969894648333</v>
      </c>
      <c r="D138" s="378">
        <f>IF(LN_ID18=0,0,LN_ID15/LN_ID18)</f>
        <v>3121.0059388369727</v>
      </c>
      <c r="E138" s="378">
        <f t="shared" si="14"/>
        <v>-216.59105062786057</v>
      </c>
      <c r="F138" s="362">
        <f t="shared" si="15"/>
        <v>-6.4894309082712182E-2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651</v>
      </c>
      <c r="C139" s="378">
        <f>C61-C138</f>
        <v>5188.7078006026568</v>
      </c>
      <c r="D139" s="378">
        <f>LN_IB18-LN_ID19</f>
        <v>5440.2693981202601</v>
      </c>
      <c r="E139" s="378">
        <f t="shared" si="14"/>
        <v>251.56159751760333</v>
      </c>
      <c r="F139" s="362">
        <f t="shared" si="15"/>
        <v>4.8482513794356467E-2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652</v>
      </c>
      <c r="C140" s="378">
        <f>C32-C138</f>
        <v>4947.5073494211319</v>
      </c>
      <c r="D140" s="378">
        <f>LN_IA16-LN_ID19</f>
        <v>4578.0445388913395</v>
      </c>
      <c r="E140" s="378">
        <f t="shared" si="14"/>
        <v>-369.46281052979248</v>
      </c>
      <c r="F140" s="362">
        <f t="shared" si="15"/>
        <v>-7.4676556179956027E-2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629</v>
      </c>
      <c r="C141" s="353">
        <f>C140*C137</f>
        <v>2680640.9390279725</v>
      </c>
      <c r="D141" s="353">
        <f>LN_ID21*LN_ID18</f>
        <v>3594236.3173828409</v>
      </c>
      <c r="E141" s="353">
        <f t="shared" si="14"/>
        <v>913595.37835486839</v>
      </c>
      <c r="F141" s="362">
        <f t="shared" si="15"/>
        <v>0.3408122904689157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653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620</v>
      </c>
      <c r="C144" s="361">
        <f>C118+C133</f>
        <v>15484541</v>
      </c>
      <c r="D144" s="361">
        <f>LN_ID1+LN_ID14</f>
        <v>17526241</v>
      </c>
      <c r="E144" s="361">
        <f>D144-C144</f>
        <v>2041700</v>
      </c>
      <c r="F144" s="362">
        <f>IF(C144=0,0,E144/C144)</f>
        <v>0.13185408595579295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621</v>
      </c>
      <c r="C145" s="361">
        <f>C119+C134</f>
        <v>3289737</v>
      </c>
      <c r="D145" s="361">
        <f>LN_1D2+LN_ID15</f>
        <v>4005840</v>
      </c>
      <c r="E145" s="361">
        <f>D145-C145</f>
        <v>716103</v>
      </c>
      <c r="F145" s="362">
        <f>IF(C145=0,0,E145/C145)</f>
        <v>0.21767788732047577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622</v>
      </c>
      <c r="C146" s="361">
        <f>C144-C145</f>
        <v>12194804</v>
      </c>
      <c r="D146" s="361">
        <f>LN_ID23-LN_ID24</f>
        <v>13520401</v>
      </c>
      <c r="E146" s="361">
        <f>D146-C146</f>
        <v>1325597</v>
      </c>
      <c r="F146" s="362">
        <f>IF(C146=0,0,E146/C146)</f>
        <v>0.10870178807301864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631</v>
      </c>
      <c r="C148" s="361">
        <f>C127+C141</f>
        <v>3509532.0417994857</v>
      </c>
      <c r="D148" s="361">
        <f>LN_ID10+LN_ID22</f>
        <v>4527373.1156325443</v>
      </c>
      <c r="E148" s="361">
        <f>D148-C148</f>
        <v>1017841.0738330586</v>
      </c>
      <c r="F148" s="415">
        <f>IF(C148=0,0,E148/C148)</f>
        <v>0.29002187804821078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654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655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604</v>
      </c>
      <c r="C153" s="361">
        <v>755730</v>
      </c>
      <c r="D153" s="361">
        <v>168175</v>
      </c>
      <c r="E153" s="361">
        <f t="shared" ref="E153:E165" si="16">D153-C153</f>
        <v>-587555</v>
      </c>
      <c r="F153" s="362">
        <f t="shared" ref="F153:F165" si="17">IF(C153=0,0,E153/C153)</f>
        <v>-0.77746682016063939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605</v>
      </c>
      <c r="C154" s="361">
        <v>59200</v>
      </c>
      <c r="D154" s="361">
        <v>13543</v>
      </c>
      <c r="E154" s="361">
        <f t="shared" si="16"/>
        <v>-45657</v>
      </c>
      <c r="F154" s="362">
        <f t="shared" si="17"/>
        <v>-0.77123310810810808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606</v>
      </c>
      <c r="C155" s="366">
        <f>IF(C153=0,0,C154/C153)</f>
        <v>7.8334855040821452E-2</v>
      </c>
      <c r="D155" s="366">
        <f>IF(LN_IE1=0,0,LN_IE2/LN_IE1)</f>
        <v>8.0529210643674742E-2</v>
      </c>
      <c r="E155" s="367">
        <f t="shared" si="16"/>
        <v>2.1943556028532901E-3</v>
      </c>
      <c r="F155" s="362">
        <f t="shared" si="17"/>
        <v>2.8012506076762114E-2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27</v>
      </c>
      <c r="D156" s="419">
        <v>7</v>
      </c>
      <c r="E156" s="419">
        <f t="shared" si="16"/>
        <v>-20</v>
      </c>
      <c r="F156" s="362">
        <f t="shared" si="17"/>
        <v>-0.7407407407407407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607</v>
      </c>
      <c r="C157" s="372">
        <v>1.19089</v>
      </c>
      <c r="D157" s="372">
        <v>1.14018</v>
      </c>
      <c r="E157" s="373">
        <f t="shared" si="16"/>
        <v>-5.0710000000000033E-2</v>
      </c>
      <c r="F157" s="362">
        <f t="shared" si="17"/>
        <v>-4.2581598636314041E-2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608</v>
      </c>
      <c r="C158" s="376">
        <f>C156*C157</f>
        <v>32.154029999999999</v>
      </c>
      <c r="D158" s="376">
        <f>LN_IE4*LN_IE5</f>
        <v>7.9812599999999998</v>
      </c>
      <c r="E158" s="376">
        <f t="shared" si="16"/>
        <v>-24.17277</v>
      </c>
      <c r="F158" s="362">
        <f t="shared" si="17"/>
        <v>-0.75178041446126664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609</v>
      </c>
      <c r="C159" s="378">
        <f>IF(C158=0,0,C154/C158)</f>
        <v>1841.1377982790959</v>
      </c>
      <c r="D159" s="378">
        <f>IF(LN_IE6=0,0,LN_IE2/LN_IE6)</f>
        <v>1696.8498708224015</v>
      </c>
      <c r="E159" s="378">
        <f t="shared" si="16"/>
        <v>-144.28792745669443</v>
      </c>
      <c r="F159" s="362">
        <f t="shared" si="17"/>
        <v>-7.8368891014871225E-2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656</v>
      </c>
      <c r="C160" s="378">
        <f>C48-C159</f>
        <v>5857.593738171272</v>
      </c>
      <c r="D160" s="378">
        <f>LN_IB7-LN_IE7</f>
        <v>5551.0234430410073</v>
      </c>
      <c r="E160" s="378">
        <f t="shared" si="16"/>
        <v>-306.57029513026464</v>
      </c>
      <c r="F160" s="362">
        <f t="shared" si="17"/>
        <v>-5.233724099581806E-2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657</v>
      </c>
      <c r="C161" s="378">
        <f>C21-C159</f>
        <v>4886.8958251611311</v>
      </c>
      <c r="D161" s="378">
        <f>LN_IA7-LN_IE7</f>
        <v>5077.4427908350517</v>
      </c>
      <c r="E161" s="378">
        <f t="shared" si="16"/>
        <v>190.54696567392057</v>
      </c>
      <c r="F161" s="362">
        <f t="shared" si="17"/>
        <v>3.8991411417622725E-2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626</v>
      </c>
      <c r="C162" s="391">
        <f>C161*C158</f>
        <v>157133.39496910575</v>
      </c>
      <c r="D162" s="391">
        <f>LN_IE9*LN_IE6</f>
        <v>40524.391048780162</v>
      </c>
      <c r="E162" s="391">
        <f t="shared" si="16"/>
        <v>-116609.00392032559</v>
      </c>
      <c r="F162" s="362">
        <f t="shared" si="17"/>
        <v>-0.74210198247961401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105</v>
      </c>
      <c r="D163" s="369">
        <v>20</v>
      </c>
      <c r="E163" s="419">
        <f t="shared" si="16"/>
        <v>-85</v>
      </c>
      <c r="F163" s="362">
        <f t="shared" si="17"/>
        <v>-0.80952380952380953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610</v>
      </c>
      <c r="C164" s="378">
        <f>IF(C163=0,0,C154/C163)</f>
        <v>563.80952380952385</v>
      </c>
      <c r="D164" s="378">
        <f>IF(LN_IE11=0,0,LN_IE2/LN_IE11)</f>
        <v>677.15</v>
      </c>
      <c r="E164" s="378">
        <f t="shared" si="16"/>
        <v>113.34047619047612</v>
      </c>
      <c r="F164" s="362">
        <f t="shared" si="17"/>
        <v>0.20102618243243231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611</v>
      </c>
      <c r="C165" s="379">
        <f>IF(C156=0,0,C163/C156)</f>
        <v>3.8888888888888888</v>
      </c>
      <c r="D165" s="379">
        <f>IF(LN_IE4=0,0,LN_IE11/LN_IE4)</f>
        <v>2.8571428571428572</v>
      </c>
      <c r="E165" s="379">
        <f t="shared" si="16"/>
        <v>-1.0317460317460316</v>
      </c>
      <c r="F165" s="362">
        <f t="shared" si="17"/>
        <v>-0.26530612244897955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658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613</v>
      </c>
      <c r="C168" s="424">
        <v>2115622</v>
      </c>
      <c r="D168" s="424">
        <v>301352</v>
      </c>
      <c r="E168" s="424">
        <f t="shared" ref="E168:E176" si="18">D168-C168</f>
        <v>-1814270</v>
      </c>
      <c r="F168" s="362">
        <f t="shared" ref="F168:F176" si="19">IF(C168=0,0,E168/C168)</f>
        <v>-0.85755867541555153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614</v>
      </c>
      <c r="C169" s="424">
        <v>244073</v>
      </c>
      <c r="D169" s="424">
        <v>48209</v>
      </c>
      <c r="E169" s="424">
        <f t="shared" si="18"/>
        <v>-195864</v>
      </c>
      <c r="F169" s="362">
        <f t="shared" si="19"/>
        <v>-0.80248122487944185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615</v>
      </c>
      <c r="C170" s="366">
        <f>IF(C168=0,0,C169/C168)</f>
        <v>0.11536701735943378</v>
      </c>
      <c r="D170" s="366">
        <f>IF(LN_IE14=0,0,LN_IE15/LN_IE14)</f>
        <v>0.15997570946932491</v>
      </c>
      <c r="E170" s="367">
        <f t="shared" si="18"/>
        <v>4.4608692109891129E-2</v>
      </c>
      <c r="F170" s="362">
        <f t="shared" si="19"/>
        <v>0.38666763803825943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616</v>
      </c>
      <c r="C171" s="366">
        <f>IF(C153=0,0,C168/C153)</f>
        <v>2.7994415995130537</v>
      </c>
      <c r="D171" s="366">
        <f>IF(LN_IE1=0,0,LN_IE14/LN_IE1)</f>
        <v>1.7918953471086665</v>
      </c>
      <c r="E171" s="367">
        <f t="shared" si="18"/>
        <v>-1.0075462524043872</v>
      </c>
      <c r="F171" s="362">
        <f t="shared" si="19"/>
        <v>-0.35990972363189999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617</v>
      </c>
      <c r="C172" s="376">
        <f>C171*C156</f>
        <v>75.58492318685245</v>
      </c>
      <c r="D172" s="376">
        <f>LN_IE17*LN_IE4</f>
        <v>12.543267429760665</v>
      </c>
      <c r="E172" s="376">
        <f t="shared" si="18"/>
        <v>-63.041655757091789</v>
      </c>
      <c r="F172" s="362">
        <f t="shared" si="19"/>
        <v>-0.83405066908975189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618</v>
      </c>
      <c r="C173" s="378">
        <f>IF(C172=0,0,C169/C172)</f>
        <v>3229.122815890551</v>
      </c>
      <c r="D173" s="378">
        <f>IF(LN_IE18=0,0,LN_IE15/LN_IE18)</f>
        <v>3843.4164200005312</v>
      </c>
      <c r="E173" s="378">
        <f t="shared" si="18"/>
        <v>614.29360410998015</v>
      </c>
      <c r="F173" s="362">
        <f t="shared" si="19"/>
        <v>0.19023544136724505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659</v>
      </c>
      <c r="C174" s="378">
        <f>C61-C173</f>
        <v>5297.1819741769395</v>
      </c>
      <c r="D174" s="378">
        <f>LN_IB18-LN_IE19</f>
        <v>4717.8589169567022</v>
      </c>
      <c r="E174" s="378">
        <f t="shared" si="18"/>
        <v>-579.32305722023739</v>
      </c>
      <c r="F174" s="362">
        <f t="shared" si="19"/>
        <v>-0.10936438658221684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660</v>
      </c>
      <c r="C175" s="378">
        <f>C32-C173</f>
        <v>5055.9815229954147</v>
      </c>
      <c r="D175" s="378">
        <f>LN_IA16-LN_IE19</f>
        <v>3855.6340577277811</v>
      </c>
      <c r="E175" s="378">
        <f t="shared" si="18"/>
        <v>-1200.3474652676337</v>
      </c>
      <c r="F175" s="362">
        <f t="shared" si="19"/>
        <v>-0.23741136311678768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629</v>
      </c>
      <c r="C176" s="353">
        <f>C175*C172</f>
        <v>382155.97504975367</v>
      </c>
      <c r="D176" s="353">
        <f>LN_IE21*LN_IE18</f>
        <v>48362.249097372827</v>
      </c>
      <c r="E176" s="353">
        <f t="shared" si="18"/>
        <v>-333793.72595238086</v>
      </c>
      <c r="F176" s="362">
        <f t="shared" si="19"/>
        <v>-0.87344892594947277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661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620</v>
      </c>
      <c r="C179" s="361">
        <f>C153+C168</f>
        <v>2871352</v>
      </c>
      <c r="D179" s="361">
        <f>LN_IE1+LN_IE14</f>
        <v>469527</v>
      </c>
      <c r="E179" s="361">
        <f>D179-C179</f>
        <v>-2401825</v>
      </c>
      <c r="F179" s="362">
        <f>IF(C179=0,0,E179/C179)</f>
        <v>-0.83647877376232516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621</v>
      </c>
      <c r="C180" s="361">
        <f>C154+C169</f>
        <v>303273</v>
      </c>
      <c r="D180" s="361">
        <f>LN_IE15+LN_IE2</f>
        <v>61752</v>
      </c>
      <c r="E180" s="361">
        <f>D180-C180</f>
        <v>-241521</v>
      </c>
      <c r="F180" s="362">
        <f>IF(C180=0,0,E180/C180)</f>
        <v>-0.79638147807421034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622</v>
      </c>
      <c r="C181" s="361">
        <f>C179-C180</f>
        <v>2568079</v>
      </c>
      <c r="D181" s="361">
        <f>LN_IE23-LN_IE24</f>
        <v>407775</v>
      </c>
      <c r="E181" s="361">
        <f>D181-C181</f>
        <v>-2160304</v>
      </c>
      <c r="F181" s="362">
        <f>IF(C181=0,0,E181/C181)</f>
        <v>-0.84121399692143428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662</v>
      </c>
      <c r="C183" s="361">
        <f>C162+C176</f>
        <v>539289.37001885939</v>
      </c>
      <c r="D183" s="361">
        <f>LN_IE10+LN_IE22</f>
        <v>88886.640146152989</v>
      </c>
      <c r="E183" s="353">
        <f>D183-C183</f>
        <v>-450402.7298727064</v>
      </c>
      <c r="F183" s="362">
        <f>IF(C183=0,0,E183/C183)</f>
        <v>-0.83517820842075086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663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664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604</v>
      </c>
      <c r="C188" s="361">
        <f>C118+C153</f>
        <v>7490130</v>
      </c>
      <c r="D188" s="361">
        <f>LN_ID1+LN_IE1</f>
        <v>6142179</v>
      </c>
      <c r="E188" s="361">
        <f t="shared" ref="E188:E200" si="20">D188-C188</f>
        <v>-1347951</v>
      </c>
      <c r="F188" s="362">
        <f t="shared" ref="F188:F200" si="21">IF(C188=0,0,E188/C188)</f>
        <v>-0.17996363213989611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605</v>
      </c>
      <c r="C189" s="361">
        <f>C119+C154</f>
        <v>1540572</v>
      </c>
      <c r="D189" s="361">
        <f>LN_1D2+LN_IE2</f>
        <v>1569072</v>
      </c>
      <c r="E189" s="361">
        <f t="shared" si="20"/>
        <v>28500</v>
      </c>
      <c r="F189" s="362">
        <f t="shared" si="21"/>
        <v>1.8499622218241016E-2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606</v>
      </c>
      <c r="C190" s="366">
        <f>IF(C188=0,0,C189/C188)</f>
        <v>0.20568027524221877</v>
      </c>
      <c r="D190" s="366">
        <f>IF(LN_IF1=0,0,LN_IF2/LN_IF1)</f>
        <v>0.25545852701459859</v>
      </c>
      <c r="E190" s="367">
        <f t="shared" si="20"/>
        <v>4.9778251772379822E-2</v>
      </c>
      <c r="F190" s="362">
        <f t="shared" si="21"/>
        <v>0.24201762523780471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444</v>
      </c>
      <c r="D191" s="369">
        <f>LN_ID4+LN_IE4</f>
        <v>413</v>
      </c>
      <c r="E191" s="369">
        <f t="shared" si="20"/>
        <v>-31</v>
      </c>
      <c r="F191" s="362">
        <f t="shared" si="21"/>
        <v>-6.9819819819819814E-2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607</v>
      </c>
      <c r="C192" s="372">
        <f>IF((C121+C156)=0,0,(C123+C158)/(C121+C156))</f>
        <v>0.84579432432432422</v>
      </c>
      <c r="D192" s="372">
        <f>IF((LN_ID4+LN_IE4)=0,0,(LN_ID6+LN_IE6)/(LN_ID4+LN_IE4))</f>
        <v>0.90883864406779669</v>
      </c>
      <c r="E192" s="373">
        <f t="shared" si="20"/>
        <v>6.3044319743472466E-2</v>
      </c>
      <c r="F192" s="362">
        <f t="shared" si="21"/>
        <v>7.4538593994274427E-2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608</v>
      </c>
      <c r="C193" s="376">
        <f>C123+C158</f>
        <v>375.53267999999997</v>
      </c>
      <c r="D193" s="376">
        <f>LN_IF4*LN_IF5</f>
        <v>375.35036000000002</v>
      </c>
      <c r="E193" s="376">
        <f t="shared" si="20"/>
        <v>-0.18231999999994741</v>
      </c>
      <c r="F193" s="362">
        <f t="shared" si="21"/>
        <v>-4.8549702784840836E-4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609</v>
      </c>
      <c r="C194" s="378">
        <f>IF(C193=0,0,C189/C193)</f>
        <v>4102.3646730292558</v>
      </c>
      <c r="D194" s="378">
        <f>IF(LN_IF6=0,0,LN_IF2/LN_IF6)</f>
        <v>4180.2863862978575</v>
      </c>
      <c r="E194" s="378">
        <f t="shared" si="20"/>
        <v>77.921713268601707</v>
      </c>
      <c r="F194" s="362">
        <f t="shared" si="21"/>
        <v>1.8994340942162753E-2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665</v>
      </c>
      <c r="C195" s="378">
        <f>C48-C194</f>
        <v>3596.3668634211126</v>
      </c>
      <c r="D195" s="378">
        <f>LN_IB7-LN_IF7</f>
        <v>3067.5869275655514</v>
      </c>
      <c r="E195" s="378">
        <f t="shared" si="20"/>
        <v>-528.77993585556123</v>
      </c>
      <c r="F195" s="362">
        <f t="shared" si="21"/>
        <v>-0.14703170058478107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666</v>
      </c>
      <c r="C196" s="378">
        <f>C21-C194</f>
        <v>2625.6689504109709</v>
      </c>
      <c r="D196" s="378">
        <f>LN_IA7-LN_IF7</f>
        <v>2594.0062753595957</v>
      </c>
      <c r="E196" s="378">
        <f t="shared" si="20"/>
        <v>-31.662675051375118</v>
      </c>
      <c r="F196" s="362">
        <f t="shared" si="21"/>
        <v>-1.205889837956124E-2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626</v>
      </c>
      <c r="C197" s="391">
        <f>C127+C162</f>
        <v>986024.49774061912</v>
      </c>
      <c r="D197" s="391">
        <f>LN_IF9*LN_IF6</f>
        <v>973661.18929848343</v>
      </c>
      <c r="E197" s="391">
        <f t="shared" si="20"/>
        <v>-12363.308442135691</v>
      </c>
      <c r="F197" s="362">
        <f t="shared" si="21"/>
        <v>-1.2538540848087476E-2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1590</v>
      </c>
      <c r="D198" s="369">
        <f>LN_ID11+LN_IE11</f>
        <v>1267</v>
      </c>
      <c r="E198" s="369">
        <f t="shared" si="20"/>
        <v>-323</v>
      </c>
      <c r="F198" s="362">
        <f t="shared" si="21"/>
        <v>-0.20314465408805032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610</v>
      </c>
      <c r="C199" s="432">
        <f>IF(C198=0,0,C189/C198)</f>
        <v>968.9132075471698</v>
      </c>
      <c r="D199" s="432">
        <f>IF(LN_IF11=0,0,LN_IF2/LN_IF11)</f>
        <v>1238.4151539068666</v>
      </c>
      <c r="E199" s="432">
        <f t="shared" si="20"/>
        <v>269.50194635969683</v>
      </c>
      <c r="F199" s="362">
        <f t="shared" si="21"/>
        <v>0.27814869717995522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611</v>
      </c>
      <c r="C200" s="379">
        <f>IF(C191=0,0,C198/C191)</f>
        <v>3.5810810810810811</v>
      </c>
      <c r="D200" s="379">
        <f>IF(LN_IF4=0,0,LN_IF11/LN_IF4)</f>
        <v>3.0677966101694913</v>
      </c>
      <c r="E200" s="379">
        <f t="shared" si="20"/>
        <v>-0.5132844709115898</v>
      </c>
      <c r="F200" s="362">
        <f t="shared" si="21"/>
        <v>-0.14333226734889676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667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613</v>
      </c>
      <c r="C203" s="361">
        <f>C133+C168</f>
        <v>10865763</v>
      </c>
      <c r="D203" s="361">
        <f>LN_ID14+LN_IE14</f>
        <v>11853589</v>
      </c>
      <c r="E203" s="361">
        <f t="shared" ref="E203:E211" si="22">D203-C203</f>
        <v>987826</v>
      </c>
      <c r="F203" s="362">
        <f t="shared" ref="F203:F211" si="23">IF(C203=0,0,E203/C203)</f>
        <v>9.0911793308946637E-2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614</v>
      </c>
      <c r="C204" s="361">
        <f>C134+C169</f>
        <v>2052438</v>
      </c>
      <c r="D204" s="361">
        <f>LN_ID15+LN_IE15</f>
        <v>2498520</v>
      </c>
      <c r="E204" s="361">
        <f t="shared" si="22"/>
        <v>446082</v>
      </c>
      <c r="F204" s="362">
        <f t="shared" si="23"/>
        <v>0.217342497069339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615</v>
      </c>
      <c r="C205" s="366">
        <f>IF(C203=0,0,C204/C203)</f>
        <v>0.18889037060719988</v>
      </c>
      <c r="D205" s="366">
        <f>IF(LN_IF14=0,0,LN_IF15/LN_IF14)</f>
        <v>0.2107817303265703</v>
      </c>
      <c r="E205" s="367">
        <f t="shared" si="22"/>
        <v>2.1891359719370423E-2</v>
      </c>
      <c r="F205" s="362">
        <f t="shared" si="23"/>
        <v>0.11589452468645851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616</v>
      </c>
      <c r="C206" s="366">
        <f>IF(C188=0,0,C203/C188)</f>
        <v>1.4506774915789178</v>
      </c>
      <c r="D206" s="366">
        <f>IF(LN_IF1=0,0,LN_IF14/LN_IF1)</f>
        <v>1.9298670716043931</v>
      </c>
      <c r="E206" s="367">
        <f t="shared" si="22"/>
        <v>0.47918958002547529</v>
      </c>
      <c r="F206" s="362">
        <f t="shared" si="23"/>
        <v>0.3303212346004798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617</v>
      </c>
      <c r="C207" s="376">
        <f>C137+C172</f>
        <v>617.40138745983882</v>
      </c>
      <c r="D207" s="376">
        <f>LN_ID18+LN_IE18</f>
        <v>797.64622718673445</v>
      </c>
      <c r="E207" s="376">
        <f t="shared" si="22"/>
        <v>180.24483972689563</v>
      </c>
      <c r="F207" s="362">
        <f t="shared" si="23"/>
        <v>0.29194109923930212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618</v>
      </c>
      <c r="C208" s="378">
        <f>IF(C207=0,0,C204/C207)</f>
        <v>3324.3171163646089</v>
      </c>
      <c r="D208" s="378">
        <f>IF(LN_IF18=0,0,LN_IF15/LN_IF18)</f>
        <v>3132.3660977024583</v>
      </c>
      <c r="E208" s="378">
        <f t="shared" si="22"/>
        <v>-191.95101866215055</v>
      </c>
      <c r="F208" s="362">
        <f t="shared" si="23"/>
        <v>-5.7741488535264479E-2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668</v>
      </c>
      <c r="C209" s="378">
        <f>C61-C208</f>
        <v>5201.9876737028808</v>
      </c>
      <c r="D209" s="378">
        <f>LN_IB18-LN_IF19</f>
        <v>5428.9092392547745</v>
      </c>
      <c r="E209" s="378">
        <f t="shared" si="22"/>
        <v>226.92156555189376</v>
      </c>
      <c r="F209" s="362">
        <f t="shared" si="23"/>
        <v>4.3622088283489985E-2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669</v>
      </c>
      <c r="C210" s="378">
        <f>C32-C208</f>
        <v>4960.7872225213559</v>
      </c>
      <c r="D210" s="378">
        <f>LN_IA16-LN_IF19</f>
        <v>4566.6843800258539</v>
      </c>
      <c r="E210" s="378">
        <f t="shared" si="22"/>
        <v>-394.10284249550205</v>
      </c>
      <c r="F210" s="362">
        <f t="shared" si="23"/>
        <v>-7.9443609414716329E-2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629</v>
      </c>
      <c r="C211" s="391">
        <f>C141+C176</f>
        <v>3062796.9140777262</v>
      </c>
      <c r="D211" s="353">
        <f>LN_IF21*LN_IF18</f>
        <v>3642598.5664802138</v>
      </c>
      <c r="E211" s="353">
        <f t="shared" si="22"/>
        <v>579801.65240248758</v>
      </c>
      <c r="F211" s="362">
        <f t="shared" si="23"/>
        <v>0.1893046351645154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670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620</v>
      </c>
      <c r="C214" s="361">
        <f>C188+C203</f>
        <v>18355893</v>
      </c>
      <c r="D214" s="361">
        <f>LN_IF1+LN_IF14</f>
        <v>17995768</v>
      </c>
      <c r="E214" s="361">
        <f>D214-C214</f>
        <v>-360125</v>
      </c>
      <c r="F214" s="362">
        <f>IF(C214=0,0,E214/C214)</f>
        <v>-1.9619040054330236E-2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621</v>
      </c>
      <c r="C215" s="361">
        <f>C189+C204</f>
        <v>3593010</v>
      </c>
      <c r="D215" s="361">
        <f>LN_IF2+LN_IF15</f>
        <v>4067592</v>
      </c>
      <c r="E215" s="361">
        <f>D215-C215</f>
        <v>474582</v>
      </c>
      <c r="F215" s="362">
        <f>IF(C215=0,0,E215/C215)</f>
        <v>0.13208479798274983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622</v>
      </c>
      <c r="C216" s="361">
        <f>C214-C215</f>
        <v>14762883</v>
      </c>
      <c r="D216" s="361">
        <f>LN_IF23-LN_IF24</f>
        <v>13928176</v>
      </c>
      <c r="E216" s="361">
        <f>D216-C216</f>
        <v>-834707</v>
      </c>
      <c r="F216" s="362">
        <f>IF(C216=0,0,E216/C216)</f>
        <v>-5.6540920902780303E-2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671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672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604</v>
      </c>
      <c r="C221" s="361">
        <v>46587</v>
      </c>
      <c r="D221" s="361">
        <v>152291</v>
      </c>
      <c r="E221" s="361">
        <f t="shared" ref="E221:E230" si="24">D221-C221</f>
        <v>105704</v>
      </c>
      <c r="F221" s="362">
        <f t="shared" ref="F221:F230" si="25">IF(C221=0,0,E221/C221)</f>
        <v>2.2689591516946788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605</v>
      </c>
      <c r="C222" s="361">
        <v>9600</v>
      </c>
      <c r="D222" s="361">
        <v>37915</v>
      </c>
      <c r="E222" s="361">
        <f t="shared" si="24"/>
        <v>28315</v>
      </c>
      <c r="F222" s="362">
        <f t="shared" si="25"/>
        <v>2.9494791666666669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606</v>
      </c>
      <c r="C223" s="366">
        <f>IF(C221=0,0,C222/C221)</f>
        <v>0.20606606993367249</v>
      </c>
      <c r="D223" s="366">
        <f>IF(LN_IG1=0,0,LN_IG2/LN_IG1)</f>
        <v>0.24896415415224799</v>
      </c>
      <c r="E223" s="367">
        <f t="shared" si="24"/>
        <v>4.2898084218575494E-2</v>
      </c>
      <c r="F223" s="362">
        <f t="shared" si="25"/>
        <v>0.20817635932195588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</v>
      </c>
      <c r="D224" s="369">
        <v>12</v>
      </c>
      <c r="E224" s="369">
        <f t="shared" si="24"/>
        <v>9</v>
      </c>
      <c r="F224" s="362">
        <f t="shared" si="25"/>
        <v>3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607</v>
      </c>
      <c r="C225" s="372">
        <v>0.51895000000000002</v>
      </c>
      <c r="D225" s="372">
        <v>0.71243999999999996</v>
      </c>
      <c r="E225" s="373">
        <f t="shared" si="24"/>
        <v>0.19348999999999994</v>
      </c>
      <c r="F225" s="362">
        <f t="shared" si="25"/>
        <v>0.37284902206378251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608</v>
      </c>
      <c r="C226" s="376">
        <f>C224*C225</f>
        <v>1.5568500000000001</v>
      </c>
      <c r="D226" s="376">
        <f>LN_IG3*LN_IG4</f>
        <v>8.5492799999999995</v>
      </c>
      <c r="E226" s="376">
        <f t="shared" si="24"/>
        <v>6.9924299999999997</v>
      </c>
      <c r="F226" s="362">
        <f t="shared" si="25"/>
        <v>4.4913960882551303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609</v>
      </c>
      <c r="C227" s="378">
        <f>IF(C226=0,0,C222/C226)</f>
        <v>6166.2973311494361</v>
      </c>
      <c r="D227" s="378">
        <f>IF(LN_IG5=0,0,LN_IG2/LN_IG5)</f>
        <v>4434.8763872513246</v>
      </c>
      <c r="E227" s="378">
        <f t="shared" si="24"/>
        <v>-1731.4209438981115</v>
      </c>
      <c r="F227" s="362">
        <f t="shared" si="25"/>
        <v>-0.28078778088622658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11</v>
      </c>
      <c r="D228" s="369">
        <v>30</v>
      </c>
      <c r="E228" s="369">
        <f t="shared" si="24"/>
        <v>19</v>
      </c>
      <c r="F228" s="362">
        <f t="shared" si="25"/>
        <v>1.7272727272727273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610</v>
      </c>
      <c r="C229" s="378">
        <f>IF(C228=0,0,C222/C228)</f>
        <v>872.72727272727275</v>
      </c>
      <c r="D229" s="378">
        <f>IF(LN_IG6=0,0,LN_IG2/LN_IG6)</f>
        <v>1263.8333333333333</v>
      </c>
      <c r="E229" s="378">
        <f t="shared" si="24"/>
        <v>391.10606060606051</v>
      </c>
      <c r="F229" s="362">
        <f t="shared" si="25"/>
        <v>0.448142361111111</v>
      </c>
      <c r="Q229" s="330"/>
      <c r="U229" s="375"/>
    </row>
    <row r="230" spans="1:21" ht="11.25" customHeight="1" x14ac:dyDescent="0.2">
      <c r="A230" s="364">
        <v>10</v>
      </c>
      <c r="B230" s="360" t="s">
        <v>611</v>
      </c>
      <c r="C230" s="379">
        <f>IF(C224=0,0,C228/C224)</f>
        <v>3.6666666666666665</v>
      </c>
      <c r="D230" s="379">
        <f>IF(LN_IG3=0,0,LN_IG6/LN_IG3)</f>
        <v>2.5</v>
      </c>
      <c r="E230" s="379">
        <f t="shared" si="24"/>
        <v>-1.1666666666666665</v>
      </c>
      <c r="F230" s="362">
        <f t="shared" si="25"/>
        <v>-0.31818181818181818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673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613</v>
      </c>
      <c r="C233" s="361">
        <v>233699</v>
      </c>
      <c r="D233" s="361">
        <v>213143</v>
      </c>
      <c r="E233" s="361">
        <f>D233-C233</f>
        <v>-20556</v>
      </c>
      <c r="F233" s="362">
        <f>IF(C233=0,0,E233/C233)</f>
        <v>-8.7959298071450878E-2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614</v>
      </c>
      <c r="C234" s="361">
        <v>103943</v>
      </c>
      <c r="D234" s="361">
        <v>57711</v>
      </c>
      <c r="E234" s="361">
        <f>D234-C234</f>
        <v>-46232</v>
      </c>
      <c r="F234" s="362">
        <f>IF(C234=0,0,E234/C234)</f>
        <v>-0.44478223641803682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674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620</v>
      </c>
      <c r="C237" s="361">
        <f>C221+C233</f>
        <v>280286</v>
      </c>
      <c r="D237" s="361">
        <f>LN_IG1+LN_IG9</f>
        <v>365434</v>
      </c>
      <c r="E237" s="361">
        <f>D237-C237</f>
        <v>85148</v>
      </c>
      <c r="F237" s="362">
        <f>IF(C237=0,0,E237/C237)</f>
        <v>0.30378970052018295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621</v>
      </c>
      <c r="C238" s="361">
        <f>C222+C234</f>
        <v>113543</v>
      </c>
      <c r="D238" s="361">
        <f>LN_IG2+LN_IG10</f>
        <v>95626</v>
      </c>
      <c r="E238" s="361">
        <f>D238-C238</f>
        <v>-17917</v>
      </c>
      <c r="F238" s="362">
        <f>IF(C238=0,0,E238/C238)</f>
        <v>-0.15779924786204347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622</v>
      </c>
      <c r="C239" s="361">
        <f>C237-C238</f>
        <v>166743</v>
      </c>
      <c r="D239" s="361">
        <f>LN_IG13-LN_IG14</f>
        <v>269808</v>
      </c>
      <c r="E239" s="361">
        <f>D239-C239</f>
        <v>103065</v>
      </c>
      <c r="F239" s="362">
        <f>IF(C239=0,0,E239/C239)</f>
        <v>0.61810690703657722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675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676</v>
      </c>
      <c r="C243" s="361">
        <v>749027</v>
      </c>
      <c r="D243" s="361">
        <v>779865</v>
      </c>
      <c r="E243" s="353">
        <f>D243-C243</f>
        <v>30838</v>
      </c>
      <c r="F243" s="415">
        <f>IF(C243=0,0,E243/C243)</f>
        <v>4.1170745513846634E-2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677</v>
      </c>
      <c r="C244" s="361">
        <v>88487473</v>
      </c>
      <c r="D244" s="361">
        <v>86047738</v>
      </c>
      <c r="E244" s="353">
        <f>D244-C244</f>
        <v>-2439735</v>
      </c>
      <c r="F244" s="415">
        <f>IF(C244=0,0,E244/C244)</f>
        <v>-2.7571529814169288E-2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678</v>
      </c>
      <c r="C245" s="400">
        <v>360327</v>
      </c>
      <c r="D245" s="400">
        <v>386028</v>
      </c>
      <c r="E245" s="400">
        <f>D245-C245</f>
        <v>25701</v>
      </c>
      <c r="F245" s="401">
        <f>IF(C245=0,0,E245/C245)</f>
        <v>7.1326878085738787E-2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679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680</v>
      </c>
      <c r="C248" s="353">
        <v>122057</v>
      </c>
      <c r="D248" s="353">
        <v>299029</v>
      </c>
      <c r="E248" s="353">
        <f>D248-C248</f>
        <v>176972</v>
      </c>
      <c r="F248" s="362">
        <f>IF(C248=0,0,E248/C248)</f>
        <v>1.4499127456843934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681</v>
      </c>
      <c r="C249" s="353">
        <v>6998451</v>
      </c>
      <c r="D249" s="353">
        <v>6738669</v>
      </c>
      <c r="E249" s="353">
        <f>D249-C249</f>
        <v>-259782</v>
      </c>
      <c r="F249" s="362">
        <f>IF(C249=0,0,E249/C249)</f>
        <v>-3.7119928395583535E-2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682</v>
      </c>
      <c r="C250" s="353">
        <f>C248+C249</f>
        <v>7120508</v>
      </c>
      <c r="D250" s="353">
        <f>LN_IH4+LN_IH5</f>
        <v>7037698</v>
      </c>
      <c r="E250" s="353">
        <f>D250-C250</f>
        <v>-82810</v>
      </c>
      <c r="F250" s="362">
        <f>IF(C250=0,0,E250/C250)</f>
        <v>-1.1629788211739949E-2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683</v>
      </c>
      <c r="C251" s="353">
        <f>C250*C313</f>
        <v>2408237.4213737757</v>
      </c>
      <c r="D251" s="353">
        <f>LN_IH6*LN_III10</f>
        <v>2427925.5322237946</v>
      </c>
      <c r="E251" s="353">
        <f>D251-C251</f>
        <v>19688.110850018915</v>
      </c>
      <c r="F251" s="362">
        <f>IF(C251=0,0,E251/C251)</f>
        <v>8.1753197069696967E-3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684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620</v>
      </c>
      <c r="C254" s="353">
        <f>C188+C203</f>
        <v>18355893</v>
      </c>
      <c r="D254" s="353">
        <f>LN_IF23</f>
        <v>17995768</v>
      </c>
      <c r="E254" s="353">
        <f>D254-C254</f>
        <v>-360125</v>
      </c>
      <c r="F254" s="362">
        <f>IF(C254=0,0,E254/C254)</f>
        <v>-1.9619040054330236E-2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621</v>
      </c>
      <c r="C255" s="353">
        <f>C189+C204</f>
        <v>3593010</v>
      </c>
      <c r="D255" s="353">
        <f>LN_IF24</f>
        <v>4067592</v>
      </c>
      <c r="E255" s="353">
        <f>D255-C255</f>
        <v>474582</v>
      </c>
      <c r="F255" s="362">
        <f>IF(C255=0,0,E255/C255)</f>
        <v>0.13208479798274983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685</v>
      </c>
      <c r="C256" s="353">
        <f>C254*C313</f>
        <v>6208173.4091630736</v>
      </c>
      <c r="D256" s="353">
        <f>LN_IH8*LN_III10</f>
        <v>6208334.6854576496</v>
      </c>
      <c r="E256" s="353">
        <f>D256-C256</f>
        <v>161.27629457600415</v>
      </c>
      <c r="F256" s="362">
        <f>IF(C256=0,0,E256/C256)</f>
        <v>2.5978058914714799E-5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686</v>
      </c>
      <c r="C257" s="353">
        <f>C256-C255</f>
        <v>2615163.4091630736</v>
      </c>
      <c r="D257" s="353">
        <f>LN_IH10-LN_IH9</f>
        <v>2140742.6854576496</v>
      </c>
      <c r="E257" s="353">
        <f>D257-C257</f>
        <v>-474420.723705424</v>
      </c>
      <c r="F257" s="362">
        <f>IF(C257=0,0,E257/C257)</f>
        <v>-0.18141150264000216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687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688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689</v>
      </c>
      <c r="C261" s="361">
        <f>C15+C42+C188+C221</f>
        <v>128350324</v>
      </c>
      <c r="D261" s="361">
        <f>LN_IA1+LN_IB1+LN_IF1+LN_IG1</f>
        <v>115664811</v>
      </c>
      <c r="E261" s="361">
        <f t="shared" ref="E261:E274" si="26">D261-C261</f>
        <v>-12685513</v>
      </c>
      <c r="F261" s="415">
        <f t="shared" ref="F261:F274" si="27">IF(C261=0,0,E261/C261)</f>
        <v>-9.8835067997179352E-2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690</v>
      </c>
      <c r="C262" s="361">
        <f>C16+C43+C189+C222</f>
        <v>42972106</v>
      </c>
      <c r="D262" s="361">
        <f>+LN_IA2+LN_IB2+LN_IF2+LN_IG2</f>
        <v>40180832</v>
      </c>
      <c r="E262" s="361">
        <f t="shared" si="26"/>
        <v>-2791274</v>
      </c>
      <c r="F262" s="415">
        <f t="shared" si="27"/>
        <v>-6.495548530947029E-2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691</v>
      </c>
      <c r="C263" s="366">
        <f>IF(C261=0,0,C262/C261)</f>
        <v>0.33480325300931846</v>
      </c>
      <c r="D263" s="366">
        <f>IF(LN_IIA1=0,0,LN_IIA2/LN_IIA1)</f>
        <v>0.34739028795888494</v>
      </c>
      <c r="E263" s="367">
        <f t="shared" si="26"/>
        <v>1.2587034949566478E-2</v>
      </c>
      <c r="F263" s="371">
        <f t="shared" si="27"/>
        <v>3.7595318553300158E-2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692</v>
      </c>
      <c r="C264" s="369">
        <f>C18+C45+C191+C224</f>
        <v>4800</v>
      </c>
      <c r="D264" s="369">
        <f>LN_IA4+LN_IB4+LN_IF4+LN_IG3</f>
        <v>4540</v>
      </c>
      <c r="E264" s="369">
        <f t="shared" si="26"/>
        <v>-260</v>
      </c>
      <c r="F264" s="415">
        <f t="shared" si="27"/>
        <v>-5.4166666666666669E-2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693</v>
      </c>
      <c r="C265" s="439">
        <f>IF(C264=0,0,C266/C264)</f>
        <v>1.2994257145833334</v>
      </c>
      <c r="D265" s="439">
        <f>IF(LN_IIA4=0,0,LN_IIA6/LN_IIA4)</f>
        <v>1.3080150132158592</v>
      </c>
      <c r="E265" s="439">
        <f t="shared" si="26"/>
        <v>8.589298632525777E-3</v>
      </c>
      <c r="F265" s="415">
        <f t="shared" si="27"/>
        <v>6.610072846896041E-3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694</v>
      </c>
      <c r="C266" s="376">
        <f>C20+C47+C193+C226</f>
        <v>6237.2434300000004</v>
      </c>
      <c r="D266" s="376">
        <f>LN_IA6+LN_IB6+LN_IF6+LN_IG5</f>
        <v>5938.3881600000004</v>
      </c>
      <c r="E266" s="376">
        <f t="shared" si="26"/>
        <v>-298.85527000000002</v>
      </c>
      <c r="F266" s="415">
        <f t="shared" si="27"/>
        <v>-4.7914639432310883E-2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695</v>
      </c>
      <c r="C267" s="361">
        <f>C27+C56+C203+C233</f>
        <v>90789239</v>
      </c>
      <c r="D267" s="361">
        <f>LN_IA11+LN_IB13+LN_IF14+LN_IG9</f>
        <v>88631335</v>
      </c>
      <c r="E267" s="361">
        <f t="shared" si="26"/>
        <v>-2157904</v>
      </c>
      <c r="F267" s="415">
        <f t="shared" si="27"/>
        <v>-2.376827941029443E-2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616</v>
      </c>
      <c r="C268" s="366">
        <f>IF(C261=0,0,C267/C261)</f>
        <v>0.70735496546155974</v>
      </c>
      <c r="D268" s="366">
        <f>IF(LN_IIA1=0,0,LN_IIA7/LN_IIA1)</f>
        <v>0.76627743765560641</v>
      </c>
      <c r="E268" s="367">
        <f t="shared" si="26"/>
        <v>5.8922472194046671E-2</v>
      </c>
      <c r="F268" s="371">
        <f t="shared" si="27"/>
        <v>8.3299722305050727E-2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696</v>
      </c>
      <c r="C269" s="361">
        <f>C28+C57+C204+C234</f>
        <v>30679176</v>
      </c>
      <c r="D269" s="361">
        <f>LN_IA12+LN_IB14+LN_IF15+LN_IG10</f>
        <v>29880936</v>
      </c>
      <c r="E269" s="361">
        <f t="shared" si="26"/>
        <v>-798240</v>
      </c>
      <c r="F269" s="415">
        <f t="shared" si="27"/>
        <v>-2.6018951747595827E-2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615</v>
      </c>
      <c r="C270" s="366">
        <f>IF(C267=0,0,C269/C267)</f>
        <v>0.3379164352286288</v>
      </c>
      <c r="D270" s="366">
        <f>IF(LN_IIA7=0,0,LN_IIA9/LN_IIA7)</f>
        <v>0.33713737923500758</v>
      </c>
      <c r="E270" s="367">
        <f t="shared" si="26"/>
        <v>-7.790559936212138E-4</v>
      </c>
      <c r="F270" s="371">
        <f t="shared" si="27"/>
        <v>-2.3054693776410049E-3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697</v>
      </c>
      <c r="C271" s="353">
        <f>C261+C267</f>
        <v>219139563</v>
      </c>
      <c r="D271" s="353">
        <f>LN_IIA1+LN_IIA7</f>
        <v>204296146</v>
      </c>
      <c r="E271" s="353">
        <f t="shared" si="26"/>
        <v>-14843417</v>
      </c>
      <c r="F271" s="415">
        <f t="shared" si="27"/>
        <v>-6.7734994068597273E-2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698</v>
      </c>
      <c r="C272" s="353">
        <f>C262+C269</f>
        <v>73651282</v>
      </c>
      <c r="D272" s="353">
        <f>LN_IIA2+LN_IIA9</f>
        <v>70061768</v>
      </c>
      <c r="E272" s="353">
        <f t="shared" si="26"/>
        <v>-3589514</v>
      </c>
      <c r="F272" s="415">
        <f t="shared" si="27"/>
        <v>-4.8736612622710354E-2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699</v>
      </c>
      <c r="C273" s="366">
        <f>IF(C271=0,0,C272/C271)</f>
        <v>0.33609304039727411</v>
      </c>
      <c r="D273" s="366">
        <f>IF(LN_IIA11=0,0,LN_IIA12/LN_IIA11)</f>
        <v>0.34294219138132936</v>
      </c>
      <c r="E273" s="367">
        <f t="shared" si="26"/>
        <v>6.8491509840552522E-3</v>
      </c>
      <c r="F273" s="371">
        <f t="shared" si="27"/>
        <v>2.0378734935895454E-2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20370</v>
      </c>
      <c r="D274" s="421">
        <f>LN_IA8+LN_IB10+LN_IF11+LN_IG6</f>
        <v>17708</v>
      </c>
      <c r="E274" s="442">
        <f t="shared" si="26"/>
        <v>-2662</v>
      </c>
      <c r="F274" s="371">
        <f t="shared" si="27"/>
        <v>-0.13068237604320079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700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701</v>
      </c>
      <c r="C277" s="361">
        <f>C15+C188+C221</f>
        <v>87964493</v>
      </c>
      <c r="D277" s="361">
        <f>LN_IA1+LN_IF1+LN_IG1</f>
        <v>79021319</v>
      </c>
      <c r="E277" s="361">
        <f t="shared" ref="E277:E291" si="28">D277-C277</f>
        <v>-8943174</v>
      </c>
      <c r="F277" s="415">
        <f t="shared" ref="F277:F291" si="29">IF(C277=0,0,E277/C277)</f>
        <v>-0.10166799915506818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702</v>
      </c>
      <c r="C278" s="361">
        <f>C16+C189+C222</f>
        <v>27152503</v>
      </c>
      <c r="D278" s="361">
        <f>LN_IA2+LN_IF2+LN_IG2</f>
        <v>25701111</v>
      </c>
      <c r="E278" s="361">
        <f t="shared" si="28"/>
        <v>-1451392</v>
      </c>
      <c r="F278" s="415">
        <f t="shared" si="29"/>
        <v>-5.3453340931405108E-2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703</v>
      </c>
      <c r="C279" s="366">
        <f>IF(C277=0,0,C278/C277)</f>
        <v>0.30867571759891799</v>
      </c>
      <c r="D279" s="366">
        <f>IF(D277=0,0,LN_IIB2/D277)</f>
        <v>0.32524274873214909</v>
      </c>
      <c r="E279" s="367">
        <f t="shared" si="28"/>
        <v>1.6567031133231103E-2</v>
      </c>
      <c r="F279" s="371">
        <f t="shared" si="29"/>
        <v>5.3671313254247295E-2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704</v>
      </c>
      <c r="C280" s="369">
        <f>C18+C191+C224</f>
        <v>2870</v>
      </c>
      <c r="D280" s="369">
        <f>LN_IA4+LN_IF4+LN_IG3</f>
        <v>2787</v>
      </c>
      <c r="E280" s="369">
        <f t="shared" si="28"/>
        <v>-83</v>
      </c>
      <c r="F280" s="415">
        <f t="shared" si="29"/>
        <v>-2.8919860627177701E-2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705</v>
      </c>
      <c r="C281" s="439">
        <f>IF(C280=0,0,C282/C280)</f>
        <v>1.4572860731707318</v>
      </c>
      <c r="D281" s="439">
        <f>IF(LN_IIB4=0,0,LN_IIB6/LN_IIB4)</f>
        <v>1.4139215069967708</v>
      </c>
      <c r="E281" s="439">
        <f t="shared" si="28"/>
        <v>-4.3364566173961006E-2</v>
      </c>
      <c r="F281" s="415">
        <f t="shared" si="29"/>
        <v>-2.9757071704946243E-2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706</v>
      </c>
      <c r="C282" s="376">
        <f>C20+C193+C226</f>
        <v>4182.4110300000002</v>
      </c>
      <c r="D282" s="376">
        <f>LN_IA6+LN_IF6+LN_IG5</f>
        <v>3940.59924</v>
      </c>
      <c r="E282" s="376">
        <f t="shared" si="28"/>
        <v>-241.8117900000002</v>
      </c>
      <c r="F282" s="415">
        <f t="shared" si="29"/>
        <v>-5.7816361965744002E-2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707</v>
      </c>
      <c r="C283" s="361">
        <f>C27+C203+C233</f>
        <v>36107860</v>
      </c>
      <c r="D283" s="361">
        <f>LN_IA11+LN_IF14+LN_IG9</f>
        <v>37352401</v>
      </c>
      <c r="E283" s="361">
        <f t="shared" si="28"/>
        <v>1244541</v>
      </c>
      <c r="F283" s="415">
        <f t="shared" si="29"/>
        <v>3.4467315426613486E-2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708</v>
      </c>
      <c r="C284" s="366">
        <f>IF(C277=0,0,C283/C277)</f>
        <v>0.41048221581860306</v>
      </c>
      <c r="D284" s="366">
        <f>IF(D277=0,0,LN_IIB7/D277)</f>
        <v>0.47268764268538721</v>
      </c>
      <c r="E284" s="367">
        <f t="shared" si="28"/>
        <v>6.2205426866784153E-2</v>
      </c>
      <c r="F284" s="371">
        <f t="shared" si="29"/>
        <v>0.1515423189351362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709</v>
      </c>
      <c r="C285" s="361">
        <f>C28+C204+C234</f>
        <v>8398488</v>
      </c>
      <c r="D285" s="361">
        <f>LN_IA12+LN_IF15+LN_IG10</f>
        <v>8878846</v>
      </c>
      <c r="E285" s="361">
        <f t="shared" si="28"/>
        <v>480358</v>
      </c>
      <c r="F285" s="415">
        <f t="shared" si="29"/>
        <v>5.7195771429333471E-2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710</v>
      </c>
      <c r="C286" s="366">
        <f>IF(C283=0,0,C285/C283)</f>
        <v>0.23259445450381164</v>
      </c>
      <c r="D286" s="366">
        <f>IF(LN_IIB7=0,0,LN_IIB9/LN_IIB7)</f>
        <v>0.23770482652507399</v>
      </c>
      <c r="E286" s="367">
        <f t="shared" si="28"/>
        <v>5.1103720212623549E-3</v>
      </c>
      <c r="F286" s="371">
        <f t="shared" si="29"/>
        <v>2.1971168797485705E-2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711</v>
      </c>
      <c r="C287" s="353">
        <f>C277+C283</f>
        <v>124072353</v>
      </c>
      <c r="D287" s="353">
        <f>D277+LN_IIB7</f>
        <v>116373720</v>
      </c>
      <c r="E287" s="353">
        <f t="shared" si="28"/>
        <v>-7698633</v>
      </c>
      <c r="F287" s="415">
        <f t="shared" si="29"/>
        <v>-6.2049544591130629E-2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712</v>
      </c>
      <c r="C288" s="353">
        <f>C278+C285</f>
        <v>35550991</v>
      </c>
      <c r="D288" s="353">
        <f>LN_IIB2+LN_IIB9</f>
        <v>34579957</v>
      </c>
      <c r="E288" s="353">
        <f t="shared" si="28"/>
        <v>-971034</v>
      </c>
      <c r="F288" s="415">
        <f t="shared" si="29"/>
        <v>-2.7313837749276808E-2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713</v>
      </c>
      <c r="C289" s="366">
        <f>IF(C287=0,0,C288/C287)</f>
        <v>0.28653434984020976</v>
      </c>
      <c r="D289" s="366">
        <f>IF(LN_IIB11=0,0,LN_IIB12/LN_IIB11)</f>
        <v>0.29714575593183751</v>
      </c>
      <c r="E289" s="367">
        <f t="shared" si="28"/>
        <v>1.0611406091627751E-2</v>
      </c>
      <c r="F289" s="371">
        <f t="shared" si="29"/>
        <v>3.7033626500785552E-2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13455</v>
      </c>
      <c r="D290" s="421">
        <f>LN_IA8+LN_IF11+LN_IG6</f>
        <v>12119</v>
      </c>
      <c r="E290" s="442">
        <f t="shared" si="28"/>
        <v>-1336</v>
      </c>
      <c r="F290" s="371">
        <f t="shared" si="29"/>
        <v>-9.9293942772203644E-2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714</v>
      </c>
      <c r="C291" s="361">
        <f>C287-C288</f>
        <v>88521362</v>
      </c>
      <c r="D291" s="429">
        <f>LN_IIB11-LN_IIB12</f>
        <v>81793763</v>
      </c>
      <c r="E291" s="353">
        <f t="shared" si="28"/>
        <v>-6727599</v>
      </c>
      <c r="F291" s="415">
        <f t="shared" si="29"/>
        <v>-7.5999723095087485E-2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611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602</v>
      </c>
      <c r="C294" s="379">
        <f>IF(C18=0,0,C22/C18)</f>
        <v>4.8922822946760212</v>
      </c>
      <c r="D294" s="379">
        <f>IF(LN_IA4=0,0,LN_IA8/LN_IA4)</f>
        <v>4.5817104149026253</v>
      </c>
      <c r="E294" s="379">
        <f t="shared" ref="E294:E300" si="30">D294-C294</f>
        <v>-0.31057187977339584</v>
      </c>
      <c r="F294" s="415">
        <f t="shared" ref="F294:F300" si="31">IF(C294=0,0,E294/C294)</f>
        <v>-6.3482003095236897E-2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623</v>
      </c>
      <c r="C295" s="379">
        <f>IF(C45=0,0,C51/C45)</f>
        <v>3.5829015544041449</v>
      </c>
      <c r="D295" s="379">
        <f>IF(LN_IB4=0,0,(LN_IB10)/(LN_IB4))</f>
        <v>3.188248716486024</v>
      </c>
      <c r="E295" s="379">
        <f t="shared" si="30"/>
        <v>-0.39465283791812089</v>
      </c>
      <c r="F295" s="415">
        <f t="shared" si="31"/>
        <v>-0.11014894825480454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638</v>
      </c>
      <c r="C296" s="379">
        <f>IF(C86=0,0,C93/C86)</f>
        <v>4.4444444444444446</v>
      </c>
      <c r="D296" s="379">
        <f>IF(LN_IC4=0,0,LN_IC11/LN_IC4)</f>
        <v>3.518987341772152</v>
      </c>
      <c r="E296" s="379">
        <f t="shared" si="30"/>
        <v>-0.92545710267229264</v>
      </c>
      <c r="F296" s="415">
        <f t="shared" si="31"/>
        <v>-0.20822784810126582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3.5611510791366907</v>
      </c>
      <c r="D297" s="379">
        <f>IF(LN_ID4=0,0,LN_ID11/LN_ID4)</f>
        <v>3.0714285714285716</v>
      </c>
      <c r="E297" s="379">
        <f t="shared" si="30"/>
        <v>-0.48972250770811909</v>
      </c>
      <c r="F297" s="415">
        <f t="shared" si="31"/>
        <v>-0.13751803751803748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715</v>
      </c>
      <c r="C298" s="379">
        <f>IF(C156=0,0,C163/C156)</f>
        <v>3.8888888888888888</v>
      </c>
      <c r="D298" s="379">
        <f>IF(LN_IE4=0,0,LN_IE11/LN_IE4)</f>
        <v>2.8571428571428572</v>
      </c>
      <c r="E298" s="379">
        <f t="shared" si="30"/>
        <v>-1.0317460317460316</v>
      </c>
      <c r="F298" s="415">
        <f t="shared" si="31"/>
        <v>-0.26530612244897955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3.6666666666666665</v>
      </c>
      <c r="D299" s="379">
        <f>IF(LN_IG3=0,0,LN_IG6/LN_IG3)</f>
        <v>2.5</v>
      </c>
      <c r="E299" s="379">
        <f t="shared" si="30"/>
        <v>-1.1666666666666665</v>
      </c>
      <c r="F299" s="415">
        <f t="shared" si="31"/>
        <v>-0.31818181818181818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716</v>
      </c>
      <c r="C300" s="379">
        <f>IF(C264=0,0,C274/C264)</f>
        <v>4.2437500000000004</v>
      </c>
      <c r="D300" s="379">
        <f>IF(LN_IIA4=0,0,LN_IIA14/LN_IIA4)</f>
        <v>3.9004405286343613</v>
      </c>
      <c r="E300" s="379">
        <f t="shared" si="30"/>
        <v>-0.34330947136563905</v>
      </c>
      <c r="F300" s="415">
        <f t="shared" si="31"/>
        <v>-8.0897666301181503E-2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717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711</v>
      </c>
      <c r="C304" s="353">
        <f>C35+C66+C214+C221+C233</f>
        <v>219139563</v>
      </c>
      <c r="D304" s="353">
        <f>LN_IIA11</f>
        <v>204296146</v>
      </c>
      <c r="E304" s="353">
        <f t="shared" ref="E304:E316" si="32">D304-C304</f>
        <v>-14843417</v>
      </c>
      <c r="F304" s="362">
        <f>IF(C304=0,0,E304/C304)</f>
        <v>-6.7734994068597273E-2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714</v>
      </c>
      <c r="C305" s="353">
        <f>C291</f>
        <v>88521362</v>
      </c>
      <c r="D305" s="353">
        <f>LN_IIB14</f>
        <v>81793763</v>
      </c>
      <c r="E305" s="353">
        <f t="shared" si="32"/>
        <v>-6727599</v>
      </c>
      <c r="F305" s="362">
        <f>IF(C305=0,0,E305/C305)</f>
        <v>-7.5999723095087485E-2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718</v>
      </c>
      <c r="C306" s="353">
        <f>C250</f>
        <v>7120508</v>
      </c>
      <c r="D306" s="353">
        <f>LN_IH6</f>
        <v>7037698</v>
      </c>
      <c r="E306" s="353">
        <f t="shared" si="32"/>
        <v>-82810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719</v>
      </c>
      <c r="C307" s="353">
        <f>C73-C74</f>
        <v>47923524</v>
      </c>
      <c r="D307" s="353">
        <f>LN_IB32-LN_IB33</f>
        <v>43941413</v>
      </c>
      <c r="E307" s="353">
        <f t="shared" si="32"/>
        <v>-3982111</v>
      </c>
      <c r="F307" s="362">
        <f t="shared" ref="F307:F316" si="33">IF(C307=0,0,E307/C307)</f>
        <v>-8.309303380945024E-2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720</v>
      </c>
      <c r="C308" s="353">
        <v>1818984</v>
      </c>
      <c r="D308" s="353">
        <v>1429460</v>
      </c>
      <c r="E308" s="353">
        <f t="shared" si="32"/>
        <v>-389524</v>
      </c>
      <c r="F308" s="362">
        <f t="shared" si="33"/>
        <v>-0.21414371979082827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721</v>
      </c>
      <c r="C309" s="353">
        <f>C305+C307+C308+C306</f>
        <v>145384378</v>
      </c>
      <c r="D309" s="353">
        <f>LN_III2+LN_III3+LN_III4+LN_III5</f>
        <v>134202334</v>
      </c>
      <c r="E309" s="353">
        <f t="shared" si="32"/>
        <v>-11182044</v>
      </c>
      <c r="F309" s="362">
        <f t="shared" si="33"/>
        <v>-7.6913655743672815E-2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722</v>
      </c>
      <c r="C310" s="353">
        <f>C304-C309</f>
        <v>73755185</v>
      </c>
      <c r="D310" s="353">
        <f>LN_III1-LN_III6</f>
        <v>70093812</v>
      </c>
      <c r="E310" s="353">
        <f t="shared" si="32"/>
        <v>-3661373</v>
      </c>
      <c r="F310" s="362">
        <f t="shared" si="33"/>
        <v>-4.9642245490944127E-2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723</v>
      </c>
      <c r="C311" s="353">
        <f>C245</f>
        <v>360327</v>
      </c>
      <c r="D311" s="353">
        <f>LN_IH3</f>
        <v>386028</v>
      </c>
      <c r="E311" s="353">
        <f t="shared" si="32"/>
        <v>25701</v>
      </c>
      <c r="F311" s="362">
        <f t="shared" si="33"/>
        <v>7.1326878085738787E-2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724</v>
      </c>
      <c r="C312" s="353">
        <f>C310+C311</f>
        <v>74115512</v>
      </c>
      <c r="D312" s="353">
        <f>LN_III7+LN_III8</f>
        <v>70479840</v>
      </c>
      <c r="E312" s="353">
        <f t="shared" si="32"/>
        <v>-3635672</v>
      </c>
      <c r="F312" s="362">
        <f t="shared" si="33"/>
        <v>-4.9054130530731543E-2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725</v>
      </c>
      <c r="C313" s="448">
        <f>IF(C304=0,0,C312/C304)</f>
        <v>0.33821146207177571</v>
      </c>
      <c r="D313" s="448">
        <f>IF(LN_III1=0,0,LN_III9/LN_III1)</f>
        <v>0.34498859317688746</v>
      </c>
      <c r="E313" s="448">
        <f t="shared" si="32"/>
        <v>6.7771311051117444E-3</v>
      </c>
      <c r="F313" s="362">
        <f t="shared" si="33"/>
        <v>2.0038147328293364E-2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683</v>
      </c>
      <c r="C314" s="353">
        <f>C306*C313</f>
        <v>2408237.4213737757</v>
      </c>
      <c r="D314" s="353">
        <f>D313*LN_III5</f>
        <v>2427925.5322237946</v>
      </c>
      <c r="E314" s="353">
        <f t="shared" si="32"/>
        <v>19688.110850018915</v>
      </c>
      <c r="F314" s="362">
        <f t="shared" si="33"/>
        <v>8.1753197069696967E-3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686</v>
      </c>
      <c r="C315" s="353">
        <f>(C214*C313)-C215</f>
        <v>2615163.4091630736</v>
      </c>
      <c r="D315" s="353">
        <f>D313*LN_IH8-LN_IH9</f>
        <v>2140742.6854576496</v>
      </c>
      <c r="E315" s="353">
        <f t="shared" si="32"/>
        <v>-474420.723705424</v>
      </c>
      <c r="F315" s="362">
        <f t="shared" si="33"/>
        <v>-0.18141150264000216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726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727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728</v>
      </c>
      <c r="C318" s="353">
        <f>C314+C315+C316</f>
        <v>5023400.8305368498</v>
      </c>
      <c r="D318" s="353">
        <f>D314+D315+D316</f>
        <v>4568668.2176814443</v>
      </c>
      <c r="E318" s="353">
        <f>D318-C318</f>
        <v>-454732.61285540555</v>
      </c>
      <c r="F318" s="362">
        <f>IF(C318=0,0,E318/C318)</f>
        <v>-9.0522860547205902E-2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729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2680640.9390279725</v>
      </c>
      <c r="D322" s="353">
        <f>LN_ID22</f>
        <v>3594236.3173828409</v>
      </c>
      <c r="E322" s="353">
        <f>LN_IV2-C322</f>
        <v>913595.37835486839</v>
      </c>
      <c r="F322" s="362">
        <f>IF(C322=0,0,E322/C322)</f>
        <v>0.3408122904689157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715</v>
      </c>
      <c r="C323" s="353">
        <f>C162+C176</f>
        <v>539289.37001885939</v>
      </c>
      <c r="D323" s="353">
        <f>LN_IE10+LN_IE22</f>
        <v>88886.640146152989</v>
      </c>
      <c r="E323" s="353">
        <f>LN_IV3-C323</f>
        <v>-450402.7298727064</v>
      </c>
      <c r="F323" s="362">
        <f>IF(C323=0,0,E323/C323)</f>
        <v>-0.83517820842075086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730</v>
      </c>
      <c r="C324" s="353">
        <f>C92+C106</f>
        <v>1732031.3338516336</v>
      </c>
      <c r="D324" s="353">
        <f>LN_IC10+LN_IC22</f>
        <v>1578435.8571888448</v>
      </c>
      <c r="E324" s="353">
        <f>LN_IV1-C324</f>
        <v>-153595.47666278877</v>
      </c>
      <c r="F324" s="362">
        <f>IF(C324=0,0,E324/C324)</f>
        <v>-8.8679386833740631E-2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731</v>
      </c>
      <c r="C325" s="429">
        <f>C324+C322+C323</f>
        <v>4951961.6428984655</v>
      </c>
      <c r="D325" s="429">
        <f>LN_IV1+LN_IV2+LN_IV3</f>
        <v>5261558.8147178385</v>
      </c>
      <c r="E325" s="353">
        <f>LN_IV4-C325</f>
        <v>309597.17181937303</v>
      </c>
      <c r="F325" s="362">
        <f>IF(C325=0,0,E325/C325)</f>
        <v>6.2520107009181244E-2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732</v>
      </c>
      <c r="B327" s="446" t="s">
        <v>733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734</v>
      </c>
      <c r="C329" s="431">
        <v>2885294</v>
      </c>
      <c r="D329" s="431">
        <v>2327861</v>
      </c>
      <c r="E329" s="431">
        <f t="shared" ref="E329:E335" si="34">D329-C329</f>
        <v>-557433</v>
      </c>
      <c r="F329" s="462">
        <f t="shared" ref="F329:F335" si="35">IF(C329=0,0,E329/C329)</f>
        <v>-0.19319798952897002</v>
      </c>
    </row>
    <row r="330" spans="1:22" s="333" customFormat="1" ht="11.25" customHeight="1" x14ac:dyDescent="0.2">
      <c r="A330" s="364">
        <v>2</v>
      </c>
      <c r="B330" s="360" t="s">
        <v>735</v>
      </c>
      <c r="C330" s="429">
        <v>8817435</v>
      </c>
      <c r="D330" s="429">
        <v>8168129</v>
      </c>
      <c r="E330" s="431">
        <f t="shared" si="34"/>
        <v>-649306</v>
      </c>
      <c r="F330" s="463">
        <f t="shared" si="35"/>
        <v>-7.3638875704782628E-2</v>
      </c>
    </row>
    <row r="331" spans="1:22" s="333" customFormat="1" ht="11.25" customHeight="1" x14ac:dyDescent="0.2">
      <c r="A331" s="339">
        <v>3</v>
      </c>
      <c r="B331" s="360" t="s">
        <v>736</v>
      </c>
      <c r="C331" s="429">
        <v>82829045</v>
      </c>
      <c r="D331" s="429">
        <v>78615925</v>
      </c>
      <c r="E331" s="431">
        <f t="shared" si="34"/>
        <v>-4213120</v>
      </c>
      <c r="F331" s="462">
        <f t="shared" si="35"/>
        <v>-5.086524901983356E-2</v>
      </c>
    </row>
    <row r="332" spans="1:22" s="333" customFormat="1" ht="11.25" customHeight="1" x14ac:dyDescent="0.2">
      <c r="A332" s="364">
        <v>4</v>
      </c>
      <c r="B332" s="360" t="s">
        <v>737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738</v>
      </c>
      <c r="C333" s="429">
        <v>219139563</v>
      </c>
      <c r="D333" s="429">
        <v>204296146</v>
      </c>
      <c r="E333" s="431">
        <f t="shared" si="34"/>
        <v>-14843417</v>
      </c>
      <c r="F333" s="462">
        <f t="shared" si="35"/>
        <v>-6.7734994068597273E-2</v>
      </c>
    </row>
    <row r="334" spans="1:22" s="333" customFormat="1" ht="11.25" customHeight="1" x14ac:dyDescent="0.2">
      <c r="A334" s="339">
        <v>6</v>
      </c>
      <c r="B334" s="360" t="s">
        <v>739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740</v>
      </c>
      <c r="C335" s="429">
        <v>7120508</v>
      </c>
      <c r="D335" s="429">
        <v>7037698</v>
      </c>
      <c r="E335" s="429">
        <f t="shared" si="34"/>
        <v>-82810</v>
      </c>
      <c r="F335" s="462">
        <f t="shared" si="35"/>
        <v>-1.1629788211739949E-2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>
      <selection activeCell="A4" sqref="A4:E4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593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741</v>
      </c>
      <c r="B5" s="710"/>
      <c r="C5" s="710"/>
      <c r="D5" s="710"/>
      <c r="E5" s="710"/>
    </row>
    <row r="6" spans="1:5" s="338" customFormat="1" ht="15.75" customHeight="1" x14ac:dyDescent="0.25">
      <c r="A6" s="710" t="s">
        <v>742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743</v>
      </c>
      <c r="D9" s="494" t="s">
        <v>744</v>
      </c>
      <c r="E9" s="495" t="s">
        <v>745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746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747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623</v>
      </c>
      <c r="C14" s="513">
        <v>40385831</v>
      </c>
      <c r="D14" s="513">
        <v>36643492</v>
      </c>
      <c r="E14" s="514">
        <f t="shared" ref="E14:E22" si="0">D14-C14</f>
        <v>-3742339</v>
      </c>
    </row>
    <row r="15" spans="1:5" s="506" customFormat="1" x14ac:dyDescent="0.2">
      <c r="A15" s="512">
        <v>2</v>
      </c>
      <c r="B15" s="511" t="s">
        <v>602</v>
      </c>
      <c r="C15" s="513">
        <v>80427776</v>
      </c>
      <c r="D15" s="515">
        <v>72726849</v>
      </c>
      <c r="E15" s="514">
        <f t="shared" si="0"/>
        <v>-7700927</v>
      </c>
    </row>
    <row r="16" spans="1:5" s="506" customFormat="1" x14ac:dyDescent="0.2">
      <c r="A16" s="512">
        <v>3</v>
      </c>
      <c r="B16" s="511" t="s">
        <v>748</v>
      </c>
      <c r="C16" s="513">
        <v>7490130</v>
      </c>
      <c r="D16" s="515">
        <v>6142179</v>
      </c>
      <c r="E16" s="514">
        <f t="shared" si="0"/>
        <v>-1347951</v>
      </c>
    </row>
    <row r="17" spans="1:5" s="506" customFormat="1" x14ac:dyDescent="0.2">
      <c r="A17" s="512">
        <v>4</v>
      </c>
      <c r="B17" s="511" t="s">
        <v>114</v>
      </c>
      <c r="C17" s="513">
        <v>6734400</v>
      </c>
      <c r="D17" s="515">
        <v>5974004</v>
      </c>
      <c r="E17" s="514">
        <f t="shared" si="0"/>
        <v>-760396</v>
      </c>
    </row>
    <row r="18" spans="1:5" s="506" customFormat="1" x14ac:dyDescent="0.2">
      <c r="A18" s="512">
        <v>5</v>
      </c>
      <c r="B18" s="511" t="s">
        <v>715</v>
      </c>
      <c r="C18" s="513">
        <v>755730</v>
      </c>
      <c r="D18" s="515">
        <v>168175</v>
      </c>
      <c r="E18" s="514">
        <f t="shared" si="0"/>
        <v>-587555</v>
      </c>
    </row>
    <row r="19" spans="1:5" s="506" customFormat="1" x14ac:dyDescent="0.2">
      <c r="A19" s="512">
        <v>6</v>
      </c>
      <c r="B19" s="511" t="s">
        <v>418</v>
      </c>
      <c r="C19" s="513">
        <v>46587</v>
      </c>
      <c r="D19" s="515">
        <v>152291</v>
      </c>
      <c r="E19" s="514">
        <f t="shared" si="0"/>
        <v>105704</v>
      </c>
    </row>
    <row r="20" spans="1:5" s="506" customFormat="1" x14ac:dyDescent="0.2">
      <c r="A20" s="512">
        <v>7</v>
      </c>
      <c r="B20" s="511" t="s">
        <v>730</v>
      </c>
      <c r="C20" s="513">
        <v>2605659</v>
      </c>
      <c r="D20" s="515">
        <v>1744121</v>
      </c>
      <c r="E20" s="514">
        <f t="shared" si="0"/>
        <v>-861538</v>
      </c>
    </row>
    <row r="21" spans="1:5" s="506" customFormat="1" x14ac:dyDescent="0.2">
      <c r="A21" s="512"/>
      <c r="B21" s="516" t="s">
        <v>749</v>
      </c>
      <c r="C21" s="517">
        <f>SUM(C15+C16+C19)</f>
        <v>87964493</v>
      </c>
      <c r="D21" s="517">
        <f>SUM(D15+D16+D19)</f>
        <v>79021319</v>
      </c>
      <c r="E21" s="517">
        <f t="shared" si="0"/>
        <v>-8943174</v>
      </c>
    </row>
    <row r="22" spans="1:5" s="506" customFormat="1" x14ac:dyDescent="0.2">
      <c r="A22" s="512"/>
      <c r="B22" s="516" t="s">
        <v>689</v>
      </c>
      <c r="C22" s="517">
        <f>SUM(C14+C21)</f>
        <v>128350324</v>
      </c>
      <c r="D22" s="517">
        <f>SUM(D14+D21)</f>
        <v>115664811</v>
      </c>
      <c r="E22" s="517">
        <f t="shared" si="0"/>
        <v>-12685513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750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623</v>
      </c>
      <c r="C25" s="513">
        <v>54681379</v>
      </c>
      <c r="D25" s="513">
        <v>51278934</v>
      </c>
      <c r="E25" s="514">
        <f t="shared" ref="E25:E33" si="1">D25-C25</f>
        <v>-3402445</v>
      </c>
    </row>
    <row r="26" spans="1:5" s="506" customFormat="1" x14ac:dyDescent="0.2">
      <c r="A26" s="512">
        <v>2</v>
      </c>
      <c r="B26" s="511" t="s">
        <v>602</v>
      </c>
      <c r="C26" s="513">
        <v>25008398</v>
      </c>
      <c r="D26" s="515">
        <v>25285669</v>
      </c>
      <c r="E26" s="514">
        <f t="shared" si="1"/>
        <v>277271</v>
      </c>
    </row>
    <row r="27" spans="1:5" s="506" customFormat="1" x14ac:dyDescent="0.2">
      <c r="A27" s="512">
        <v>3</v>
      </c>
      <c r="B27" s="511" t="s">
        <v>748</v>
      </c>
      <c r="C27" s="513">
        <v>10865763</v>
      </c>
      <c r="D27" s="515">
        <v>11853589</v>
      </c>
      <c r="E27" s="514">
        <f t="shared" si="1"/>
        <v>987826</v>
      </c>
    </row>
    <row r="28" spans="1:5" s="506" customFormat="1" x14ac:dyDescent="0.2">
      <c r="A28" s="512">
        <v>4</v>
      </c>
      <c r="B28" s="511" t="s">
        <v>114</v>
      </c>
      <c r="C28" s="513">
        <v>8750141</v>
      </c>
      <c r="D28" s="515">
        <v>11552237</v>
      </c>
      <c r="E28" s="514">
        <f t="shared" si="1"/>
        <v>2802096</v>
      </c>
    </row>
    <row r="29" spans="1:5" s="506" customFormat="1" x14ac:dyDescent="0.2">
      <c r="A29" s="512">
        <v>5</v>
      </c>
      <c r="B29" s="511" t="s">
        <v>715</v>
      </c>
      <c r="C29" s="513">
        <v>2115622</v>
      </c>
      <c r="D29" s="515">
        <v>301352</v>
      </c>
      <c r="E29" s="514">
        <f t="shared" si="1"/>
        <v>-1814270</v>
      </c>
    </row>
    <row r="30" spans="1:5" s="506" customFormat="1" x14ac:dyDescent="0.2">
      <c r="A30" s="512">
        <v>6</v>
      </c>
      <c r="B30" s="511" t="s">
        <v>418</v>
      </c>
      <c r="C30" s="513">
        <v>233699</v>
      </c>
      <c r="D30" s="515">
        <v>213143</v>
      </c>
      <c r="E30" s="514">
        <f t="shared" si="1"/>
        <v>-20556</v>
      </c>
    </row>
    <row r="31" spans="1:5" s="506" customFormat="1" x14ac:dyDescent="0.2">
      <c r="A31" s="512">
        <v>7</v>
      </c>
      <c r="B31" s="511" t="s">
        <v>730</v>
      </c>
      <c r="C31" s="514">
        <v>5204794</v>
      </c>
      <c r="D31" s="518">
        <v>3962849</v>
      </c>
      <c r="E31" s="514">
        <f t="shared" si="1"/>
        <v>-1241945</v>
      </c>
    </row>
    <row r="32" spans="1:5" s="506" customFormat="1" x14ac:dyDescent="0.2">
      <c r="A32" s="512"/>
      <c r="B32" s="516" t="s">
        <v>751</v>
      </c>
      <c r="C32" s="517">
        <f>SUM(C26+C27+C30)</f>
        <v>36107860</v>
      </c>
      <c r="D32" s="517">
        <f>SUM(D26+D27+D30)</f>
        <v>37352401</v>
      </c>
      <c r="E32" s="517">
        <f t="shared" si="1"/>
        <v>1244541</v>
      </c>
    </row>
    <row r="33" spans="1:5" s="506" customFormat="1" x14ac:dyDescent="0.2">
      <c r="A33" s="512"/>
      <c r="B33" s="516" t="s">
        <v>695</v>
      </c>
      <c r="C33" s="517">
        <f>SUM(C25+C32)</f>
        <v>90789239</v>
      </c>
      <c r="D33" s="517">
        <f>SUM(D25+D32)</f>
        <v>88631335</v>
      </c>
      <c r="E33" s="517">
        <f t="shared" si="1"/>
        <v>-2157904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620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752</v>
      </c>
      <c r="C36" s="514">
        <f t="shared" ref="C36:D42" si="2">C14+C25</f>
        <v>95067210</v>
      </c>
      <c r="D36" s="514">
        <f t="shared" si="2"/>
        <v>87922426</v>
      </c>
      <c r="E36" s="514">
        <f t="shared" ref="E36:E44" si="3">D36-C36</f>
        <v>-7144784</v>
      </c>
    </row>
    <row r="37" spans="1:5" s="506" customFormat="1" x14ac:dyDescent="0.2">
      <c r="A37" s="512">
        <v>2</v>
      </c>
      <c r="B37" s="511" t="s">
        <v>753</v>
      </c>
      <c r="C37" s="514">
        <f t="shared" si="2"/>
        <v>105436174</v>
      </c>
      <c r="D37" s="514">
        <f t="shared" si="2"/>
        <v>98012518</v>
      </c>
      <c r="E37" s="514">
        <f t="shared" si="3"/>
        <v>-7423656</v>
      </c>
    </row>
    <row r="38" spans="1:5" s="506" customFormat="1" x14ac:dyDescent="0.2">
      <c r="A38" s="512">
        <v>3</v>
      </c>
      <c r="B38" s="511" t="s">
        <v>754</v>
      </c>
      <c r="C38" s="514">
        <f t="shared" si="2"/>
        <v>18355893</v>
      </c>
      <c r="D38" s="514">
        <f t="shared" si="2"/>
        <v>17995768</v>
      </c>
      <c r="E38" s="514">
        <f t="shared" si="3"/>
        <v>-360125</v>
      </c>
    </row>
    <row r="39" spans="1:5" s="506" customFormat="1" x14ac:dyDescent="0.2">
      <c r="A39" s="512">
        <v>4</v>
      </c>
      <c r="B39" s="511" t="s">
        <v>755</v>
      </c>
      <c r="C39" s="514">
        <f t="shared" si="2"/>
        <v>15484541</v>
      </c>
      <c r="D39" s="514">
        <f t="shared" si="2"/>
        <v>17526241</v>
      </c>
      <c r="E39" s="514">
        <f t="shared" si="3"/>
        <v>2041700</v>
      </c>
    </row>
    <row r="40" spans="1:5" s="506" customFormat="1" x14ac:dyDescent="0.2">
      <c r="A40" s="512">
        <v>5</v>
      </c>
      <c r="B40" s="511" t="s">
        <v>756</v>
      </c>
      <c r="C40" s="514">
        <f t="shared" si="2"/>
        <v>2871352</v>
      </c>
      <c r="D40" s="514">
        <f t="shared" si="2"/>
        <v>469527</v>
      </c>
      <c r="E40" s="514">
        <f t="shared" si="3"/>
        <v>-2401825</v>
      </c>
    </row>
    <row r="41" spans="1:5" s="506" customFormat="1" x14ac:dyDescent="0.2">
      <c r="A41" s="512">
        <v>6</v>
      </c>
      <c r="B41" s="511" t="s">
        <v>757</v>
      </c>
      <c r="C41" s="514">
        <f t="shared" si="2"/>
        <v>280286</v>
      </c>
      <c r="D41" s="514">
        <f t="shared" si="2"/>
        <v>365434</v>
      </c>
      <c r="E41" s="514">
        <f t="shared" si="3"/>
        <v>85148</v>
      </c>
    </row>
    <row r="42" spans="1:5" s="506" customFormat="1" x14ac:dyDescent="0.2">
      <c r="A42" s="512">
        <v>7</v>
      </c>
      <c r="B42" s="511" t="s">
        <v>758</v>
      </c>
      <c r="C42" s="514">
        <f t="shared" si="2"/>
        <v>7810453</v>
      </c>
      <c r="D42" s="514">
        <f t="shared" si="2"/>
        <v>5706970</v>
      </c>
      <c r="E42" s="514">
        <f t="shared" si="3"/>
        <v>-2103483</v>
      </c>
    </row>
    <row r="43" spans="1:5" s="506" customFormat="1" x14ac:dyDescent="0.2">
      <c r="A43" s="512"/>
      <c r="B43" s="516" t="s">
        <v>759</v>
      </c>
      <c r="C43" s="517">
        <f>SUM(C37+C38+C41)</f>
        <v>124072353</v>
      </c>
      <c r="D43" s="517">
        <f>SUM(D37+D38+D41)</f>
        <v>116373720</v>
      </c>
      <c r="E43" s="517">
        <f t="shared" si="3"/>
        <v>-7698633</v>
      </c>
    </row>
    <row r="44" spans="1:5" s="506" customFormat="1" x14ac:dyDescent="0.2">
      <c r="A44" s="512"/>
      <c r="B44" s="516" t="s">
        <v>697</v>
      </c>
      <c r="C44" s="517">
        <f>SUM(C36+C43)</f>
        <v>219139563</v>
      </c>
      <c r="D44" s="517">
        <f>SUM(D36+D43)</f>
        <v>204296146</v>
      </c>
      <c r="E44" s="517">
        <f t="shared" si="3"/>
        <v>-14843417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760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623</v>
      </c>
      <c r="C47" s="513">
        <v>15819603</v>
      </c>
      <c r="D47" s="513">
        <v>14479721</v>
      </c>
      <c r="E47" s="514">
        <f t="shared" ref="E47:E55" si="4">D47-C47</f>
        <v>-1339882</v>
      </c>
    </row>
    <row r="48" spans="1:5" s="506" customFormat="1" x14ac:dyDescent="0.2">
      <c r="A48" s="512">
        <v>2</v>
      </c>
      <c r="B48" s="511" t="s">
        <v>602</v>
      </c>
      <c r="C48" s="513">
        <v>25602331</v>
      </c>
      <c r="D48" s="515">
        <v>24094124</v>
      </c>
      <c r="E48" s="514">
        <f t="shared" si="4"/>
        <v>-1508207</v>
      </c>
    </row>
    <row r="49" spans="1:5" s="506" customFormat="1" x14ac:dyDescent="0.2">
      <c r="A49" s="512">
        <v>3</v>
      </c>
      <c r="B49" s="511" t="s">
        <v>748</v>
      </c>
      <c r="C49" s="513">
        <v>1540572</v>
      </c>
      <c r="D49" s="515">
        <v>1569072</v>
      </c>
      <c r="E49" s="514">
        <f t="shared" si="4"/>
        <v>28500</v>
      </c>
    </row>
    <row r="50" spans="1:5" s="506" customFormat="1" x14ac:dyDescent="0.2">
      <c r="A50" s="512">
        <v>4</v>
      </c>
      <c r="B50" s="511" t="s">
        <v>114</v>
      </c>
      <c r="C50" s="513">
        <v>1481372</v>
      </c>
      <c r="D50" s="515">
        <v>1555529</v>
      </c>
      <c r="E50" s="514">
        <f t="shared" si="4"/>
        <v>74157</v>
      </c>
    </row>
    <row r="51" spans="1:5" s="506" customFormat="1" x14ac:dyDescent="0.2">
      <c r="A51" s="512">
        <v>5</v>
      </c>
      <c r="B51" s="511" t="s">
        <v>715</v>
      </c>
      <c r="C51" s="513">
        <v>59200</v>
      </c>
      <c r="D51" s="515">
        <v>13543</v>
      </c>
      <c r="E51" s="514">
        <f t="shared" si="4"/>
        <v>-45657</v>
      </c>
    </row>
    <row r="52" spans="1:5" s="506" customFormat="1" x14ac:dyDescent="0.2">
      <c r="A52" s="512">
        <v>6</v>
      </c>
      <c r="B52" s="511" t="s">
        <v>418</v>
      </c>
      <c r="C52" s="513">
        <v>9600</v>
      </c>
      <c r="D52" s="515">
        <v>37915</v>
      </c>
      <c r="E52" s="514">
        <f t="shared" si="4"/>
        <v>28315</v>
      </c>
    </row>
    <row r="53" spans="1:5" s="506" customFormat="1" x14ac:dyDescent="0.2">
      <c r="A53" s="512">
        <v>7</v>
      </c>
      <c r="B53" s="511" t="s">
        <v>730</v>
      </c>
      <c r="C53" s="513">
        <v>188048</v>
      </c>
      <c r="D53" s="515">
        <v>25685</v>
      </c>
      <c r="E53" s="514">
        <f t="shared" si="4"/>
        <v>-162363</v>
      </c>
    </row>
    <row r="54" spans="1:5" s="506" customFormat="1" x14ac:dyDescent="0.2">
      <c r="A54" s="512"/>
      <c r="B54" s="516" t="s">
        <v>761</v>
      </c>
      <c r="C54" s="517">
        <f>SUM(C48+C49+C52)</f>
        <v>27152503</v>
      </c>
      <c r="D54" s="517">
        <f>SUM(D48+D49+D52)</f>
        <v>25701111</v>
      </c>
      <c r="E54" s="517">
        <f t="shared" si="4"/>
        <v>-1451392</v>
      </c>
    </row>
    <row r="55" spans="1:5" s="506" customFormat="1" x14ac:dyDescent="0.2">
      <c r="A55" s="512"/>
      <c r="B55" s="516" t="s">
        <v>690</v>
      </c>
      <c r="C55" s="517">
        <f>SUM(C47+C54)</f>
        <v>42972106</v>
      </c>
      <c r="D55" s="517">
        <f>SUM(D47+D54)</f>
        <v>40180832</v>
      </c>
      <c r="E55" s="517">
        <f t="shared" si="4"/>
        <v>-2791274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762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623</v>
      </c>
      <c r="C58" s="513">
        <v>22280688</v>
      </c>
      <c r="D58" s="513">
        <v>21002090</v>
      </c>
      <c r="E58" s="514">
        <f t="shared" ref="E58:E66" si="5">D58-C58</f>
        <v>-1278598</v>
      </c>
    </row>
    <row r="59" spans="1:5" s="506" customFormat="1" x14ac:dyDescent="0.2">
      <c r="A59" s="512">
        <v>2</v>
      </c>
      <c r="B59" s="511" t="s">
        <v>602</v>
      </c>
      <c r="C59" s="513">
        <v>6242107</v>
      </c>
      <c r="D59" s="515">
        <v>6322615</v>
      </c>
      <c r="E59" s="514">
        <f t="shared" si="5"/>
        <v>80508</v>
      </c>
    </row>
    <row r="60" spans="1:5" s="506" customFormat="1" x14ac:dyDescent="0.2">
      <c r="A60" s="512">
        <v>3</v>
      </c>
      <c r="B60" s="511" t="s">
        <v>748</v>
      </c>
      <c r="C60" s="513">
        <f>C61+C62</f>
        <v>2052438</v>
      </c>
      <c r="D60" s="515">
        <f>D61+D62</f>
        <v>2498520</v>
      </c>
      <c r="E60" s="514">
        <f t="shared" si="5"/>
        <v>446082</v>
      </c>
    </row>
    <row r="61" spans="1:5" s="506" customFormat="1" x14ac:dyDescent="0.2">
      <c r="A61" s="512">
        <v>4</v>
      </c>
      <c r="B61" s="511" t="s">
        <v>114</v>
      </c>
      <c r="C61" s="513">
        <v>1808365</v>
      </c>
      <c r="D61" s="515">
        <v>2450311</v>
      </c>
      <c r="E61" s="514">
        <f t="shared" si="5"/>
        <v>641946</v>
      </c>
    </row>
    <row r="62" spans="1:5" s="506" customFormat="1" x14ac:dyDescent="0.2">
      <c r="A62" s="512">
        <v>5</v>
      </c>
      <c r="B62" s="511" t="s">
        <v>715</v>
      </c>
      <c r="C62" s="513">
        <v>244073</v>
      </c>
      <c r="D62" s="515">
        <v>48209</v>
      </c>
      <c r="E62" s="514">
        <f t="shared" si="5"/>
        <v>-195864</v>
      </c>
    </row>
    <row r="63" spans="1:5" s="506" customFormat="1" x14ac:dyDescent="0.2">
      <c r="A63" s="512">
        <v>6</v>
      </c>
      <c r="B63" s="511" t="s">
        <v>418</v>
      </c>
      <c r="C63" s="513">
        <v>103943</v>
      </c>
      <c r="D63" s="515">
        <v>57711</v>
      </c>
      <c r="E63" s="514">
        <f t="shared" si="5"/>
        <v>-46232</v>
      </c>
    </row>
    <row r="64" spans="1:5" s="506" customFormat="1" x14ac:dyDescent="0.2">
      <c r="A64" s="512">
        <v>7</v>
      </c>
      <c r="B64" s="511" t="s">
        <v>730</v>
      </c>
      <c r="C64" s="513">
        <v>462477</v>
      </c>
      <c r="D64" s="515">
        <v>317583</v>
      </c>
      <c r="E64" s="514">
        <f t="shared" si="5"/>
        <v>-144894</v>
      </c>
    </row>
    <row r="65" spans="1:5" s="506" customFormat="1" x14ac:dyDescent="0.2">
      <c r="A65" s="512"/>
      <c r="B65" s="516" t="s">
        <v>763</v>
      </c>
      <c r="C65" s="517">
        <f>SUM(C59+C60+C63)</f>
        <v>8398488</v>
      </c>
      <c r="D65" s="517">
        <f>SUM(D59+D60+D63)</f>
        <v>8878846</v>
      </c>
      <c r="E65" s="517">
        <f t="shared" si="5"/>
        <v>480358</v>
      </c>
    </row>
    <row r="66" spans="1:5" s="506" customFormat="1" x14ac:dyDescent="0.2">
      <c r="A66" s="512"/>
      <c r="B66" s="516" t="s">
        <v>696</v>
      </c>
      <c r="C66" s="517">
        <f>SUM(C58+C65)</f>
        <v>30679176</v>
      </c>
      <c r="D66" s="517">
        <f>SUM(D58+D65)</f>
        <v>29880936</v>
      </c>
      <c r="E66" s="517">
        <f t="shared" si="5"/>
        <v>-798240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621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752</v>
      </c>
      <c r="C69" s="514">
        <f t="shared" ref="C69:D75" si="6">C47+C58</f>
        <v>38100291</v>
      </c>
      <c r="D69" s="514">
        <f t="shared" si="6"/>
        <v>35481811</v>
      </c>
      <c r="E69" s="514">
        <f t="shared" ref="E69:E77" si="7">D69-C69</f>
        <v>-2618480</v>
      </c>
    </row>
    <row r="70" spans="1:5" s="506" customFormat="1" x14ac:dyDescent="0.2">
      <c r="A70" s="512">
        <v>2</v>
      </c>
      <c r="B70" s="511" t="s">
        <v>753</v>
      </c>
      <c r="C70" s="514">
        <f t="shared" si="6"/>
        <v>31844438</v>
      </c>
      <c r="D70" s="514">
        <f t="shared" si="6"/>
        <v>30416739</v>
      </c>
      <c r="E70" s="514">
        <f t="shared" si="7"/>
        <v>-1427699</v>
      </c>
    </row>
    <row r="71" spans="1:5" s="506" customFormat="1" x14ac:dyDescent="0.2">
      <c r="A71" s="512">
        <v>3</v>
      </c>
      <c r="B71" s="511" t="s">
        <v>754</v>
      </c>
      <c r="C71" s="514">
        <f t="shared" si="6"/>
        <v>3593010</v>
      </c>
      <c r="D71" s="514">
        <f t="shared" si="6"/>
        <v>4067592</v>
      </c>
      <c r="E71" s="514">
        <f t="shared" si="7"/>
        <v>474582</v>
      </c>
    </row>
    <row r="72" spans="1:5" s="506" customFormat="1" x14ac:dyDescent="0.2">
      <c r="A72" s="512">
        <v>4</v>
      </c>
      <c r="B72" s="511" t="s">
        <v>755</v>
      </c>
      <c r="C72" s="514">
        <f t="shared" si="6"/>
        <v>3289737</v>
      </c>
      <c r="D72" s="514">
        <f t="shared" si="6"/>
        <v>4005840</v>
      </c>
      <c r="E72" s="514">
        <f t="shared" si="7"/>
        <v>716103</v>
      </c>
    </row>
    <row r="73" spans="1:5" s="506" customFormat="1" x14ac:dyDescent="0.2">
      <c r="A73" s="512">
        <v>5</v>
      </c>
      <c r="B73" s="511" t="s">
        <v>756</v>
      </c>
      <c r="C73" s="514">
        <f t="shared" si="6"/>
        <v>303273</v>
      </c>
      <c r="D73" s="514">
        <f t="shared" si="6"/>
        <v>61752</v>
      </c>
      <c r="E73" s="514">
        <f t="shared" si="7"/>
        <v>-241521</v>
      </c>
    </row>
    <row r="74" spans="1:5" s="506" customFormat="1" x14ac:dyDescent="0.2">
      <c r="A74" s="512">
        <v>6</v>
      </c>
      <c r="B74" s="511" t="s">
        <v>757</v>
      </c>
      <c r="C74" s="514">
        <f t="shared" si="6"/>
        <v>113543</v>
      </c>
      <c r="D74" s="514">
        <f t="shared" si="6"/>
        <v>95626</v>
      </c>
      <c r="E74" s="514">
        <f t="shared" si="7"/>
        <v>-17917</v>
      </c>
    </row>
    <row r="75" spans="1:5" s="506" customFormat="1" x14ac:dyDescent="0.2">
      <c r="A75" s="512">
        <v>7</v>
      </c>
      <c r="B75" s="511" t="s">
        <v>758</v>
      </c>
      <c r="C75" s="514">
        <f t="shared" si="6"/>
        <v>650525</v>
      </c>
      <c r="D75" s="514">
        <f t="shared" si="6"/>
        <v>343268</v>
      </c>
      <c r="E75" s="514">
        <f t="shared" si="7"/>
        <v>-307257</v>
      </c>
    </row>
    <row r="76" spans="1:5" s="506" customFormat="1" x14ac:dyDescent="0.2">
      <c r="A76" s="512"/>
      <c r="B76" s="516" t="s">
        <v>764</v>
      </c>
      <c r="C76" s="517">
        <f>SUM(C70+C71+C74)</f>
        <v>35550991</v>
      </c>
      <c r="D76" s="517">
        <f>SUM(D70+D71+D74)</f>
        <v>34579957</v>
      </c>
      <c r="E76" s="517">
        <f t="shared" si="7"/>
        <v>-971034</v>
      </c>
    </row>
    <row r="77" spans="1:5" s="506" customFormat="1" x14ac:dyDescent="0.2">
      <c r="A77" s="512"/>
      <c r="B77" s="516" t="s">
        <v>698</v>
      </c>
      <c r="C77" s="517">
        <f>SUM(C69+C76)</f>
        <v>73651282</v>
      </c>
      <c r="D77" s="517">
        <f>SUM(D69+D76)</f>
        <v>70061768</v>
      </c>
      <c r="E77" s="517">
        <f t="shared" si="7"/>
        <v>-3589514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765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766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623</v>
      </c>
      <c r="C83" s="523">
        <f t="shared" ref="C83:D89" si="8">IF(C$44=0,0,C14/C$44)</f>
        <v>0.1842927422466385</v>
      </c>
      <c r="D83" s="523">
        <f t="shared" si="8"/>
        <v>0.17936457792992336</v>
      </c>
      <c r="E83" s="523">
        <f t="shared" ref="E83:E91" si="9">D83-C83</f>
        <v>-4.928164316715139E-3</v>
      </c>
    </row>
    <row r="84" spans="1:5" s="506" customFormat="1" x14ac:dyDescent="0.2">
      <c r="A84" s="512">
        <v>2</v>
      </c>
      <c r="B84" s="511" t="s">
        <v>602</v>
      </c>
      <c r="C84" s="523">
        <f t="shared" si="8"/>
        <v>0.36701622883130419</v>
      </c>
      <c r="D84" s="523">
        <f t="shared" si="8"/>
        <v>0.35598737628657956</v>
      </c>
      <c r="E84" s="523">
        <f t="shared" si="9"/>
        <v>-1.1028852544724632E-2</v>
      </c>
    </row>
    <row r="85" spans="1:5" s="506" customFormat="1" x14ac:dyDescent="0.2">
      <c r="A85" s="512">
        <v>3</v>
      </c>
      <c r="B85" s="511" t="s">
        <v>748</v>
      </c>
      <c r="C85" s="523">
        <f t="shared" si="8"/>
        <v>3.4179725000181731E-2</v>
      </c>
      <c r="D85" s="523">
        <f t="shared" si="8"/>
        <v>3.0065075236416845E-2</v>
      </c>
      <c r="E85" s="523">
        <f t="shared" si="9"/>
        <v>-4.1146497637648861E-3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3.0731100800817056E-2</v>
      </c>
      <c r="D86" s="523">
        <f t="shared" si="8"/>
        <v>2.9241883006446926E-2</v>
      </c>
      <c r="E86" s="523">
        <f t="shared" si="9"/>
        <v>-1.4892177943701297E-3</v>
      </c>
    </row>
    <row r="87" spans="1:5" s="506" customFormat="1" x14ac:dyDescent="0.2">
      <c r="A87" s="512">
        <v>5</v>
      </c>
      <c r="B87" s="511" t="s">
        <v>715</v>
      </c>
      <c r="C87" s="523">
        <f t="shared" si="8"/>
        <v>3.4486241993646762E-3</v>
      </c>
      <c r="D87" s="523">
        <f t="shared" si="8"/>
        <v>8.2319222996991826E-4</v>
      </c>
      <c r="E87" s="523">
        <f t="shared" si="9"/>
        <v>-2.6254319693947582E-3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2.1259054897357807E-4</v>
      </c>
      <c r="D88" s="523">
        <f t="shared" si="8"/>
        <v>7.4544235406183337E-4</v>
      </c>
      <c r="E88" s="523">
        <f t="shared" si="9"/>
        <v>5.3285180508825527E-4</v>
      </c>
    </row>
    <row r="89" spans="1:5" s="506" customFormat="1" x14ac:dyDescent="0.2">
      <c r="A89" s="512">
        <v>7</v>
      </c>
      <c r="B89" s="511" t="s">
        <v>730</v>
      </c>
      <c r="C89" s="523">
        <f t="shared" si="8"/>
        <v>1.189040885328406E-2</v>
      </c>
      <c r="D89" s="523">
        <f t="shared" si="8"/>
        <v>8.5372192973234059E-3</v>
      </c>
      <c r="E89" s="523">
        <f t="shared" si="9"/>
        <v>-3.3531895559606537E-3</v>
      </c>
    </row>
    <row r="90" spans="1:5" s="506" customFormat="1" x14ac:dyDescent="0.2">
      <c r="A90" s="512"/>
      <c r="B90" s="516" t="s">
        <v>767</v>
      </c>
      <c r="C90" s="524">
        <f>SUM(C84+C85+C88)</f>
        <v>0.40140854438045953</v>
      </c>
      <c r="D90" s="524">
        <f>SUM(D84+D85+D88)</f>
        <v>0.38679789387705821</v>
      </c>
      <c r="E90" s="525">
        <f t="shared" si="9"/>
        <v>-1.4610650503401323E-2</v>
      </c>
    </row>
    <row r="91" spans="1:5" s="506" customFormat="1" x14ac:dyDescent="0.2">
      <c r="A91" s="512"/>
      <c r="B91" s="516" t="s">
        <v>768</v>
      </c>
      <c r="C91" s="524">
        <f>SUM(C83+C90)</f>
        <v>0.58570128662709808</v>
      </c>
      <c r="D91" s="524">
        <f>SUM(D83+D90)</f>
        <v>0.56616247180698154</v>
      </c>
      <c r="E91" s="525">
        <f t="shared" si="9"/>
        <v>-1.9538814820116546E-2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769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623</v>
      </c>
      <c r="C95" s="523">
        <f t="shared" ref="C95:D101" si="10">IF(C$44=0,0,C25/C$44)</f>
        <v>0.2495276446270909</v>
      </c>
      <c r="D95" s="523">
        <f t="shared" si="10"/>
        <v>0.25100294354059915</v>
      </c>
      <c r="E95" s="523">
        <f t="shared" ref="E95:E103" si="11">D95-C95</f>
        <v>1.475298913508255E-3</v>
      </c>
    </row>
    <row r="96" spans="1:5" s="506" customFormat="1" x14ac:dyDescent="0.2">
      <c r="A96" s="512">
        <v>2</v>
      </c>
      <c r="B96" s="511" t="s">
        <v>602</v>
      </c>
      <c r="C96" s="523">
        <f t="shared" si="10"/>
        <v>0.11412087191211566</v>
      </c>
      <c r="D96" s="523">
        <f t="shared" si="10"/>
        <v>0.12376968188132144</v>
      </c>
      <c r="E96" s="523">
        <f t="shared" si="11"/>
        <v>9.6488099692057794E-3</v>
      </c>
    </row>
    <row r="97" spans="1:5" s="506" customFormat="1" x14ac:dyDescent="0.2">
      <c r="A97" s="512">
        <v>3</v>
      </c>
      <c r="B97" s="511" t="s">
        <v>748</v>
      </c>
      <c r="C97" s="523">
        <f t="shared" si="10"/>
        <v>4.9583757726120864E-2</v>
      </c>
      <c r="D97" s="523">
        <f t="shared" si="10"/>
        <v>5.8021598704069532E-2</v>
      </c>
      <c r="E97" s="523">
        <f t="shared" si="11"/>
        <v>8.4378409779486685E-3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3.9929535681331993E-2</v>
      </c>
      <c r="D98" s="523">
        <f t="shared" si="10"/>
        <v>5.654652437741043E-2</v>
      </c>
      <c r="E98" s="523">
        <f t="shared" si="11"/>
        <v>1.6616988696078437E-2</v>
      </c>
    </row>
    <row r="99" spans="1:5" s="506" customFormat="1" x14ac:dyDescent="0.2">
      <c r="A99" s="512">
        <v>5</v>
      </c>
      <c r="B99" s="511" t="s">
        <v>715</v>
      </c>
      <c r="C99" s="523">
        <f t="shared" si="10"/>
        <v>9.6542220447888728E-3</v>
      </c>
      <c r="D99" s="523">
        <f t="shared" si="10"/>
        <v>1.4750743266591039E-3</v>
      </c>
      <c r="E99" s="523">
        <f t="shared" si="11"/>
        <v>-8.1791477181297687E-3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1.0664391075745642E-3</v>
      </c>
      <c r="D100" s="523">
        <f t="shared" si="10"/>
        <v>1.0433040670282639E-3</v>
      </c>
      <c r="E100" s="523">
        <f t="shared" si="11"/>
        <v>-2.3135040546300341E-5</v>
      </c>
    </row>
    <row r="101" spans="1:5" s="506" customFormat="1" x14ac:dyDescent="0.2">
      <c r="A101" s="512">
        <v>7</v>
      </c>
      <c r="B101" s="511" t="s">
        <v>730</v>
      </c>
      <c r="C101" s="523">
        <f t="shared" si="10"/>
        <v>2.375104672450223E-2</v>
      </c>
      <c r="D101" s="523">
        <f t="shared" si="10"/>
        <v>1.9397571014384187E-2</v>
      </c>
      <c r="E101" s="523">
        <f t="shared" si="11"/>
        <v>-4.3534757101180432E-3</v>
      </c>
    </row>
    <row r="102" spans="1:5" s="506" customFormat="1" x14ac:dyDescent="0.2">
      <c r="A102" s="512"/>
      <c r="B102" s="516" t="s">
        <v>770</v>
      </c>
      <c r="C102" s="524">
        <f>SUM(C96+C97+C100)</f>
        <v>0.16477106874581107</v>
      </c>
      <c r="D102" s="524">
        <f>SUM(D96+D97+D100)</f>
        <v>0.18283458465241922</v>
      </c>
      <c r="E102" s="525">
        <f t="shared" si="11"/>
        <v>1.8063515906608152E-2</v>
      </c>
    </row>
    <row r="103" spans="1:5" s="506" customFormat="1" x14ac:dyDescent="0.2">
      <c r="A103" s="512"/>
      <c r="B103" s="516" t="s">
        <v>771</v>
      </c>
      <c r="C103" s="524">
        <f>SUM(C95+C102)</f>
        <v>0.41429871337290197</v>
      </c>
      <c r="D103" s="524">
        <f>SUM(D95+D102)</f>
        <v>0.43383752819301835</v>
      </c>
      <c r="E103" s="525">
        <f t="shared" si="11"/>
        <v>1.9538814820116379E-2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772</v>
      </c>
      <c r="C105" s="525">
        <f>C91+C103</f>
        <v>1</v>
      </c>
      <c r="D105" s="525">
        <f>D91+D103</f>
        <v>0.99999999999999989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773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623</v>
      </c>
      <c r="C109" s="523">
        <f t="shared" ref="C109:D115" si="12">IF(C$77=0,0,C47/C$77)</f>
        <v>0.21479059930009092</v>
      </c>
      <c r="D109" s="523">
        <f t="shared" si="12"/>
        <v>0.20667079083702256</v>
      </c>
      <c r="E109" s="523">
        <f t="shared" ref="E109:E117" si="13">D109-C109</f>
        <v>-8.1198084630683676E-3</v>
      </c>
    </row>
    <row r="110" spans="1:5" s="506" customFormat="1" x14ac:dyDescent="0.2">
      <c r="A110" s="512">
        <v>2</v>
      </c>
      <c r="B110" s="511" t="s">
        <v>602</v>
      </c>
      <c r="C110" s="523">
        <f t="shared" si="12"/>
        <v>0.34761555134912653</v>
      </c>
      <c r="D110" s="523">
        <f t="shared" si="12"/>
        <v>0.34389831555492578</v>
      </c>
      <c r="E110" s="523">
        <f t="shared" si="13"/>
        <v>-3.7172357942007461E-3</v>
      </c>
    </row>
    <row r="111" spans="1:5" s="506" customFormat="1" x14ac:dyDescent="0.2">
      <c r="A111" s="512">
        <v>3</v>
      </c>
      <c r="B111" s="511" t="s">
        <v>748</v>
      </c>
      <c r="C111" s="523">
        <f t="shared" si="12"/>
        <v>2.0917110444866389E-2</v>
      </c>
      <c r="D111" s="523">
        <f t="shared" si="12"/>
        <v>2.2395552450232201E-2</v>
      </c>
      <c r="E111" s="523">
        <f t="shared" si="13"/>
        <v>1.4784420053658119E-3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2.01133226710161E-2</v>
      </c>
      <c r="D112" s="523">
        <f t="shared" si="12"/>
        <v>2.220225159033954E-2</v>
      </c>
      <c r="E112" s="523">
        <f t="shared" si="13"/>
        <v>2.0889289193234406E-3</v>
      </c>
    </row>
    <row r="113" spans="1:5" s="506" customFormat="1" x14ac:dyDescent="0.2">
      <c r="A113" s="512">
        <v>5</v>
      </c>
      <c r="B113" s="511" t="s">
        <v>715</v>
      </c>
      <c r="C113" s="523">
        <f t="shared" si="12"/>
        <v>8.0378777385029085E-4</v>
      </c>
      <c r="D113" s="523">
        <f t="shared" si="12"/>
        <v>1.9330085989265928E-4</v>
      </c>
      <c r="E113" s="523">
        <f t="shared" si="13"/>
        <v>-6.1048691395763151E-4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1.3034396332707419E-4</v>
      </c>
      <c r="D114" s="523">
        <f t="shared" si="12"/>
        <v>5.4116533285314752E-4</v>
      </c>
      <c r="E114" s="523">
        <f t="shared" si="13"/>
        <v>4.1082136952607333E-4</v>
      </c>
    </row>
    <row r="115" spans="1:5" s="506" customFormat="1" x14ac:dyDescent="0.2">
      <c r="A115" s="512">
        <v>7</v>
      </c>
      <c r="B115" s="511" t="s">
        <v>730</v>
      </c>
      <c r="C115" s="523">
        <f t="shared" si="12"/>
        <v>2.5532210016385049E-3</v>
      </c>
      <c r="D115" s="523">
        <f t="shared" si="12"/>
        <v>3.6660507910676762E-4</v>
      </c>
      <c r="E115" s="523">
        <f t="shared" si="13"/>
        <v>-2.1866159225317375E-3</v>
      </c>
    </row>
    <row r="116" spans="1:5" s="506" customFormat="1" x14ac:dyDescent="0.2">
      <c r="A116" s="512"/>
      <c r="B116" s="516" t="s">
        <v>767</v>
      </c>
      <c r="C116" s="524">
        <f>SUM(C110+C111+C114)</f>
        <v>0.36866300575731997</v>
      </c>
      <c r="D116" s="524">
        <f>SUM(D110+D111+D114)</f>
        <v>0.36683503333801115</v>
      </c>
      <c r="E116" s="525">
        <f t="shared" si="13"/>
        <v>-1.8279724193088209E-3</v>
      </c>
    </row>
    <row r="117" spans="1:5" s="506" customFormat="1" x14ac:dyDescent="0.2">
      <c r="A117" s="512"/>
      <c r="B117" s="516" t="s">
        <v>768</v>
      </c>
      <c r="C117" s="524">
        <f>SUM(C109+C116)</f>
        <v>0.58345360505741084</v>
      </c>
      <c r="D117" s="524">
        <f>SUM(D109+D116)</f>
        <v>0.57350582417503371</v>
      </c>
      <c r="E117" s="525">
        <f t="shared" si="13"/>
        <v>-9.947780882377133E-3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774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623</v>
      </c>
      <c r="C121" s="523">
        <f t="shared" ref="C121:D127" si="14">IF(C$77=0,0,C58/C$77)</f>
        <v>0.30251595620562316</v>
      </c>
      <c r="D121" s="523">
        <f t="shared" si="14"/>
        <v>0.29976534420313228</v>
      </c>
      <c r="E121" s="523">
        <f t="shared" ref="E121:E129" si="15">D121-C121</f>
        <v>-2.750612002490882E-3</v>
      </c>
    </row>
    <row r="122" spans="1:5" s="506" customFormat="1" x14ac:dyDescent="0.2">
      <c r="A122" s="512">
        <v>2</v>
      </c>
      <c r="B122" s="511" t="s">
        <v>602</v>
      </c>
      <c r="C122" s="523">
        <f t="shared" si="14"/>
        <v>8.4752183947049281E-2</v>
      </c>
      <c r="D122" s="523">
        <f t="shared" si="14"/>
        <v>9.0243440616571372E-2</v>
      </c>
      <c r="E122" s="523">
        <f t="shared" si="15"/>
        <v>5.4912566695220905E-3</v>
      </c>
    </row>
    <row r="123" spans="1:5" s="506" customFormat="1" x14ac:dyDescent="0.2">
      <c r="A123" s="512">
        <v>3</v>
      </c>
      <c r="B123" s="511" t="s">
        <v>748</v>
      </c>
      <c r="C123" s="523">
        <f t="shared" si="14"/>
        <v>2.7866969104488909E-2</v>
      </c>
      <c r="D123" s="523">
        <f t="shared" si="14"/>
        <v>3.5661674995127159E-2</v>
      </c>
      <c r="E123" s="523">
        <f t="shared" si="15"/>
        <v>7.7947058906382496E-3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2.4553068879371306E-2</v>
      </c>
      <c r="D124" s="523">
        <f t="shared" si="14"/>
        <v>3.4973582168237607E-2</v>
      </c>
      <c r="E124" s="523">
        <f t="shared" si="15"/>
        <v>1.0420513288866302E-2</v>
      </c>
    </row>
    <row r="125" spans="1:5" s="506" customFormat="1" x14ac:dyDescent="0.2">
      <c r="A125" s="512">
        <v>5</v>
      </c>
      <c r="B125" s="511" t="s">
        <v>715</v>
      </c>
      <c r="C125" s="523">
        <f t="shared" si="14"/>
        <v>3.3139002251176023E-3</v>
      </c>
      <c r="D125" s="523">
        <f t="shared" si="14"/>
        <v>6.8809282688955266E-4</v>
      </c>
      <c r="E125" s="523">
        <f t="shared" si="15"/>
        <v>-2.6258073982280495E-3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1.4112856854277161E-3</v>
      </c>
      <c r="D126" s="523">
        <f t="shared" si="14"/>
        <v>8.2371601013551358E-4</v>
      </c>
      <c r="E126" s="523">
        <f t="shared" si="15"/>
        <v>-5.875696752922025E-4</v>
      </c>
    </row>
    <row r="127" spans="1:5" s="506" customFormat="1" x14ac:dyDescent="0.2">
      <c r="A127" s="512">
        <v>7</v>
      </c>
      <c r="B127" s="511" t="s">
        <v>730</v>
      </c>
      <c r="C127" s="523">
        <f t="shared" si="14"/>
        <v>6.2792797007932598E-3</v>
      </c>
      <c r="D127" s="523">
        <f t="shared" si="14"/>
        <v>4.532900168890971E-3</v>
      </c>
      <c r="E127" s="523">
        <f t="shared" si="15"/>
        <v>-1.7463795319022889E-3</v>
      </c>
    </row>
    <row r="128" spans="1:5" s="506" customFormat="1" x14ac:dyDescent="0.2">
      <c r="A128" s="512"/>
      <c r="B128" s="516" t="s">
        <v>770</v>
      </c>
      <c r="C128" s="524">
        <f>SUM(C122+C123+C126)</f>
        <v>0.1140304387369659</v>
      </c>
      <c r="D128" s="524">
        <f>SUM(D122+D123+D126)</f>
        <v>0.12672883162183404</v>
      </c>
      <c r="E128" s="525">
        <f t="shared" si="15"/>
        <v>1.269839288486814E-2</v>
      </c>
    </row>
    <row r="129" spans="1:5" s="506" customFormat="1" x14ac:dyDescent="0.2">
      <c r="A129" s="512"/>
      <c r="B129" s="516" t="s">
        <v>771</v>
      </c>
      <c r="C129" s="524">
        <f>SUM(C121+C128)</f>
        <v>0.41654639494258905</v>
      </c>
      <c r="D129" s="524">
        <f>SUM(D121+D128)</f>
        <v>0.42649417582496629</v>
      </c>
      <c r="E129" s="525">
        <f t="shared" si="15"/>
        <v>9.947780882377244E-3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775</v>
      </c>
      <c r="C131" s="525">
        <f>C117+C129</f>
        <v>0.99999999999999989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776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777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623</v>
      </c>
      <c r="C137" s="530">
        <v>1930</v>
      </c>
      <c r="D137" s="530">
        <v>1753</v>
      </c>
      <c r="E137" s="531">
        <f t="shared" ref="E137:E145" si="16">D137-C137</f>
        <v>-177</v>
      </c>
    </row>
    <row r="138" spans="1:5" s="506" customFormat="1" x14ac:dyDescent="0.2">
      <c r="A138" s="512">
        <v>2</v>
      </c>
      <c r="B138" s="511" t="s">
        <v>602</v>
      </c>
      <c r="C138" s="530">
        <v>2423</v>
      </c>
      <c r="D138" s="530">
        <v>2362</v>
      </c>
      <c r="E138" s="531">
        <f t="shared" si="16"/>
        <v>-61</v>
      </c>
    </row>
    <row r="139" spans="1:5" s="506" customFormat="1" x14ac:dyDescent="0.2">
      <c r="A139" s="512">
        <v>3</v>
      </c>
      <c r="B139" s="511" t="s">
        <v>748</v>
      </c>
      <c r="C139" s="530">
        <f>C140+C141</f>
        <v>444</v>
      </c>
      <c r="D139" s="530">
        <f>D140+D141</f>
        <v>413</v>
      </c>
      <c r="E139" s="531">
        <f t="shared" si="16"/>
        <v>-31</v>
      </c>
    </row>
    <row r="140" spans="1:5" s="506" customFormat="1" x14ac:dyDescent="0.2">
      <c r="A140" s="512">
        <v>4</v>
      </c>
      <c r="B140" s="511" t="s">
        <v>114</v>
      </c>
      <c r="C140" s="530">
        <v>417</v>
      </c>
      <c r="D140" s="530">
        <v>406</v>
      </c>
      <c r="E140" s="531">
        <f t="shared" si="16"/>
        <v>-11</v>
      </c>
    </row>
    <row r="141" spans="1:5" s="506" customFormat="1" x14ac:dyDescent="0.2">
      <c r="A141" s="512">
        <v>5</v>
      </c>
      <c r="B141" s="511" t="s">
        <v>715</v>
      </c>
      <c r="C141" s="530">
        <v>27</v>
      </c>
      <c r="D141" s="530">
        <v>7</v>
      </c>
      <c r="E141" s="531">
        <f t="shared" si="16"/>
        <v>-20</v>
      </c>
    </row>
    <row r="142" spans="1:5" s="506" customFormat="1" x14ac:dyDescent="0.2">
      <c r="A142" s="512">
        <v>6</v>
      </c>
      <c r="B142" s="511" t="s">
        <v>418</v>
      </c>
      <c r="C142" s="530">
        <v>3</v>
      </c>
      <c r="D142" s="530">
        <v>12</v>
      </c>
      <c r="E142" s="531">
        <f t="shared" si="16"/>
        <v>9</v>
      </c>
    </row>
    <row r="143" spans="1:5" s="506" customFormat="1" x14ac:dyDescent="0.2">
      <c r="A143" s="512">
        <v>7</v>
      </c>
      <c r="B143" s="511" t="s">
        <v>730</v>
      </c>
      <c r="C143" s="530">
        <v>99</v>
      </c>
      <c r="D143" s="530">
        <v>79</v>
      </c>
      <c r="E143" s="531">
        <f t="shared" si="16"/>
        <v>-20</v>
      </c>
    </row>
    <row r="144" spans="1:5" s="506" customFormat="1" x14ac:dyDescent="0.2">
      <c r="A144" s="512"/>
      <c r="B144" s="516" t="s">
        <v>778</v>
      </c>
      <c r="C144" s="532">
        <f>SUM(C138+C139+C142)</f>
        <v>2870</v>
      </c>
      <c r="D144" s="532">
        <f>SUM(D138+D139+D142)</f>
        <v>2787</v>
      </c>
      <c r="E144" s="533">
        <f t="shared" si="16"/>
        <v>-83</v>
      </c>
    </row>
    <row r="145" spans="1:5" s="506" customFormat="1" x14ac:dyDescent="0.2">
      <c r="A145" s="512"/>
      <c r="B145" s="516" t="s">
        <v>692</v>
      </c>
      <c r="C145" s="532">
        <f>SUM(C137+C144)</f>
        <v>4800</v>
      </c>
      <c r="D145" s="532">
        <f>SUM(D137+D144)</f>
        <v>4540</v>
      </c>
      <c r="E145" s="533">
        <f t="shared" si="16"/>
        <v>-260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623</v>
      </c>
      <c r="C149" s="534">
        <v>6915</v>
      </c>
      <c r="D149" s="534">
        <v>5589</v>
      </c>
      <c r="E149" s="531">
        <f t="shared" ref="E149:E157" si="17">D149-C149</f>
        <v>-1326</v>
      </c>
    </row>
    <row r="150" spans="1:5" s="506" customFormat="1" x14ac:dyDescent="0.2">
      <c r="A150" s="512">
        <v>2</v>
      </c>
      <c r="B150" s="511" t="s">
        <v>602</v>
      </c>
      <c r="C150" s="534">
        <v>11854</v>
      </c>
      <c r="D150" s="534">
        <v>10822</v>
      </c>
      <c r="E150" s="531">
        <f t="shared" si="17"/>
        <v>-1032</v>
      </c>
    </row>
    <row r="151" spans="1:5" s="506" customFormat="1" x14ac:dyDescent="0.2">
      <c r="A151" s="512">
        <v>3</v>
      </c>
      <c r="B151" s="511" t="s">
        <v>748</v>
      </c>
      <c r="C151" s="534">
        <f>C152+C153</f>
        <v>1590</v>
      </c>
      <c r="D151" s="534">
        <f>D152+D153</f>
        <v>1267</v>
      </c>
      <c r="E151" s="531">
        <f t="shared" si="17"/>
        <v>-323</v>
      </c>
    </row>
    <row r="152" spans="1:5" s="506" customFormat="1" x14ac:dyDescent="0.2">
      <c r="A152" s="512">
        <v>4</v>
      </c>
      <c r="B152" s="511" t="s">
        <v>114</v>
      </c>
      <c r="C152" s="534">
        <v>1485</v>
      </c>
      <c r="D152" s="534">
        <v>1247</v>
      </c>
      <c r="E152" s="531">
        <f t="shared" si="17"/>
        <v>-238</v>
      </c>
    </row>
    <row r="153" spans="1:5" s="506" customFormat="1" x14ac:dyDescent="0.2">
      <c r="A153" s="512">
        <v>5</v>
      </c>
      <c r="B153" s="511" t="s">
        <v>715</v>
      </c>
      <c r="C153" s="535">
        <v>105</v>
      </c>
      <c r="D153" s="534">
        <v>20</v>
      </c>
      <c r="E153" s="531">
        <f t="shared" si="17"/>
        <v>-85</v>
      </c>
    </row>
    <row r="154" spans="1:5" s="506" customFormat="1" x14ac:dyDescent="0.2">
      <c r="A154" s="512">
        <v>6</v>
      </c>
      <c r="B154" s="511" t="s">
        <v>418</v>
      </c>
      <c r="C154" s="534">
        <v>11</v>
      </c>
      <c r="D154" s="534">
        <v>30</v>
      </c>
      <c r="E154" s="531">
        <f t="shared" si="17"/>
        <v>19</v>
      </c>
    </row>
    <row r="155" spans="1:5" s="506" customFormat="1" x14ac:dyDescent="0.2">
      <c r="A155" s="512">
        <v>7</v>
      </c>
      <c r="B155" s="511" t="s">
        <v>730</v>
      </c>
      <c r="C155" s="534">
        <v>440</v>
      </c>
      <c r="D155" s="534">
        <v>278</v>
      </c>
      <c r="E155" s="531">
        <f t="shared" si="17"/>
        <v>-162</v>
      </c>
    </row>
    <row r="156" spans="1:5" s="506" customFormat="1" x14ac:dyDescent="0.2">
      <c r="A156" s="512"/>
      <c r="B156" s="516" t="s">
        <v>779</v>
      </c>
      <c r="C156" s="532">
        <f>SUM(C150+C151+C154)</f>
        <v>13455</v>
      </c>
      <c r="D156" s="532">
        <f>SUM(D150+D151+D154)</f>
        <v>12119</v>
      </c>
      <c r="E156" s="533">
        <f t="shared" si="17"/>
        <v>-1336</v>
      </c>
    </row>
    <row r="157" spans="1:5" s="506" customFormat="1" x14ac:dyDescent="0.2">
      <c r="A157" s="512"/>
      <c r="B157" s="516" t="s">
        <v>780</v>
      </c>
      <c r="C157" s="532">
        <f>SUM(C149+C156)</f>
        <v>20370</v>
      </c>
      <c r="D157" s="532">
        <f>SUM(D149+D156)</f>
        <v>17708</v>
      </c>
      <c r="E157" s="533">
        <f t="shared" si="17"/>
        <v>-2662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781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623</v>
      </c>
      <c r="C161" s="536">
        <f t="shared" ref="C161:D169" si="18">IF(C137=0,0,C149/C137)</f>
        <v>3.5829015544041449</v>
      </c>
      <c r="D161" s="536">
        <f t="shared" si="18"/>
        <v>3.188248716486024</v>
      </c>
      <c r="E161" s="537">
        <f t="shared" ref="E161:E169" si="19">D161-C161</f>
        <v>-0.39465283791812089</v>
      </c>
    </row>
    <row r="162" spans="1:5" s="506" customFormat="1" x14ac:dyDescent="0.2">
      <c r="A162" s="512">
        <v>2</v>
      </c>
      <c r="B162" s="511" t="s">
        <v>602</v>
      </c>
      <c r="C162" s="536">
        <f t="shared" si="18"/>
        <v>4.8922822946760212</v>
      </c>
      <c r="D162" s="536">
        <f t="shared" si="18"/>
        <v>4.5817104149026253</v>
      </c>
      <c r="E162" s="537">
        <f t="shared" si="19"/>
        <v>-0.31057187977339584</v>
      </c>
    </row>
    <row r="163" spans="1:5" s="506" customFormat="1" x14ac:dyDescent="0.2">
      <c r="A163" s="512">
        <v>3</v>
      </c>
      <c r="B163" s="511" t="s">
        <v>748</v>
      </c>
      <c r="C163" s="536">
        <f t="shared" si="18"/>
        <v>3.5810810810810811</v>
      </c>
      <c r="D163" s="536">
        <f t="shared" si="18"/>
        <v>3.0677966101694913</v>
      </c>
      <c r="E163" s="537">
        <f t="shared" si="19"/>
        <v>-0.5132844709115898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3.5611510791366907</v>
      </c>
      <c r="D164" s="536">
        <f t="shared" si="18"/>
        <v>3.0714285714285716</v>
      </c>
      <c r="E164" s="537">
        <f t="shared" si="19"/>
        <v>-0.48972250770811909</v>
      </c>
    </row>
    <row r="165" spans="1:5" s="506" customFormat="1" x14ac:dyDescent="0.2">
      <c r="A165" s="512">
        <v>5</v>
      </c>
      <c r="B165" s="511" t="s">
        <v>715</v>
      </c>
      <c r="C165" s="536">
        <f t="shared" si="18"/>
        <v>3.8888888888888888</v>
      </c>
      <c r="D165" s="536">
        <f t="shared" si="18"/>
        <v>2.8571428571428572</v>
      </c>
      <c r="E165" s="537">
        <f t="shared" si="19"/>
        <v>-1.0317460317460316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3.6666666666666665</v>
      </c>
      <c r="D166" s="536">
        <f t="shared" si="18"/>
        <v>2.5</v>
      </c>
      <c r="E166" s="537">
        <f t="shared" si="19"/>
        <v>-1.1666666666666665</v>
      </c>
    </row>
    <row r="167" spans="1:5" s="506" customFormat="1" x14ac:dyDescent="0.2">
      <c r="A167" s="512">
        <v>7</v>
      </c>
      <c r="B167" s="511" t="s">
        <v>730</v>
      </c>
      <c r="C167" s="536">
        <f t="shared" si="18"/>
        <v>4.4444444444444446</v>
      </c>
      <c r="D167" s="536">
        <f t="shared" si="18"/>
        <v>3.518987341772152</v>
      </c>
      <c r="E167" s="537">
        <f t="shared" si="19"/>
        <v>-0.92545710267229264</v>
      </c>
    </row>
    <row r="168" spans="1:5" s="506" customFormat="1" x14ac:dyDescent="0.2">
      <c r="A168" s="512"/>
      <c r="B168" s="516" t="s">
        <v>782</v>
      </c>
      <c r="C168" s="538">
        <f t="shared" si="18"/>
        <v>4.6881533101045294</v>
      </c>
      <c r="D168" s="538">
        <f t="shared" si="18"/>
        <v>4.3484033010405456</v>
      </c>
      <c r="E168" s="539">
        <f t="shared" si="19"/>
        <v>-0.33975000906398378</v>
      </c>
    </row>
    <row r="169" spans="1:5" s="506" customFormat="1" x14ac:dyDescent="0.2">
      <c r="A169" s="512"/>
      <c r="B169" s="516" t="s">
        <v>716</v>
      </c>
      <c r="C169" s="538">
        <f t="shared" si="18"/>
        <v>4.2437500000000004</v>
      </c>
      <c r="D169" s="538">
        <f t="shared" si="18"/>
        <v>3.9004405286343613</v>
      </c>
      <c r="E169" s="539">
        <f t="shared" si="19"/>
        <v>-0.34330947136563905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783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623</v>
      </c>
      <c r="C173" s="541">
        <f t="shared" ref="C173:D181" si="20">IF(C137=0,0,C203/C137)</f>
        <v>1.0646800000000001</v>
      </c>
      <c r="D173" s="541">
        <f t="shared" si="20"/>
        <v>1.13964</v>
      </c>
      <c r="E173" s="542">
        <f t="shared" ref="E173:E181" si="21">D173-C173</f>
        <v>7.4959999999999916E-2</v>
      </c>
    </row>
    <row r="174" spans="1:5" s="506" customFormat="1" x14ac:dyDescent="0.2">
      <c r="A174" s="512">
        <v>2</v>
      </c>
      <c r="B174" s="511" t="s">
        <v>602</v>
      </c>
      <c r="C174" s="541">
        <f t="shared" si="20"/>
        <v>1.5705</v>
      </c>
      <c r="D174" s="541">
        <f t="shared" si="20"/>
        <v>1.5058</v>
      </c>
      <c r="E174" s="542">
        <f t="shared" si="21"/>
        <v>-6.469999999999998E-2</v>
      </c>
    </row>
    <row r="175" spans="1:5" s="506" customFormat="1" x14ac:dyDescent="0.2">
      <c r="A175" s="512">
        <v>0</v>
      </c>
      <c r="B175" s="511" t="s">
        <v>748</v>
      </c>
      <c r="C175" s="541">
        <f t="shared" si="20"/>
        <v>0.84579432432432422</v>
      </c>
      <c r="D175" s="541">
        <f t="shared" si="20"/>
        <v>0.90883864406779669</v>
      </c>
      <c r="E175" s="542">
        <f t="shared" si="21"/>
        <v>6.3044319743472466E-2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0.82345000000000002</v>
      </c>
      <c r="D176" s="541">
        <f t="shared" si="20"/>
        <v>0.90485000000000004</v>
      </c>
      <c r="E176" s="542">
        <f t="shared" si="21"/>
        <v>8.1400000000000028E-2</v>
      </c>
    </row>
    <row r="177" spans="1:5" s="506" customFormat="1" x14ac:dyDescent="0.2">
      <c r="A177" s="512">
        <v>5</v>
      </c>
      <c r="B177" s="511" t="s">
        <v>715</v>
      </c>
      <c r="C177" s="541">
        <f t="shared" si="20"/>
        <v>1.19089</v>
      </c>
      <c r="D177" s="541">
        <f t="shared" si="20"/>
        <v>1.14018</v>
      </c>
      <c r="E177" s="542">
        <f t="shared" si="21"/>
        <v>-5.0710000000000033E-2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0.51895000000000002</v>
      </c>
      <c r="D178" s="541">
        <f t="shared" si="20"/>
        <v>0.71243999999999996</v>
      </c>
      <c r="E178" s="542">
        <f t="shared" si="21"/>
        <v>0.19348999999999994</v>
      </c>
    </row>
    <row r="179" spans="1:5" s="506" customFormat="1" x14ac:dyDescent="0.2">
      <c r="A179" s="512">
        <v>7</v>
      </c>
      <c r="B179" s="511" t="s">
        <v>730</v>
      </c>
      <c r="C179" s="541">
        <f t="shared" si="20"/>
        <v>1.1172299999999999</v>
      </c>
      <c r="D179" s="541">
        <f t="shared" si="20"/>
        <v>1.0085500000000001</v>
      </c>
      <c r="E179" s="542">
        <f t="shared" si="21"/>
        <v>-0.10867999999999989</v>
      </c>
    </row>
    <row r="180" spans="1:5" s="506" customFormat="1" x14ac:dyDescent="0.2">
      <c r="A180" s="512"/>
      <c r="B180" s="516" t="s">
        <v>784</v>
      </c>
      <c r="C180" s="543">
        <f t="shared" si="20"/>
        <v>1.4572860731707318</v>
      </c>
      <c r="D180" s="543">
        <f t="shared" si="20"/>
        <v>1.4139215069967708</v>
      </c>
      <c r="E180" s="544">
        <f t="shared" si="21"/>
        <v>-4.3364566173961006E-2</v>
      </c>
    </row>
    <row r="181" spans="1:5" s="506" customFormat="1" x14ac:dyDescent="0.2">
      <c r="A181" s="512"/>
      <c r="B181" s="516" t="s">
        <v>693</v>
      </c>
      <c r="C181" s="543">
        <f t="shared" si="20"/>
        <v>1.2994257145833334</v>
      </c>
      <c r="D181" s="543">
        <f t="shared" si="20"/>
        <v>1.3080150132158592</v>
      </c>
      <c r="E181" s="544">
        <f t="shared" si="21"/>
        <v>8.589298632525777E-3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785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786</v>
      </c>
      <c r="C185" s="513">
        <v>84371463</v>
      </c>
      <c r="D185" s="513">
        <v>79887595</v>
      </c>
      <c r="E185" s="514">
        <f>D185-C185</f>
        <v>-4483868</v>
      </c>
    </row>
    <row r="186" spans="1:5" s="506" customFormat="1" ht="25.5" x14ac:dyDescent="0.2">
      <c r="A186" s="512">
        <v>2</v>
      </c>
      <c r="B186" s="511" t="s">
        <v>787</v>
      </c>
      <c r="C186" s="513">
        <v>36447939</v>
      </c>
      <c r="D186" s="513">
        <v>35946182</v>
      </c>
      <c r="E186" s="514">
        <f>D186-C186</f>
        <v>-501757</v>
      </c>
    </row>
    <row r="187" spans="1:5" s="506" customFormat="1" x14ac:dyDescent="0.2">
      <c r="A187" s="512"/>
      <c r="B187" s="511" t="s">
        <v>635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719</v>
      </c>
      <c r="C188" s="546">
        <f>+C185-C186</f>
        <v>47923524</v>
      </c>
      <c r="D188" s="546">
        <f>+D185-D186</f>
        <v>43941413</v>
      </c>
      <c r="E188" s="514">
        <f t="shared" ref="E188:E197" si="22">D188-C188</f>
        <v>-3982111</v>
      </c>
    </row>
    <row r="189" spans="1:5" s="506" customFormat="1" x14ac:dyDescent="0.2">
      <c r="A189" s="512">
        <v>4</v>
      </c>
      <c r="B189" s="511" t="s">
        <v>637</v>
      </c>
      <c r="C189" s="547">
        <f>IF(C185=0,0,+C188/C185)</f>
        <v>0.56800631749149588</v>
      </c>
      <c r="D189" s="547">
        <f>IF(D185=0,0,+D188/D185)</f>
        <v>0.55004050378534985</v>
      </c>
      <c r="E189" s="523">
        <f t="shared" si="22"/>
        <v>-1.7965813706146028E-2</v>
      </c>
    </row>
    <row r="190" spans="1:5" s="506" customFormat="1" x14ac:dyDescent="0.2">
      <c r="A190" s="512">
        <v>5</v>
      </c>
      <c r="B190" s="511" t="s">
        <v>734</v>
      </c>
      <c r="C190" s="513">
        <v>2885294</v>
      </c>
      <c r="D190" s="513">
        <v>2327861</v>
      </c>
      <c r="E190" s="546">
        <f t="shared" si="22"/>
        <v>-557433</v>
      </c>
    </row>
    <row r="191" spans="1:5" s="506" customFormat="1" x14ac:dyDescent="0.2">
      <c r="A191" s="512">
        <v>6</v>
      </c>
      <c r="B191" s="511" t="s">
        <v>720</v>
      </c>
      <c r="C191" s="513">
        <v>1818984</v>
      </c>
      <c r="D191" s="513">
        <v>1429460</v>
      </c>
      <c r="E191" s="546">
        <f t="shared" si="22"/>
        <v>-389524</v>
      </c>
    </row>
    <row r="192" spans="1:5" ht="29.25" x14ac:dyDescent="0.2">
      <c r="A192" s="512">
        <v>7</v>
      </c>
      <c r="B192" s="548" t="s">
        <v>788</v>
      </c>
      <c r="C192" s="513">
        <v>360327</v>
      </c>
      <c r="D192" s="513">
        <v>386028</v>
      </c>
      <c r="E192" s="546">
        <f t="shared" si="22"/>
        <v>25701</v>
      </c>
    </row>
    <row r="193" spans="1:5" s="506" customFormat="1" x14ac:dyDescent="0.2">
      <c r="A193" s="512">
        <v>8</v>
      </c>
      <c r="B193" s="511" t="s">
        <v>789</v>
      </c>
      <c r="C193" s="513">
        <v>122057</v>
      </c>
      <c r="D193" s="513">
        <v>299029</v>
      </c>
      <c r="E193" s="546">
        <f t="shared" si="22"/>
        <v>176972</v>
      </c>
    </row>
    <row r="194" spans="1:5" s="506" customFormat="1" x14ac:dyDescent="0.2">
      <c r="A194" s="512">
        <v>9</v>
      </c>
      <c r="B194" s="511" t="s">
        <v>790</v>
      </c>
      <c r="C194" s="513">
        <v>6998451</v>
      </c>
      <c r="D194" s="513">
        <v>6738669</v>
      </c>
      <c r="E194" s="546">
        <f t="shared" si="22"/>
        <v>-259782</v>
      </c>
    </row>
    <row r="195" spans="1:5" s="506" customFormat="1" x14ac:dyDescent="0.2">
      <c r="A195" s="512">
        <v>10</v>
      </c>
      <c r="B195" s="511" t="s">
        <v>791</v>
      </c>
      <c r="C195" s="513">
        <f>+C193+C194</f>
        <v>7120508</v>
      </c>
      <c r="D195" s="513">
        <f>+D193+D194</f>
        <v>7037698</v>
      </c>
      <c r="E195" s="549">
        <f t="shared" si="22"/>
        <v>-82810</v>
      </c>
    </row>
    <row r="196" spans="1:5" s="506" customFormat="1" x14ac:dyDescent="0.2">
      <c r="A196" s="512">
        <v>11</v>
      </c>
      <c r="B196" s="511" t="s">
        <v>792</v>
      </c>
      <c r="C196" s="513">
        <v>84371463</v>
      </c>
      <c r="D196" s="513">
        <v>79887595</v>
      </c>
      <c r="E196" s="546">
        <f t="shared" si="22"/>
        <v>-4483868</v>
      </c>
    </row>
    <row r="197" spans="1:5" s="506" customFormat="1" x14ac:dyDescent="0.2">
      <c r="A197" s="512">
        <v>12</v>
      </c>
      <c r="B197" s="511" t="s">
        <v>677</v>
      </c>
      <c r="C197" s="513">
        <v>88487473</v>
      </c>
      <c r="D197" s="513">
        <v>86047738</v>
      </c>
      <c r="E197" s="546">
        <f t="shared" si="22"/>
        <v>-2439735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793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794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623</v>
      </c>
      <c r="C203" s="553">
        <v>2054.8324000000002</v>
      </c>
      <c r="D203" s="553">
        <v>1997.78892</v>
      </c>
      <c r="E203" s="554">
        <f t="shared" ref="E203:E211" si="23">D203-C203</f>
        <v>-57.043480000000272</v>
      </c>
    </row>
    <row r="204" spans="1:5" s="506" customFormat="1" x14ac:dyDescent="0.2">
      <c r="A204" s="512">
        <v>2</v>
      </c>
      <c r="B204" s="511" t="s">
        <v>602</v>
      </c>
      <c r="C204" s="553">
        <v>3805.3215</v>
      </c>
      <c r="D204" s="553">
        <v>3556.6995999999999</v>
      </c>
      <c r="E204" s="554">
        <f t="shared" si="23"/>
        <v>-248.6219000000001</v>
      </c>
    </row>
    <row r="205" spans="1:5" s="506" customFormat="1" x14ac:dyDescent="0.2">
      <c r="A205" s="512">
        <v>3</v>
      </c>
      <c r="B205" s="511" t="s">
        <v>748</v>
      </c>
      <c r="C205" s="553">
        <f>C206+C207</f>
        <v>375.53267999999997</v>
      </c>
      <c r="D205" s="553">
        <f>D206+D207</f>
        <v>375.35036000000002</v>
      </c>
      <c r="E205" s="554">
        <f t="shared" si="23"/>
        <v>-0.18231999999994741</v>
      </c>
    </row>
    <row r="206" spans="1:5" s="506" customFormat="1" x14ac:dyDescent="0.2">
      <c r="A206" s="512">
        <v>4</v>
      </c>
      <c r="B206" s="511" t="s">
        <v>114</v>
      </c>
      <c r="C206" s="553">
        <v>343.37864999999999</v>
      </c>
      <c r="D206" s="553">
        <v>367.3691</v>
      </c>
      <c r="E206" s="554">
        <f t="shared" si="23"/>
        <v>23.99045000000001</v>
      </c>
    </row>
    <row r="207" spans="1:5" s="506" customFormat="1" x14ac:dyDescent="0.2">
      <c r="A207" s="512">
        <v>5</v>
      </c>
      <c r="B207" s="511" t="s">
        <v>715</v>
      </c>
      <c r="C207" s="553">
        <v>32.154029999999999</v>
      </c>
      <c r="D207" s="553">
        <v>7.9812599999999998</v>
      </c>
      <c r="E207" s="554">
        <f t="shared" si="23"/>
        <v>-24.17277</v>
      </c>
    </row>
    <row r="208" spans="1:5" s="506" customFormat="1" x14ac:dyDescent="0.2">
      <c r="A208" s="512">
        <v>6</v>
      </c>
      <c r="B208" s="511" t="s">
        <v>418</v>
      </c>
      <c r="C208" s="553">
        <v>1.5568500000000001</v>
      </c>
      <c r="D208" s="553">
        <v>8.5492799999999995</v>
      </c>
      <c r="E208" s="554">
        <f t="shared" si="23"/>
        <v>6.9924299999999997</v>
      </c>
    </row>
    <row r="209" spans="1:5" s="506" customFormat="1" x14ac:dyDescent="0.2">
      <c r="A209" s="512">
        <v>7</v>
      </c>
      <c r="B209" s="511" t="s">
        <v>730</v>
      </c>
      <c r="C209" s="553">
        <v>110.60576999999999</v>
      </c>
      <c r="D209" s="553">
        <v>79.675449999999998</v>
      </c>
      <c r="E209" s="554">
        <f t="shared" si="23"/>
        <v>-30.930319999999995</v>
      </c>
    </row>
    <row r="210" spans="1:5" s="506" customFormat="1" x14ac:dyDescent="0.2">
      <c r="A210" s="512"/>
      <c r="B210" s="516" t="s">
        <v>795</v>
      </c>
      <c r="C210" s="555">
        <f>C204+C205+C208</f>
        <v>4182.4110300000002</v>
      </c>
      <c r="D210" s="555">
        <f>D204+D205+D208</f>
        <v>3940.59924</v>
      </c>
      <c r="E210" s="556">
        <f t="shared" si="23"/>
        <v>-241.8117900000002</v>
      </c>
    </row>
    <row r="211" spans="1:5" s="506" customFormat="1" x14ac:dyDescent="0.2">
      <c r="A211" s="512"/>
      <c r="B211" s="516" t="s">
        <v>694</v>
      </c>
      <c r="C211" s="555">
        <f>C210+C203</f>
        <v>6237.2434300000004</v>
      </c>
      <c r="D211" s="555">
        <f>D210+D203</f>
        <v>5938.3881600000004</v>
      </c>
      <c r="E211" s="556">
        <f t="shared" si="23"/>
        <v>-298.85527000000002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796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623</v>
      </c>
      <c r="C215" s="557">
        <f>IF(C14*C137=0,0,C25/C14*C137)</f>
        <v>2613.1704822416555</v>
      </c>
      <c r="D215" s="557">
        <f>IF(D14*D137=0,0,D25/D14*D137)</f>
        <v>2453.1496971413098</v>
      </c>
      <c r="E215" s="557">
        <f t="shared" ref="E215:E223" si="24">D215-C215</f>
        <v>-160.02078510034562</v>
      </c>
    </row>
    <row r="216" spans="1:5" s="506" customFormat="1" x14ac:dyDescent="0.2">
      <c r="A216" s="512">
        <v>2</v>
      </c>
      <c r="B216" s="511" t="s">
        <v>602</v>
      </c>
      <c r="C216" s="557">
        <f>IF(C15*C138=0,0,C26/C15*C138)</f>
        <v>753.41320334407862</v>
      </c>
      <c r="D216" s="557">
        <f>IF(D15*D138=0,0,D26/D15*D138)</f>
        <v>821.22009958110516</v>
      </c>
      <c r="E216" s="557">
        <f t="shared" si="24"/>
        <v>67.806896237026535</v>
      </c>
    </row>
    <row r="217" spans="1:5" s="506" customFormat="1" x14ac:dyDescent="0.2">
      <c r="A217" s="512">
        <v>3</v>
      </c>
      <c r="B217" s="511" t="s">
        <v>748</v>
      </c>
      <c r="C217" s="557">
        <f>C218+C219</f>
        <v>617.40138745983882</v>
      </c>
      <c r="D217" s="557">
        <f>D218+D219</f>
        <v>797.64622718673445</v>
      </c>
      <c r="E217" s="557">
        <f t="shared" si="24"/>
        <v>180.24483972689563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541.81646427298642</v>
      </c>
      <c r="D218" s="557">
        <f t="shared" si="25"/>
        <v>785.10295975697375</v>
      </c>
      <c r="E218" s="557">
        <f t="shared" si="24"/>
        <v>243.28649548398732</v>
      </c>
    </row>
    <row r="219" spans="1:5" s="506" customFormat="1" x14ac:dyDescent="0.2">
      <c r="A219" s="512">
        <v>5</v>
      </c>
      <c r="B219" s="511" t="s">
        <v>715</v>
      </c>
      <c r="C219" s="557">
        <f t="shared" si="25"/>
        <v>75.58492318685245</v>
      </c>
      <c r="D219" s="557">
        <f t="shared" si="25"/>
        <v>12.543267429760665</v>
      </c>
      <c r="E219" s="557">
        <f t="shared" si="24"/>
        <v>-63.041655757091789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15.049198274196666</v>
      </c>
      <c r="D220" s="557">
        <f t="shared" si="25"/>
        <v>16.794925504461851</v>
      </c>
      <c r="E220" s="557">
        <f t="shared" si="24"/>
        <v>1.7457272302651852</v>
      </c>
    </row>
    <row r="221" spans="1:5" s="506" customFormat="1" x14ac:dyDescent="0.2">
      <c r="A221" s="512">
        <v>7</v>
      </c>
      <c r="B221" s="511" t="s">
        <v>730</v>
      </c>
      <c r="C221" s="557">
        <f t="shared" si="25"/>
        <v>197.7521256618767</v>
      </c>
      <c r="D221" s="557">
        <f t="shared" si="25"/>
        <v>179.49733476060433</v>
      </c>
      <c r="E221" s="557">
        <f t="shared" si="24"/>
        <v>-18.254790901272372</v>
      </c>
    </row>
    <row r="222" spans="1:5" s="506" customFormat="1" x14ac:dyDescent="0.2">
      <c r="A222" s="512"/>
      <c r="B222" s="516" t="s">
        <v>797</v>
      </c>
      <c r="C222" s="558">
        <f>C216+C218+C219+C220</f>
        <v>1385.863789078114</v>
      </c>
      <c r="D222" s="558">
        <f>D216+D218+D219+D220</f>
        <v>1635.6612522723015</v>
      </c>
      <c r="E222" s="558">
        <f t="shared" si="24"/>
        <v>249.79746319418746</v>
      </c>
    </row>
    <row r="223" spans="1:5" s="506" customFormat="1" x14ac:dyDescent="0.2">
      <c r="A223" s="512"/>
      <c r="B223" s="516" t="s">
        <v>798</v>
      </c>
      <c r="C223" s="558">
        <f>C215+C222</f>
        <v>3999.0342713197697</v>
      </c>
      <c r="D223" s="558">
        <f>D215+D222</f>
        <v>4088.8109494136115</v>
      </c>
      <c r="E223" s="558">
        <f t="shared" si="24"/>
        <v>89.776678093841838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799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623</v>
      </c>
      <c r="C227" s="560">
        <f t="shared" ref="C227:D235" si="26">IF(C203=0,0,C47/C203)</f>
        <v>7698.7315364503684</v>
      </c>
      <c r="D227" s="560">
        <f t="shared" si="26"/>
        <v>7247.8733138634088</v>
      </c>
      <c r="E227" s="560">
        <f t="shared" ref="E227:E235" si="27">D227-C227</f>
        <v>-450.85822258695953</v>
      </c>
    </row>
    <row r="228" spans="1:5" s="506" customFormat="1" x14ac:dyDescent="0.2">
      <c r="A228" s="512">
        <v>2</v>
      </c>
      <c r="B228" s="511" t="s">
        <v>602</v>
      </c>
      <c r="C228" s="560">
        <f t="shared" si="26"/>
        <v>6728.0336234402266</v>
      </c>
      <c r="D228" s="560">
        <f t="shared" si="26"/>
        <v>6774.2926616574532</v>
      </c>
      <c r="E228" s="560">
        <f t="shared" si="27"/>
        <v>46.259038217226589</v>
      </c>
    </row>
    <row r="229" spans="1:5" s="506" customFormat="1" x14ac:dyDescent="0.2">
      <c r="A229" s="512">
        <v>3</v>
      </c>
      <c r="B229" s="511" t="s">
        <v>748</v>
      </c>
      <c r="C229" s="560">
        <f t="shared" si="26"/>
        <v>4102.3646730292558</v>
      </c>
      <c r="D229" s="560">
        <f t="shared" si="26"/>
        <v>4180.2863862978575</v>
      </c>
      <c r="E229" s="560">
        <f t="shared" si="27"/>
        <v>77.921713268601707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4314.1063080072099</v>
      </c>
      <c r="D230" s="560">
        <f t="shared" si="26"/>
        <v>4234.2401688111495</v>
      </c>
      <c r="E230" s="560">
        <f t="shared" si="27"/>
        <v>-79.866139196060431</v>
      </c>
    </row>
    <row r="231" spans="1:5" s="506" customFormat="1" x14ac:dyDescent="0.2">
      <c r="A231" s="512">
        <v>5</v>
      </c>
      <c r="B231" s="511" t="s">
        <v>715</v>
      </c>
      <c r="C231" s="560">
        <f t="shared" si="26"/>
        <v>1841.1377982790959</v>
      </c>
      <c r="D231" s="560">
        <f t="shared" si="26"/>
        <v>1696.8498708224015</v>
      </c>
      <c r="E231" s="560">
        <f t="shared" si="27"/>
        <v>-144.28792745669443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6166.2973311494361</v>
      </c>
      <c r="D232" s="560">
        <f t="shared" si="26"/>
        <v>4434.8763872513246</v>
      </c>
      <c r="E232" s="560">
        <f t="shared" si="27"/>
        <v>-1731.4209438981115</v>
      </c>
    </row>
    <row r="233" spans="1:5" s="506" customFormat="1" x14ac:dyDescent="0.2">
      <c r="A233" s="512">
        <v>7</v>
      </c>
      <c r="B233" s="511" t="s">
        <v>730</v>
      </c>
      <c r="C233" s="560">
        <f t="shared" si="26"/>
        <v>1700.1644670074627</v>
      </c>
      <c r="D233" s="560">
        <f t="shared" si="26"/>
        <v>322.37031607603097</v>
      </c>
      <c r="E233" s="560">
        <f t="shared" si="27"/>
        <v>-1377.7941509314317</v>
      </c>
    </row>
    <row r="234" spans="1:5" x14ac:dyDescent="0.2">
      <c r="A234" s="512"/>
      <c r="B234" s="516" t="s">
        <v>800</v>
      </c>
      <c r="C234" s="561">
        <f t="shared" si="26"/>
        <v>6492.0694798378054</v>
      </c>
      <c r="D234" s="561">
        <f t="shared" si="26"/>
        <v>6522.1326591942397</v>
      </c>
      <c r="E234" s="561">
        <f t="shared" si="27"/>
        <v>30.063179356434375</v>
      </c>
    </row>
    <row r="235" spans="1:5" s="506" customFormat="1" x14ac:dyDescent="0.2">
      <c r="A235" s="512"/>
      <c r="B235" s="516" t="s">
        <v>801</v>
      </c>
      <c r="C235" s="561">
        <f t="shared" si="26"/>
        <v>6889.5989842743711</v>
      </c>
      <c r="D235" s="561">
        <f t="shared" si="26"/>
        <v>6766.2858872465486</v>
      </c>
      <c r="E235" s="561">
        <f t="shared" si="27"/>
        <v>-123.31309702782255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802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623</v>
      </c>
      <c r="C239" s="560">
        <f t="shared" ref="C239:D247" si="28">IF(C215=0,0,C58/C215)</f>
        <v>8526.3047900674901</v>
      </c>
      <c r="D239" s="560">
        <f t="shared" si="28"/>
        <v>8561.2753369572329</v>
      </c>
      <c r="E239" s="562">
        <f t="shared" ref="E239:E247" si="29">D239-C239</f>
        <v>34.970546889742764</v>
      </c>
    </row>
    <row r="240" spans="1:5" s="506" customFormat="1" x14ac:dyDescent="0.2">
      <c r="A240" s="512">
        <v>2</v>
      </c>
      <c r="B240" s="511" t="s">
        <v>602</v>
      </c>
      <c r="C240" s="560">
        <f t="shared" si="28"/>
        <v>8285.1043388859653</v>
      </c>
      <c r="D240" s="560">
        <f t="shared" si="28"/>
        <v>7699.0504777283122</v>
      </c>
      <c r="E240" s="562">
        <f t="shared" si="29"/>
        <v>-586.05386115765305</v>
      </c>
    </row>
    <row r="241" spans="1:5" x14ac:dyDescent="0.2">
      <c r="A241" s="512">
        <v>3</v>
      </c>
      <c r="B241" s="511" t="s">
        <v>748</v>
      </c>
      <c r="C241" s="560">
        <f t="shared" si="28"/>
        <v>3324.3171163646089</v>
      </c>
      <c r="D241" s="560">
        <f t="shared" si="28"/>
        <v>3132.3660977024583</v>
      </c>
      <c r="E241" s="562">
        <f t="shared" si="29"/>
        <v>-191.95101866215055</v>
      </c>
    </row>
    <row r="242" spans="1:5" x14ac:dyDescent="0.2">
      <c r="A242" s="512">
        <v>4</v>
      </c>
      <c r="B242" s="511" t="s">
        <v>114</v>
      </c>
      <c r="C242" s="560">
        <f t="shared" si="28"/>
        <v>3337.5969894648333</v>
      </c>
      <c r="D242" s="560">
        <f t="shared" si="28"/>
        <v>3121.0059388369727</v>
      </c>
      <c r="E242" s="562">
        <f t="shared" si="29"/>
        <v>-216.59105062786057</v>
      </c>
    </row>
    <row r="243" spans="1:5" x14ac:dyDescent="0.2">
      <c r="A243" s="512">
        <v>5</v>
      </c>
      <c r="B243" s="511" t="s">
        <v>715</v>
      </c>
      <c r="C243" s="560">
        <f t="shared" si="28"/>
        <v>3229.122815890551</v>
      </c>
      <c r="D243" s="560">
        <f t="shared" si="28"/>
        <v>3843.4164200005312</v>
      </c>
      <c r="E243" s="562">
        <f t="shared" si="29"/>
        <v>614.29360410998015</v>
      </c>
    </row>
    <row r="244" spans="1:5" x14ac:dyDescent="0.2">
      <c r="A244" s="512">
        <v>6</v>
      </c>
      <c r="B244" s="511" t="s">
        <v>418</v>
      </c>
      <c r="C244" s="560">
        <f t="shared" si="28"/>
        <v>6906.8795630276545</v>
      </c>
      <c r="D244" s="560">
        <f t="shared" si="28"/>
        <v>3436.2164919795632</v>
      </c>
      <c r="E244" s="562">
        <f t="shared" si="29"/>
        <v>-3470.6630710480913</v>
      </c>
    </row>
    <row r="245" spans="1:5" x14ac:dyDescent="0.2">
      <c r="A245" s="512">
        <v>7</v>
      </c>
      <c r="B245" s="511" t="s">
        <v>730</v>
      </c>
      <c r="C245" s="560">
        <f t="shared" si="28"/>
        <v>2338.670183453597</v>
      </c>
      <c r="D245" s="560">
        <f t="shared" si="28"/>
        <v>1769.2908946172408</v>
      </c>
      <c r="E245" s="562">
        <f t="shared" si="29"/>
        <v>-569.37928883635618</v>
      </c>
    </row>
    <row r="246" spans="1:5" ht="25.5" x14ac:dyDescent="0.2">
      <c r="A246" s="512"/>
      <c r="B246" s="516" t="s">
        <v>803</v>
      </c>
      <c r="C246" s="561">
        <f t="shared" si="28"/>
        <v>6060.1107166431784</v>
      </c>
      <c r="D246" s="561">
        <f t="shared" si="28"/>
        <v>5428.2914556209516</v>
      </c>
      <c r="E246" s="563">
        <f t="shared" si="29"/>
        <v>-631.81926102222678</v>
      </c>
    </row>
    <row r="247" spans="1:5" x14ac:dyDescent="0.2">
      <c r="A247" s="512"/>
      <c r="B247" s="516" t="s">
        <v>804</v>
      </c>
      <c r="C247" s="561">
        <f t="shared" si="28"/>
        <v>7671.6461821856792</v>
      </c>
      <c r="D247" s="561">
        <f t="shared" si="28"/>
        <v>7307.9769081241857</v>
      </c>
      <c r="E247" s="563">
        <f t="shared" si="29"/>
        <v>-363.66927406149352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732</v>
      </c>
      <c r="B249" s="550" t="s">
        <v>729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2680640.9390279725</v>
      </c>
      <c r="D251" s="546">
        <f>((IF((IF(D15=0,0,D26/D15)*D138)=0,0,D59/(IF(D15=0,0,D26/D15)*D138)))-(IF((IF(D17=0,0,D28/D17)*D140)=0,0,D61/(IF(D17=0,0,D28/D17)*D140))))*(IF(D17=0,0,D28/D17)*D140)</f>
        <v>3594236.3173828409</v>
      </c>
      <c r="E251" s="546">
        <f>D251-C251</f>
        <v>913595.37835486839</v>
      </c>
    </row>
    <row r="252" spans="1:5" x14ac:dyDescent="0.2">
      <c r="A252" s="512">
        <v>2</v>
      </c>
      <c r="B252" s="511" t="s">
        <v>715</v>
      </c>
      <c r="C252" s="546">
        <f>IF(C231=0,0,(C228-C231)*C207)+IF(C243=0,0,(C240-C243)*C219)</f>
        <v>539289.37001885939</v>
      </c>
      <c r="D252" s="546">
        <f>IF(D231=0,0,(D228-D231)*D207)+IF(D243=0,0,(D240-D243)*D219)</f>
        <v>88886.640146152989</v>
      </c>
      <c r="E252" s="546">
        <f>D252-C252</f>
        <v>-450402.7298727064</v>
      </c>
    </row>
    <row r="253" spans="1:5" x14ac:dyDescent="0.2">
      <c r="A253" s="512">
        <v>3</v>
      </c>
      <c r="B253" s="511" t="s">
        <v>730</v>
      </c>
      <c r="C253" s="546">
        <f>IF(C233=0,0,(C228-C233)*C209+IF(C221=0,0,(C240-C245)*C221))</f>
        <v>1732031.3338516336</v>
      </c>
      <c r="D253" s="546">
        <f>IF(D233=0,0,(D228-D233)*D209+IF(D221=0,0,(D240-D245)*D221))</f>
        <v>1578435.8571888448</v>
      </c>
      <c r="E253" s="546">
        <f>D253-C253</f>
        <v>-153595.47666278877</v>
      </c>
    </row>
    <row r="254" spans="1:5" ht="15" customHeight="1" x14ac:dyDescent="0.2">
      <c r="A254" s="512"/>
      <c r="B254" s="516" t="s">
        <v>731</v>
      </c>
      <c r="C254" s="564">
        <f>+C251+C252+C253</f>
        <v>4951961.6428984655</v>
      </c>
      <c r="D254" s="564">
        <f>+D251+D252+D253</f>
        <v>5261558.8147178385</v>
      </c>
      <c r="E254" s="564">
        <f>D254-C254</f>
        <v>309597.17181937303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805</v>
      </c>
      <c r="B256" s="550" t="s">
        <v>806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697</v>
      </c>
      <c r="C258" s="546">
        <f>+C44</f>
        <v>219139563</v>
      </c>
      <c r="D258" s="549">
        <f>+D44</f>
        <v>204296146</v>
      </c>
      <c r="E258" s="546">
        <f t="shared" ref="E258:E271" si="30">D258-C258</f>
        <v>-14843417</v>
      </c>
    </row>
    <row r="259" spans="1:5" x14ac:dyDescent="0.2">
      <c r="A259" s="512">
        <v>2</v>
      </c>
      <c r="B259" s="511" t="s">
        <v>714</v>
      </c>
      <c r="C259" s="546">
        <f>+(C43-C76)</f>
        <v>88521362</v>
      </c>
      <c r="D259" s="549">
        <f>+(D43-D76)</f>
        <v>81793763</v>
      </c>
      <c r="E259" s="546">
        <f t="shared" si="30"/>
        <v>-6727599</v>
      </c>
    </row>
    <row r="260" spans="1:5" x14ac:dyDescent="0.2">
      <c r="A260" s="512">
        <v>3</v>
      </c>
      <c r="B260" s="511" t="s">
        <v>718</v>
      </c>
      <c r="C260" s="546">
        <f>C195</f>
        <v>7120508</v>
      </c>
      <c r="D260" s="546">
        <f>D195</f>
        <v>7037698</v>
      </c>
      <c r="E260" s="546">
        <f t="shared" si="30"/>
        <v>-82810</v>
      </c>
    </row>
    <row r="261" spans="1:5" x14ac:dyDescent="0.2">
      <c r="A261" s="512">
        <v>4</v>
      </c>
      <c r="B261" s="511" t="s">
        <v>719</v>
      </c>
      <c r="C261" s="546">
        <f>C188</f>
        <v>47923524</v>
      </c>
      <c r="D261" s="546">
        <f>D188</f>
        <v>43941413</v>
      </c>
      <c r="E261" s="546">
        <f t="shared" si="30"/>
        <v>-3982111</v>
      </c>
    </row>
    <row r="262" spans="1:5" x14ac:dyDescent="0.2">
      <c r="A262" s="512">
        <v>5</v>
      </c>
      <c r="B262" s="511" t="s">
        <v>720</v>
      </c>
      <c r="C262" s="546">
        <f>C191</f>
        <v>1818984</v>
      </c>
      <c r="D262" s="546">
        <f>D191</f>
        <v>1429460</v>
      </c>
      <c r="E262" s="546">
        <f t="shared" si="30"/>
        <v>-389524</v>
      </c>
    </row>
    <row r="263" spans="1:5" x14ac:dyDescent="0.2">
      <c r="A263" s="512">
        <v>6</v>
      </c>
      <c r="B263" s="511" t="s">
        <v>721</v>
      </c>
      <c r="C263" s="546">
        <f>+C259+C260+C261+C262</f>
        <v>145384378</v>
      </c>
      <c r="D263" s="546">
        <f>+D259+D260+D261+D262</f>
        <v>134202334</v>
      </c>
      <c r="E263" s="546">
        <f t="shared" si="30"/>
        <v>-11182044</v>
      </c>
    </row>
    <row r="264" spans="1:5" x14ac:dyDescent="0.2">
      <c r="A264" s="512">
        <v>7</v>
      </c>
      <c r="B264" s="511" t="s">
        <v>621</v>
      </c>
      <c r="C264" s="546">
        <f>+C258-C263</f>
        <v>73755185</v>
      </c>
      <c r="D264" s="546">
        <f>+D258-D263</f>
        <v>70093812</v>
      </c>
      <c r="E264" s="546">
        <f t="shared" si="30"/>
        <v>-3661373</v>
      </c>
    </row>
    <row r="265" spans="1:5" x14ac:dyDescent="0.2">
      <c r="A265" s="512">
        <v>8</v>
      </c>
      <c r="B265" s="511" t="s">
        <v>807</v>
      </c>
      <c r="C265" s="565">
        <f>C192</f>
        <v>360327</v>
      </c>
      <c r="D265" s="565">
        <f>D192</f>
        <v>386028</v>
      </c>
      <c r="E265" s="546">
        <f t="shared" si="30"/>
        <v>25701</v>
      </c>
    </row>
    <row r="266" spans="1:5" x14ac:dyDescent="0.2">
      <c r="A266" s="512">
        <v>9</v>
      </c>
      <c r="B266" s="511" t="s">
        <v>808</v>
      </c>
      <c r="C266" s="546">
        <f>+C264+C265</f>
        <v>74115512</v>
      </c>
      <c r="D266" s="546">
        <f>+D264+D265</f>
        <v>70479840</v>
      </c>
      <c r="E266" s="565">
        <f t="shared" si="30"/>
        <v>-3635672</v>
      </c>
    </row>
    <row r="267" spans="1:5" x14ac:dyDescent="0.2">
      <c r="A267" s="512">
        <v>10</v>
      </c>
      <c r="B267" s="511" t="s">
        <v>809</v>
      </c>
      <c r="C267" s="566">
        <f>IF(C258=0,0,C266/C258)</f>
        <v>0.33821146207177571</v>
      </c>
      <c r="D267" s="566">
        <f>IF(D258=0,0,D266/D258)</f>
        <v>0.34498859317688746</v>
      </c>
      <c r="E267" s="567">
        <f t="shared" si="30"/>
        <v>6.7771311051117444E-3</v>
      </c>
    </row>
    <row r="268" spans="1:5" x14ac:dyDescent="0.2">
      <c r="A268" s="512">
        <v>11</v>
      </c>
      <c r="B268" s="511" t="s">
        <v>683</v>
      </c>
      <c r="C268" s="546">
        <f>+C260*C267</f>
        <v>2408237.4213737757</v>
      </c>
      <c r="D268" s="568">
        <f>+D260*D267</f>
        <v>2427925.5322237946</v>
      </c>
      <c r="E268" s="546">
        <f t="shared" si="30"/>
        <v>19688.110850018915</v>
      </c>
    </row>
    <row r="269" spans="1:5" x14ac:dyDescent="0.2">
      <c r="A269" s="512">
        <v>12</v>
      </c>
      <c r="B269" s="511" t="s">
        <v>810</v>
      </c>
      <c r="C269" s="546">
        <f>((C17+C18+C28+C29)*C267)-(C50+C51+C61+C62)</f>
        <v>2615163.4091630736</v>
      </c>
      <c r="D269" s="568">
        <f>((D17+D18+D28+D29)*D267)-(D50+D51+D61+D62)</f>
        <v>2140742.6854576496</v>
      </c>
      <c r="E269" s="546">
        <f t="shared" si="30"/>
        <v>-474420.723705424</v>
      </c>
    </row>
    <row r="270" spans="1:5" s="569" customFormat="1" x14ac:dyDescent="0.2">
      <c r="A270" s="570">
        <v>13</v>
      </c>
      <c r="B270" s="571" t="s">
        <v>811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812</v>
      </c>
      <c r="C271" s="546">
        <f>+C268+C269+C270</f>
        <v>5023400.8305368498</v>
      </c>
      <c r="D271" s="546">
        <f>+D268+D269+D270</f>
        <v>4568668.2176814443</v>
      </c>
      <c r="E271" s="549">
        <f t="shared" si="30"/>
        <v>-454732.61285540555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813</v>
      </c>
      <c r="B273" s="550" t="s">
        <v>814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815</v>
      </c>
      <c r="C275" s="340"/>
      <c r="D275" s="340"/>
      <c r="E275" s="520"/>
    </row>
    <row r="276" spans="1:5" x14ac:dyDescent="0.2">
      <c r="A276" s="512">
        <v>1</v>
      </c>
      <c r="B276" s="511" t="s">
        <v>623</v>
      </c>
      <c r="C276" s="547">
        <f t="shared" ref="C276:D284" si="31">IF(C14=0,0,+C47/C14)</f>
        <v>0.39171171196155402</v>
      </c>
      <c r="D276" s="547">
        <f t="shared" si="31"/>
        <v>0.39515123176579348</v>
      </c>
      <c r="E276" s="574">
        <f t="shared" ref="E276:E284" si="32">D276-C276</f>
        <v>3.4395198042394548E-3</v>
      </c>
    </row>
    <row r="277" spans="1:5" x14ac:dyDescent="0.2">
      <c r="A277" s="512">
        <v>2</v>
      </c>
      <c r="B277" s="511" t="s">
        <v>602</v>
      </c>
      <c r="C277" s="547">
        <f t="shared" si="31"/>
        <v>0.31832697947534944</v>
      </c>
      <c r="D277" s="547">
        <f t="shared" si="31"/>
        <v>0.33129613521410778</v>
      </c>
      <c r="E277" s="574">
        <f t="shared" si="32"/>
        <v>1.2969155738758342E-2</v>
      </c>
    </row>
    <row r="278" spans="1:5" x14ac:dyDescent="0.2">
      <c r="A278" s="512">
        <v>3</v>
      </c>
      <c r="B278" s="511" t="s">
        <v>748</v>
      </c>
      <c r="C278" s="547">
        <f t="shared" si="31"/>
        <v>0.20568027524221877</v>
      </c>
      <c r="D278" s="547">
        <f t="shared" si="31"/>
        <v>0.25545852701459859</v>
      </c>
      <c r="E278" s="574">
        <f t="shared" si="32"/>
        <v>4.9778251772379822E-2</v>
      </c>
    </row>
    <row r="279" spans="1:5" x14ac:dyDescent="0.2">
      <c r="A279" s="512">
        <v>4</v>
      </c>
      <c r="B279" s="511" t="s">
        <v>114</v>
      </c>
      <c r="C279" s="547">
        <f t="shared" si="31"/>
        <v>0.21997089569969114</v>
      </c>
      <c r="D279" s="547">
        <f t="shared" si="31"/>
        <v>0.26038298601741816</v>
      </c>
      <c r="E279" s="574">
        <f t="shared" si="32"/>
        <v>4.0412090317727023E-2</v>
      </c>
    </row>
    <row r="280" spans="1:5" x14ac:dyDescent="0.2">
      <c r="A280" s="512">
        <v>5</v>
      </c>
      <c r="B280" s="511" t="s">
        <v>715</v>
      </c>
      <c r="C280" s="547">
        <f t="shared" si="31"/>
        <v>7.8334855040821452E-2</v>
      </c>
      <c r="D280" s="547">
        <f t="shared" si="31"/>
        <v>8.0529210643674742E-2</v>
      </c>
      <c r="E280" s="574">
        <f t="shared" si="32"/>
        <v>2.1943556028532901E-3</v>
      </c>
    </row>
    <row r="281" spans="1:5" x14ac:dyDescent="0.2">
      <c r="A281" s="512">
        <v>6</v>
      </c>
      <c r="B281" s="511" t="s">
        <v>418</v>
      </c>
      <c r="C281" s="547">
        <f t="shared" si="31"/>
        <v>0.20606606993367249</v>
      </c>
      <c r="D281" s="547">
        <f t="shared" si="31"/>
        <v>0.24896415415224799</v>
      </c>
      <c r="E281" s="574">
        <f t="shared" si="32"/>
        <v>4.2898084218575494E-2</v>
      </c>
    </row>
    <row r="282" spans="1:5" x14ac:dyDescent="0.2">
      <c r="A282" s="512">
        <v>7</v>
      </c>
      <c r="B282" s="511" t="s">
        <v>730</v>
      </c>
      <c r="C282" s="547">
        <f t="shared" si="31"/>
        <v>7.2169075078511807E-2</v>
      </c>
      <c r="D282" s="547">
        <f t="shared" si="31"/>
        <v>1.4726615871261225E-2</v>
      </c>
      <c r="E282" s="574">
        <f t="shared" si="32"/>
        <v>-5.7442459207250579E-2</v>
      </c>
    </row>
    <row r="283" spans="1:5" ht="29.25" customHeight="1" x14ac:dyDescent="0.2">
      <c r="A283" s="512"/>
      <c r="B283" s="516" t="s">
        <v>816</v>
      </c>
      <c r="C283" s="575">
        <f t="shared" si="31"/>
        <v>0.30867571759891799</v>
      </c>
      <c r="D283" s="575">
        <f t="shared" si="31"/>
        <v>0.32524274873214909</v>
      </c>
      <c r="E283" s="576">
        <f t="shared" si="32"/>
        <v>1.6567031133231103E-2</v>
      </c>
    </row>
    <row r="284" spans="1:5" x14ac:dyDescent="0.2">
      <c r="A284" s="512"/>
      <c r="B284" s="516" t="s">
        <v>817</v>
      </c>
      <c r="C284" s="575">
        <f t="shared" si="31"/>
        <v>0.33480325300931846</v>
      </c>
      <c r="D284" s="575">
        <f t="shared" si="31"/>
        <v>0.34739028795888494</v>
      </c>
      <c r="E284" s="576">
        <f t="shared" si="32"/>
        <v>1.2587034949566478E-2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818</v>
      </c>
      <c r="C286" s="520"/>
      <c r="D286" s="520"/>
      <c r="E286" s="520"/>
    </row>
    <row r="287" spans="1:5" x14ac:dyDescent="0.2">
      <c r="A287" s="512">
        <v>1</v>
      </c>
      <c r="B287" s="511" t="s">
        <v>623</v>
      </c>
      <c r="C287" s="547">
        <f t="shared" ref="C287:D295" si="33">IF(C25=0,0,+C58/C25)</f>
        <v>0.40746390101098218</v>
      </c>
      <c r="D287" s="547">
        <f t="shared" si="33"/>
        <v>0.40956565126724359</v>
      </c>
      <c r="E287" s="574">
        <f t="shared" ref="E287:E295" si="34">D287-C287</f>
        <v>2.1017502562614143E-3</v>
      </c>
    </row>
    <row r="288" spans="1:5" x14ac:dyDescent="0.2">
      <c r="A288" s="512">
        <v>2</v>
      </c>
      <c r="B288" s="511" t="s">
        <v>602</v>
      </c>
      <c r="C288" s="547">
        <f t="shared" si="33"/>
        <v>0.2496004342221361</v>
      </c>
      <c r="D288" s="547">
        <f t="shared" si="33"/>
        <v>0.25004736872890332</v>
      </c>
      <c r="E288" s="574">
        <f t="shared" si="34"/>
        <v>4.4693450676722146E-4</v>
      </c>
    </row>
    <row r="289" spans="1:5" x14ac:dyDescent="0.2">
      <c r="A289" s="512">
        <v>3</v>
      </c>
      <c r="B289" s="511" t="s">
        <v>748</v>
      </c>
      <c r="C289" s="547">
        <f t="shared" si="33"/>
        <v>0.18889037060719988</v>
      </c>
      <c r="D289" s="547">
        <f t="shared" si="33"/>
        <v>0.2107817303265703</v>
      </c>
      <c r="E289" s="574">
        <f t="shared" si="34"/>
        <v>2.1891359719370423E-2</v>
      </c>
    </row>
    <row r="290" spans="1:5" x14ac:dyDescent="0.2">
      <c r="A290" s="512">
        <v>4</v>
      </c>
      <c r="B290" s="511" t="s">
        <v>114</v>
      </c>
      <c r="C290" s="547">
        <f t="shared" si="33"/>
        <v>0.2066669554239183</v>
      </c>
      <c r="D290" s="547">
        <f t="shared" si="33"/>
        <v>0.21210705770665889</v>
      </c>
      <c r="E290" s="574">
        <f t="shared" si="34"/>
        <v>5.4401022827405832E-3</v>
      </c>
    </row>
    <row r="291" spans="1:5" x14ac:dyDescent="0.2">
      <c r="A291" s="512">
        <v>5</v>
      </c>
      <c r="B291" s="511" t="s">
        <v>715</v>
      </c>
      <c r="C291" s="547">
        <f t="shared" si="33"/>
        <v>0.11536701735943378</v>
      </c>
      <c r="D291" s="547">
        <f t="shared" si="33"/>
        <v>0.15997570946932491</v>
      </c>
      <c r="E291" s="574">
        <f t="shared" si="34"/>
        <v>4.4608692109891129E-2</v>
      </c>
    </row>
    <row r="292" spans="1:5" x14ac:dyDescent="0.2">
      <c r="A292" s="512">
        <v>6</v>
      </c>
      <c r="B292" s="511" t="s">
        <v>418</v>
      </c>
      <c r="C292" s="547">
        <f t="shared" si="33"/>
        <v>0.4447729772057219</v>
      </c>
      <c r="D292" s="547">
        <f t="shared" si="33"/>
        <v>0.27076188286737074</v>
      </c>
      <c r="E292" s="574">
        <f t="shared" si="34"/>
        <v>-0.17401109433835116</v>
      </c>
    </row>
    <row r="293" spans="1:5" x14ac:dyDescent="0.2">
      <c r="A293" s="512">
        <v>7</v>
      </c>
      <c r="B293" s="511" t="s">
        <v>730</v>
      </c>
      <c r="C293" s="547">
        <f t="shared" si="33"/>
        <v>8.8855966249576826E-2</v>
      </c>
      <c r="D293" s="547">
        <f t="shared" si="33"/>
        <v>8.0140070943909292E-2</v>
      </c>
      <c r="E293" s="574">
        <f t="shared" si="34"/>
        <v>-8.7158953056675342E-3</v>
      </c>
    </row>
    <row r="294" spans="1:5" ht="29.25" customHeight="1" x14ac:dyDescent="0.2">
      <c r="A294" s="512"/>
      <c r="B294" s="516" t="s">
        <v>819</v>
      </c>
      <c r="C294" s="575">
        <f t="shared" si="33"/>
        <v>0.23259445450381164</v>
      </c>
      <c r="D294" s="575">
        <f t="shared" si="33"/>
        <v>0.23770482652507399</v>
      </c>
      <c r="E294" s="576">
        <f t="shared" si="34"/>
        <v>5.1103720212623549E-3</v>
      </c>
    </row>
    <row r="295" spans="1:5" x14ac:dyDescent="0.2">
      <c r="A295" s="512"/>
      <c r="B295" s="516" t="s">
        <v>820</v>
      </c>
      <c r="C295" s="575">
        <f t="shared" si="33"/>
        <v>0.3379164352286288</v>
      </c>
      <c r="D295" s="575">
        <f t="shared" si="33"/>
        <v>0.33713737923500758</v>
      </c>
      <c r="E295" s="576">
        <f t="shared" si="34"/>
        <v>-7.790559936212138E-4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821</v>
      </c>
      <c r="B297" s="501" t="s">
        <v>822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823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621</v>
      </c>
      <c r="C301" s="514">
        <f>+C48+C47+C50+C51+C52+C59+C58+C61+C62+C63</f>
        <v>73651282</v>
      </c>
      <c r="D301" s="514">
        <f>+D48+D47+D50+D51+D52+D59+D58+D61+D62+D63</f>
        <v>70061768</v>
      </c>
      <c r="E301" s="514">
        <f>D301-C301</f>
        <v>-3589514</v>
      </c>
    </row>
    <row r="302" spans="1:5" ht="25.5" x14ac:dyDescent="0.2">
      <c r="A302" s="512">
        <v>2</v>
      </c>
      <c r="B302" s="511" t="s">
        <v>824</v>
      </c>
      <c r="C302" s="546">
        <f>C265</f>
        <v>360327</v>
      </c>
      <c r="D302" s="546">
        <f>D265</f>
        <v>386028</v>
      </c>
      <c r="E302" s="514">
        <f>D302-C302</f>
        <v>25701</v>
      </c>
    </row>
    <row r="303" spans="1:5" x14ac:dyDescent="0.2">
      <c r="A303" s="512"/>
      <c r="B303" s="516" t="s">
        <v>825</v>
      </c>
      <c r="C303" s="517">
        <f>+C301+C302</f>
        <v>74011609</v>
      </c>
      <c r="D303" s="517">
        <f>+D301+D302</f>
        <v>70447796</v>
      </c>
      <c r="E303" s="517">
        <f>D303-C303</f>
        <v>-3563813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826</v>
      </c>
      <c r="C305" s="513">
        <v>8817435</v>
      </c>
      <c r="D305" s="578">
        <v>8168129</v>
      </c>
      <c r="E305" s="579">
        <f>D305-C305</f>
        <v>-649306</v>
      </c>
    </row>
    <row r="306" spans="1:5" x14ac:dyDescent="0.2">
      <c r="A306" s="512">
        <v>4</v>
      </c>
      <c r="B306" s="516" t="s">
        <v>827</v>
      </c>
      <c r="C306" s="580">
        <f>+C303+C305</f>
        <v>82829044</v>
      </c>
      <c r="D306" s="580">
        <f>+D303+D305</f>
        <v>78615925</v>
      </c>
      <c r="E306" s="580">
        <f>D306-C306</f>
        <v>-4213119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828</v>
      </c>
      <c r="C308" s="513">
        <v>82829045</v>
      </c>
      <c r="D308" s="513">
        <v>78615925</v>
      </c>
      <c r="E308" s="514">
        <f>D308-C308</f>
        <v>-4213120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829</v>
      </c>
      <c r="C310" s="581">
        <f>C306-C308</f>
        <v>-1</v>
      </c>
      <c r="D310" s="582">
        <f>D306-D308</f>
        <v>0</v>
      </c>
      <c r="E310" s="580">
        <f>D310-C310</f>
        <v>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830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831</v>
      </c>
      <c r="C314" s="514">
        <f>+C14+C15+C16+C19+C25+C26+C27+C30</f>
        <v>219139563</v>
      </c>
      <c r="D314" s="514">
        <f>+D14+D15+D16+D19+D25+D26+D27+D30</f>
        <v>204296146</v>
      </c>
      <c r="E314" s="514">
        <f>D314-C314</f>
        <v>-14843417</v>
      </c>
    </row>
    <row r="315" spans="1:5" x14ac:dyDescent="0.2">
      <c r="A315" s="512">
        <v>2</v>
      </c>
      <c r="B315" s="583" t="s">
        <v>832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833</v>
      </c>
      <c r="C316" s="581">
        <f>C314+C315</f>
        <v>219139563</v>
      </c>
      <c r="D316" s="581">
        <f>D314+D315</f>
        <v>204296146</v>
      </c>
      <c r="E316" s="517">
        <f>D316-C316</f>
        <v>-14843417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834</v>
      </c>
      <c r="C318" s="513">
        <v>219139563</v>
      </c>
      <c r="D318" s="513">
        <v>204296146</v>
      </c>
      <c r="E318" s="514">
        <f>D318-C318</f>
        <v>-14843417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829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835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836</v>
      </c>
      <c r="C324" s="513">
        <f>+C193+C194</f>
        <v>7120508</v>
      </c>
      <c r="D324" s="513">
        <f>+D193+D194</f>
        <v>7037698</v>
      </c>
      <c r="E324" s="514">
        <f>D324-C324</f>
        <v>-82810</v>
      </c>
    </row>
    <row r="325" spans="1:5" x14ac:dyDescent="0.2">
      <c r="A325" s="512">
        <v>2</v>
      </c>
      <c r="B325" s="511" t="s">
        <v>837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838</v>
      </c>
      <c r="C326" s="581">
        <f>C324+C325</f>
        <v>7120508</v>
      </c>
      <c r="D326" s="581">
        <f>D324+D325</f>
        <v>7037698</v>
      </c>
      <c r="E326" s="517">
        <f>D326-C326</f>
        <v>-82810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839</v>
      </c>
      <c r="C328" s="513">
        <v>7120508</v>
      </c>
      <c r="D328" s="513">
        <v>7037698</v>
      </c>
      <c r="E328" s="514">
        <f>D328-C328</f>
        <v>-82810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840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>
      <selection activeCell="A3" sqref="A3:C3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593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841</v>
      </c>
      <c r="B5" s="696"/>
      <c r="C5" s="697"/>
      <c r="D5" s="585"/>
    </row>
    <row r="6" spans="1:58" s="338" customFormat="1" ht="15.75" customHeight="1" x14ac:dyDescent="0.25">
      <c r="A6" s="695" t="s">
        <v>842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843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844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747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623</v>
      </c>
      <c r="C14" s="513">
        <v>36643492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602</v>
      </c>
      <c r="C15" s="515">
        <v>72726849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748</v>
      </c>
      <c r="C16" s="515">
        <v>6142179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5974004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715</v>
      </c>
      <c r="C18" s="515">
        <v>168175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152291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730</v>
      </c>
      <c r="C20" s="515">
        <v>1744121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749</v>
      </c>
      <c r="C21" s="517">
        <f>SUM(C15+C16+C19)</f>
        <v>79021319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689</v>
      </c>
      <c r="C22" s="517">
        <f>SUM(C14+C21)</f>
        <v>115664811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750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623</v>
      </c>
      <c r="C25" s="513">
        <v>51278934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602</v>
      </c>
      <c r="C26" s="515">
        <v>25285669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748</v>
      </c>
      <c r="C27" s="515">
        <v>11853589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11552237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715</v>
      </c>
      <c r="C29" s="515">
        <v>301352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213143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730</v>
      </c>
      <c r="C31" s="518">
        <v>3962849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751</v>
      </c>
      <c r="C32" s="517">
        <f>SUM(C26+C27+C30)</f>
        <v>37352401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695</v>
      </c>
      <c r="C33" s="517">
        <f>SUM(C25+C32)</f>
        <v>88631335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620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845</v>
      </c>
      <c r="C36" s="514">
        <f>SUM(C14+C25)</f>
        <v>87922426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846</v>
      </c>
      <c r="C37" s="518">
        <f>SUM(C21+C32)</f>
        <v>116373720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620</v>
      </c>
      <c r="C38" s="517">
        <f>SUM(+C36+C37)</f>
        <v>204296146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760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623</v>
      </c>
      <c r="C41" s="513">
        <v>14479721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602</v>
      </c>
      <c r="C42" s="515">
        <v>24094124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748</v>
      </c>
      <c r="C43" s="515">
        <v>1569072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1555529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715</v>
      </c>
      <c r="C45" s="515">
        <v>13543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37915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730</v>
      </c>
      <c r="C47" s="515">
        <v>25685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761</v>
      </c>
      <c r="C48" s="517">
        <f>SUM(C42+C43+C46)</f>
        <v>25701111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690</v>
      </c>
      <c r="C49" s="517">
        <f>SUM(C41+C48)</f>
        <v>40180832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762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623</v>
      </c>
      <c r="C52" s="513">
        <v>21002090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602</v>
      </c>
      <c r="C53" s="515">
        <v>6322615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748</v>
      </c>
      <c r="C54" s="515">
        <v>2498520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2450311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715</v>
      </c>
      <c r="C56" s="515">
        <v>48209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57711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730</v>
      </c>
      <c r="C58" s="515">
        <v>317583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763</v>
      </c>
      <c r="C59" s="517">
        <f>SUM(C53+C54+C57)</f>
        <v>8878846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696</v>
      </c>
      <c r="C60" s="517">
        <f>SUM(C52+C59)</f>
        <v>29880936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621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847</v>
      </c>
      <c r="C63" s="514">
        <f>SUM(C41+C52)</f>
        <v>35481811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848</v>
      </c>
      <c r="C64" s="518">
        <f>SUM(C48+C59)</f>
        <v>34579957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621</v>
      </c>
      <c r="C65" s="517">
        <f>SUM(+C63+C64)</f>
        <v>70061768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849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850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623</v>
      </c>
      <c r="C70" s="530">
        <v>1753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602</v>
      </c>
      <c r="C71" s="530">
        <v>2362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748</v>
      </c>
      <c r="C72" s="530">
        <v>413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406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715</v>
      </c>
      <c r="C74" s="530">
        <v>7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12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730</v>
      </c>
      <c r="C76" s="545">
        <v>79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778</v>
      </c>
      <c r="C77" s="532">
        <f>SUM(C71+C72+C75)</f>
        <v>2787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692</v>
      </c>
      <c r="C78" s="596">
        <f>SUM(C70+C77)</f>
        <v>4540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783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623</v>
      </c>
      <c r="C81" s="541">
        <v>1.13964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602</v>
      </c>
      <c r="C82" s="541">
        <v>1.5058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748</v>
      </c>
      <c r="C83" s="541">
        <f>((C73*C84)+(C74*C85))/(C73+C74)</f>
        <v>0.90883864406779669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0.90485000000000004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715</v>
      </c>
      <c r="C85" s="541">
        <v>1.14018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0.71243999999999996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730</v>
      </c>
      <c r="C87" s="541">
        <v>1.0085500000000001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784</v>
      </c>
      <c r="C88" s="543">
        <f>((C71*C82)+(C73*C84)+(C74*C85)+(C75*C86))/(C71+C73+C74+C75)</f>
        <v>1.4139215069967708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693</v>
      </c>
      <c r="C89" s="543">
        <f>((C70*C81)+(C71*C82)+(C73*C84)+(C74*C85)+(C75*C86))/(C70+C71+C73+C74+C75)</f>
        <v>1.308015013215859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785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786</v>
      </c>
      <c r="C92" s="513">
        <v>79887595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787</v>
      </c>
      <c r="C93" s="546">
        <v>35946182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635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719</v>
      </c>
      <c r="C95" s="513">
        <f>+C92-C93</f>
        <v>43941413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637</v>
      </c>
      <c r="C96" s="597">
        <f>(+C92-C93)/C92</f>
        <v>0.55004050378534985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734</v>
      </c>
      <c r="C98" s="513">
        <v>2327861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720</v>
      </c>
      <c r="C99" s="513">
        <v>1429460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851</v>
      </c>
      <c r="C101" s="513">
        <v>386028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789</v>
      </c>
      <c r="C103" s="513">
        <v>299029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790</v>
      </c>
      <c r="C104" s="513">
        <v>6738669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791</v>
      </c>
      <c r="C105" s="578">
        <f>+C103+C104</f>
        <v>7037698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792</v>
      </c>
      <c r="C107" s="513">
        <v>779865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677</v>
      </c>
      <c r="C108" s="513">
        <v>86047738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822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823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621</v>
      </c>
      <c r="C114" s="514">
        <f>+C65</f>
        <v>70061768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824</v>
      </c>
      <c r="C115" s="546">
        <f>+C101</f>
        <v>386028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825</v>
      </c>
      <c r="C116" s="517">
        <f>+C114+C115</f>
        <v>70447796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826</v>
      </c>
      <c r="C118" s="578">
        <v>8168129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827</v>
      </c>
      <c r="C119" s="580">
        <f>+C116+C118</f>
        <v>78615925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828</v>
      </c>
      <c r="C121" s="513">
        <v>78615925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829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830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831</v>
      </c>
      <c r="C127" s="514">
        <f>+C38</f>
        <v>204296146</v>
      </c>
      <c r="D127" s="588"/>
      <c r="AR127" s="507"/>
    </row>
    <row r="128" spans="1:58" s="506" customFormat="1" x14ac:dyDescent="0.2">
      <c r="A128" s="512">
        <v>2</v>
      </c>
      <c r="B128" s="583" t="s">
        <v>832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833</v>
      </c>
      <c r="C129" s="581">
        <f>C127+C128</f>
        <v>204296146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834</v>
      </c>
      <c r="C131" s="513">
        <v>204296146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829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835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836</v>
      </c>
      <c r="C137" s="513">
        <f>C105</f>
        <v>7037698</v>
      </c>
      <c r="D137" s="588"/>
      <c r="AR137" s="507"/>
    </row>
    <row r="138" spans="1:44" s="506" customFormat="1" x14ac:dyDescent="0.2">
      <c r="A138" s="512">
        <v>2</v>
      </c>
      <c r="B138" s="511" t="s">
        <v>852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838</v>
      </c>
      <c r="C139" s="581">
        <f>C137+C138</f>
        <v>7037698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853</v>
      </c>
      <c r="C141" s="513">
        <v>7037698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840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A4" sqref="A4:F4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593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594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854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597</v>
      </c>
      <c r="D8" s="35" t="s">
        <v>597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599</v>
      </c>
      <c r="D9" s="607" t="s">
        <v>600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855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856</v>
      </c>
      <c r="C12" s="49">
        <v>38</v>
      </c>
      <c r="D12" s="49">
        <v>52</v>
      </c>
      <c r="E12" s="49">
        <f>+D12-C12</f>
        <v>14</v>
      </c>
      <c r="F12" s="70">
        <f>IF(C12=0,0,+E12/C12)</f>
        <v>0.36842105263157893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857</v>
      </c>
      <c r="C13" s="49">
        <v>16</v>
      </c>
      <c r="D13" s="49">
        <v>31</v>
      </c>
      <c r="E13" s="49">
        <f>+D13-C13</f>
        <v>15</v>
      </c>
      <c r="F13" s="70">
        <f>IF(C13=0,0,+E13/C13)</f>
        <v>0.9375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858</v>
      </c>
      <c r="C15" s="51">
        <v>122057</v>
      </c>
      <c r="D15" s="51">
        <v>299029</v>
      </c>
      <c r="E15" s="51">
        <f>+D15-C15</f>
        <v>176972</v>
      </c>
      <c r="F15" s="70">
        <f>IF(C15=0,0,+E15/C15)</f>
        <v>1.4499127456843934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859</v>
      </c>
      <c r="C16" s="27">
        <f>IF(C13=0,0,+C15/+C13)</f>
        <v>7628.5625</v>
      </c>
      <c r="D16" s="27">
        <f>IF(D13=0,0,+D15/+D13)</f>
        <v>9646.0967741935492</v>
      </c>
      <c r="E16" s="27">
        <f>+D16-C16</f>
        <v>2017.5342741935492</v>
      </c>
      <c r="F16" s="28">
        <f>IF(C16=0,0,+E16/C16)</f>
        <v>0.2644710945467838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860</v>
      </c>
      <c r="C18" s="210">
        <v>0.38265199999999999</v>
      </c>
      <c r="D18" s="210">
        <v>0.40242</v>
      </c>
      <c r="E18" s="210">
        <f>+D18-C18</f>
        <v>1.9768000000000008E-2</v>
      </c>
      <c r="F18" s="70">
        <f>IF(C18=0,0,+E18/C18)</f>
        <v>5.1660516605166074E-2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861</v>
      </c>
      <c r="C19" s="27">
        <f>+C15*C18</f>
        <v>46705.355164000001</v>
      </c>
      <c r="D19" s="27">
        <f>+D15*D18</f>
        <v>120335.25018</v>
      </c>
      <c r="E19" s="27">
        <f>+D19-C19</f>
        <v>73629.895015999995</v>
      </c>
      <c r="F19" s="28">
        <f>IF(C19=0,0,+E19/C19)</f>
        <v>1.5764765037640298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862</v>
      </c>
      <c r="C20" s="27">
        <f>IF(C13=0,0,+C19/C13)</f>
        <v>2919.08469775</v>
      </c>
      <c r="D20" s="27">
        <f>IF(D13=0,0,+D19/D13)</f>
        <v>3881.7822638709677</v>
      </c>
      <c r="E20" s="27">
        <f>+D20-C20</f>
        <v>962.69756612096762</v>
      </c>
      <c r="F20" s="28">
        <f>IF(C20=0,0,+E20/C20)</f>
        <v>0.32979432452337021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863</v>
      </c>
      <c r="C22" s="51">
        <v>76155</v>
      </c>
      <c r="D22" s="51">
        <v>184494</v>
      </c>
      <c r="E22" s="51">
        <f>+D22-C22</f>
        <v>108339</v>
      </c>
      <c r="F22" s="70">
        <f>IF(C22=0,0,+E22/C22)</f>
        <v>1.422611778609415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864</v>
      </c>
      <c r="C23" s="49">
        <v>5109</v>
      </c>
      <c r="D23" s="49">
        <v>102356</v>
      </c>
      <c r="E23" s="49">
        <f>+D23-C23</f>
        <v>97247</v>
      </c>
      <c r="F23" s="70">
        <f>IF(C23=0,0,+E23/C23)</f>
        <v>19.034449011548247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865</v>
      </c>
      <c r="C24" s="49">
        <v>40793</v>
      </c>
      <c r="D24" s="49">
        <v>12179</v>
      </c>
      <c r="E24" s="49">
        <f>+D24-C24</f>
        <v>-28614</v>
      </c>
      <c r="F24" s="70">
        <f>IF(C24=0,0,+E24/C24)</f>
        <v>-0.70144387517466233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858</v>
      </c>
      <c r="C25" s="27">
        <f>+C22+C23+C24</f>
        <v>122057</v>
      </c>
      <c r="D25" s="27">
        <f>+D22+D23+D24</f>
        <v>299029</v>
      </c>
      <c r="E25" s="27">
        <f>+E22+E23+E24</f>
        <v>176972</v>
      </c>
      <c r="F25" s="28">
        <f>IF(C25=0,0,+E25/C25)</f>
        <v>1.4499127456843934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866</v>
      </c>
      <c r="C27" s="49">
        <v>20</v>
      </c>
      <c r="D27" s="49">
        <v>72</v>
      </c>
      <c r="E27" s="49">
        <f>+D27-C27</f>
        <v>52</v>
      </c>
      <c r="F27" s="70">
        <f>IF(C27=0,0,+E27/C27)</f>
        <v>2.6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867</v>
      </c>
      <c r="C28" s="49">
        <v>3</v>
      </c>
      <c r="D28" s="49">
        <v>8</v>
      </c>
      <c r="E28" s="49">
        <f>+D28-C28</f>
        <v>5</v>
      </c>
      <c r="F28" s="70">
        <f>IF(C28=0,0,+E28/C28)</f>
        <v>1.6666666666666667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868</v>
      </c>
      <c r="C29" s="49">
        <v>29</v>
      </c>
      <c r="D29" s="49">
        <v>59</v>
      </c>
      <c r="E29" s="49">
        <f>+D29-C29</f>
        <v>30</v>
      </c>
      <c r="F29" s="70">
        <f>IF(C29=0,0,+E29/C29)</f>
        <v>1.0344827586206897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869</v>
      </c>
      <c r="C30" s="49">
        <v>3</v>
      </c>
      <c r="D30" s="49">
        <v>3</v>
      </c>
      <c r="E30" s="49">
        <f>+D30-C30</f>
        <v>0</v>
      </c>
      <c r="F30" s="70">
        <f>IF(C30=0,0,+E30/C30)</f>
        <v>0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870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871</v>
      </c>
      <c r="C33" s="51">
        <v>2367045</v>
      </c>
      <c r="D33" s="51">
        <v>2246583</v>
      </c>
      <c r="E33" s="51">
        <f>+D33-C33</f>
        <v>-120462</v>
      </c>
      <c r="F33" s="70">
        <f>IF(C33=0,0,+E33/C33)</f>
        <v>-5.0891301179318518E-2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872</v>
      </c>
      <c r="C34" s="49">
        <v>4631406</v>
      </c>
      <c r="D34" s="49">
        <v>4492086</v>
      </c>
      <c r="E34" s="49">
        <f>+D34-C34</f>
        <v>-139320</v>
      </c>
      <c r="F34" s="70">
        <f>IF(C34=0,0,+E34/C34)</f>
        <v>-3.0081577818917193E-2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873</v>
      </c>
      <c r="C35" s="49">
        <v>0</v>
      </c>
      <c r="D35" s="49">
        <v>0</v>
      </c>
      <c r="E35" s="49">
        <f>+D35-C35</f>
        <v>0</v>
      </c>
      <c r="F35" s="70">
        <f>IF(C35=0,0,+E35/C35)</f>
        <v>0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874</v>
      </c>
      <c r="C36" s="27">
        <f>+C33+C34+C35</f>
        <v>6998451</v>
      </c>
      <c r="D36" s="27">
        <f>+D33+D34+D35</f>
        <v>6738669</v>
      </c>
      <c r="E36" s="27">
        <f>+E33+E34+E35</f>
        <v>-259782</v>
      </c>
      <c r="F36" s="28">
        <f>IF(C36=0,0,+E36/C36)</f>
        <v>-3.7119928395583535E-2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875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876</v>
      </c>
      <c r="C39" s="51">
        <f>+C25</f>
        <v>122057</v>
      </c>
      <c r="D39" s="51">
        <f>+D25</f>
        <v>299029</v>
      </c>
      <c r="E39" s="51">
        <f>+D39-C39</f>
        <v>176972</v>
      </c>
      <c r="F39" s="70">
        <f>IF(C39=0,0,+E39/C39)</f>
        <v>1.4499127456843934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877</v>
      </c>
      <c r="C40" s="49">
        <f>+C36</f>
        <v>6998451</v>
      </c>
      <c r="D40" s="49">
        <f>+D36</f>
        <v>6738669</v>
      </c>
      <c r="E40" s="49">
        <f>+D40-C40</f>
        <v>-259782</v>
      </c>
      <c r="F40" s="70">
        <f>IF(C40=0,0,+E40/C40)</f>
        <v>-3.7119928395583535E-2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878</v>
      </c>
      <c r="C41" s="27">
        <f>+C39+C40</f>
        <v>7120508</v>
      </c>
      <c r="D41" s="27">
        <f>+D39+D40</f>
        <v>7037698</v>
      </c>
      <c r="E41" s="27">
        <f>+E39+E40</f>
        <v>-82810</v>
      </c>
      <c r="F41" s="28">
        <f>IF(C41=0,0,+E41/C41)</f>
        <v>-1.1629788211739949E-2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879</v>
      </c>
      <c r="C43" s="51">
        <f t="shared" ref="C43:D45" si="0">+C22+C33</f>
        <v>2443200</v>
      </c>
      <c r="D43" s="51">
        <f t="shared" si="0"/>
        <v>2431077</v>
      </c>
      <c r="E43" s="51">
        <f>+D43-C43</f>
        <v>-12123</v>
      </c>
      <c r="F43" s="70">
        <f>IF(C43=0,0,+E43/C43)</f>
        <v>-4.9619351669941058E-3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880</v>
      </c>
      <c r="C44" s="49">
        <f t="shared" si="0"/>
        <v>4636515</v>
      </c>
      <c r="D44" s="49">
        <f t="shared" si="0"/>
        <v>4594442</v>
      </c>
      <c r="E44" s="49">
        <f>+D44-C44</f>
        <v>-42073</v>
      </c>
      <c r="F44" s="70">
        <f>IF(C44=0,0,+E44/C44)</f>
        <v>-9.0742723791468385E-3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881</v>
      </c>
      <c r="C45" s="49">
        <f t="shared" si="0"/>
        <v>40793</v>
      </c>
      <c r="D45" s="49">
        <f t="shared" si="0"/>
        <v>12179</v>
      </c>
      <c r="E45" s="49">
        <f>+D45-C45</f>
        <v>-28614</v>
      </c>
      <c r="F45" s="70">
        <f>IF(C45=0,0,+E45/C45)</f>
        <v>-0.70144387517466233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878</v>
      </c>
      <c r="C46" s="27">
        <f>+C43+C44+C45</f>
        <v>7120508</v>
      </c>
      <c r="D46" s="27">
        <f>+D43+D44+D45</f>
        <v>7037698</v>
      </c>
      <c r="E46" s="27">
        <f>+E43+E44+E45</f>
        <v>-82810</v>
      </c>
      <c r="F46" s="28">
        <f>IF(C46=0,0,+E46/C46)</f>
        <v>-1.1629788211739949E-2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882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opLeftCell="A2" zoomScale="75" zoomScaleNormal="75" zoomScaleSheetLayoutView="90" workbookViewId="0">
      <selection activeCell="A3" sqref="A3:F3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593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594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883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884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599</v>
      </c>
      <c r="D9" s="35" t="s">
        <v>600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885</v>
      </c>
      <c r="D10" s="35" t="s">
        <v>885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886</v>
      </c>
      <c r="D11" s="605" t="s">
        <v>886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887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84371463</v>
      </c>
      <c r="D15" s="51">
        <v>79887595</v>
      </c>
      <c r="E15" s="51">
        <f>+D15-C15</f>
        <v>-4483868</v>
      </c>
      <c r="F15" s="70">
        <f>+E15/C15</f>
        <v>-5.314436707112688E-2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888</v>
      </c>
      <c r="C17" s="51">
        <v>47923524</v>
      </c>
      <c r="D17" s="51">
        <v>43941413</v>
      </c>
      <c r="E17" s="51">
        <f>+D17-C17</f>
        <v>-3982111</v>
      </c>
      <c r="F17" s="70">
        <f>+E17/C17</f>
        <v>-8.309303380945024E-2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889</v>
      </c>
      <c r="C19" s="27">
        <f>+C15-C17</f>
        <v>36447939</v>
      </c>
      <c r="D19" s="27">
        <f>+D15-D17</f>
        <v>35946182</v>
      </c>
      <c r="E19" s="27">
        <f>+D19-C19</f>
        <v>-501757</v>
      </c>
      <c r="F19" s="28">
        <f>+E19/C19</f>
        <v>-1.3766402539249201E-2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890</v>
      </c>
      <c r="C21" s="628">
        <f>+C17/C15</f>
        <v>0.56800631749149588</v>
      </c>
      <c r="D21" s="628">
        <f>+D17/D15</f>
        <v>0.55004050378534985</v>
      </c>
      <c r="E21" s="628">
        <f>+D21-C21</f>
        <v>-1.7965813706146028E-2</v>
      </c>
      <c r="F21" s="28">
        <f>+E21/C21</f>
        <v>-3.1629601912684727E-2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891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opLeftCell="A77" zoomScale="75" zoomScaleNormal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892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893</v>
      </c>
      <c r="B6" s="632" t="s">
        <v>894</v>
      </c>
      <c r="C6" s="632" t="s">
        <v>895</v>
      </c>
      <c r="D6" s="632" t="s">
        <v>896</v>
      </c>
      <c r="E6" s="632" t="s">
        <v>897</v>
      </c>
    </row>
    <row r="7" spans="1:6" ht="37.5" customHeight="1" x14ac:dyDescent="0.25">
      <c r="A7" s="633" t="s">
        <v>8</v>
      </c>
      <c r="B7" s="634" t="s">
        <v>898</v>
      </c>
      <c r="C7" s="631" t="s">
        <v>899</v>
      </c>
      <c r="D7" s="631" t="s">
        <v>900</v>
      </c>
      <c r="E7" s="631" t="s">
        <v>901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902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903</v>
      </c>
      <c r="C10" s="641">
        <v>132305630</v>
      </c>
      <c r="D10" s="641">
        <v>128350324</v>
      </c>
      <c r="E10" s="641">
        <v>115664811</v>
      </c>
    </row>
    <row r="11" spans="1:6" ht="26.1" customHeight="1" x14ac:dyDescent="0.25">
      <c r="A11" s="639">
        <v>2</v>
      </c>
      <c r="B11" s="640" t="s">
        <v>904</v>
      </c>
      <c r="C11" s="641">
        <v>90072124</v>
      </c>
      <c r="D11" s="641">
        <v>90789239</v>
      </c>
      <c r="E11" s="641">
        <v>88631335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222377754</v>
      </c>
      <c r="D12" s="641">
        <f>+D11+D10</f>
        <v>219139563</v>
      </c>
      <c r="E12" s="641">
        <f>+E11+E10</f>
        <v>204296146</v>
      </c>
    </row>
    <row r="13" spans="1:6" ht="26.1" customHeight="1" x14ac:dyDescent="0.25">
      <c r="A13" s="639">
        <v>4</v>
      </c>
      <c r="B13" s="640" t="s">
        <v>484</v>
      </c>
      <c r="C13" s="641">
        <v>83253020</v>
      </c>
      <c r="D13" s="641">
        <v>82468718</v>
      </c>
      <c r="E13" s="641">
        <v>78229898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905</v>
      </c>
      <c r="C16" s="641">
        <v>85362191</v>
      </c>
      <c r="D16" s="641">
        <v>88487473</v>
      </c>
      <c r="E16" s="641">
        <v>86047738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906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21629</v>
      </c>
      <c r="D19" s="644">
        <v>20370</v>
      </c>
      <c r="E19" s="644">
        <v>17708</v>
      </c>
    </row>
    <row r="20" spans="1:5" ht="26.1" customHeight="1" x14ac:dyDescent="0.25">
      <c r="A20" s="639">
        <v>2</v>
      </c>
      <c r="B20" s="640" t="s">
        <v>373</v>
      </c>
      <c r="C20" s="645">
        <v>4935</v>
      </c>
      <c r="D20" s="645">
        <v>4800</v>
      </c>
      <c r="E20" s="645">
        <v>4540</v>
      </c>
    </row>
    <row r="21" spans="1:5" ht="26.1" customHeight="1" x14ac:dyDescent="0.25">
      <c r="A21" s="639">
        <v>3</v>
      </c>
      <c r="B21" s="640" t="s">
        <v>907</v>
      </c>
      <c r="C21" s="646">
        <f>IF(C20=0,0,+C19/C20)</f>
        <v>4.3827760891590675</v>
      </c>
      <c r="D21" s="646">
        <f>IF(D20=0,0,+D19/D20)</f>
        <v>4.2437500000000004</v>
      </c>
      <c r="E21" s="646">
        <f>IF(E20=0,0,+E19/E20)</f>
        <v>3.9004405286343613</v>
      </c>
    </row>
    <row r="22" spans="1:5" ht="26.1" customHeight="1" x14ac:dyDescent="0.25">
      <c r="A22" s="639">
        <v>4</v>
      </c>
      <c r="B22" s="640" t="s">
        <v>908</v>
      </c>
      <c r="C22" s="645">
        <f>IF(C10=0,0,C19*(C12/C10))</f>
        <v>36353.769988971748</v>
      </c>
      <c r="D22" s="645">
        <f>IF(D10=0,0,D19*(D12/D10))</f>
        <v>34778.820646451968</v>
      </c>
      <c r="E22" s="645">
        <f>IF(E10=0,0,E19*(E12/E10))</f>
        <v>31277.240866005479</v>
      </c>
    </row>
    <row r="23" spans="1:5" ht="26.1" customHeight="1" x14ac:dyDescent="0.25">
      <c r="A23" s="639">
        <v>0</v>
      </c>
      <c r="B23" s="640" t="s">
        <v>909</v>
      </c>
      <c r="C23" s="645">
        <f>IF(C10=0,0,C20*(C12/C10))</f>
        <v>8294.6902258807895</v>
      </c>
      <c r="D23" s="645">
        <f>IF(D10=0,0,D20*(D12/D10))</f>
        <v>8195.3038342154869</v>
      </c>
      <c r="E23" s="645">
        <f>IF(E10=0,0,E20*(E12/E10))</f>
        <v>8018.8995669564538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910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1.2564706099290781</v>
      </c>
      <c r="D26" s="647">
        <v>1.2994257145833334</v>
      </c>
      <c r="E26" s="647">
        <v>1.3080150132158592</v>
      </c>
    </row>
    <row r="27" spans="1:5" ht="26.1" customHeight="1" x14ac:dyDescent="0.25">
      <c r="A27" s="639">
        <v>2</v>
      </c>
      <c r="B27" s="640" t="s">
        <v>911</v>
      </c>
      <c r="C27" s="645">
        <f>C19*C26</f>
        <v>27176.202822156032</v>
      </c>
      <c r="D27" s="645">
        <f>D19*D26</f>
        <v>26469.301806062504</v>
      </c>
      <c r="E27" s="645">
        <f>E19*E26</f>
        <v>23162.329854026437</v>
      </c>
    </row>
    <row r="28" spans="1:5" ht="26.1" customHeight="1" x14ac:dyDescent="0.25">
      <c r="A28" s="639">
        <v>3</v>
      </c>
      <c r="B28" s="640" t="s">
        <v>912</v>
      </c>
      <c r="C28" s="645">
        <f>C20*C26</f>
        <v>6200.6824600000009</v>
      </c>
      <c r="D28" s="645">
        <f>D20*D26</f>
        <v>6237.2434300000004</v>
      </c>
      <c r="E28" s="645">
        <f>E20*E26</f>
        <v>5938.3881600000004</v>
      </c>
    </row>
    <row r="29" spans="1:5" ht="26.1" customHeight="1" x14ac:dyDescent="0.25">
      <c r="A29" s="639">
        <v>4</v>
      </c>
      <c r="B29" s="640" t="s">
        <v>913</v>
      </c>
      <c r="C29" s="645">
        <f>C22*C26</f>
        <v>45677.443551264747</v>
      </c>
      <c r="D29" s="645">
        <f>D22*D26</f>
        <v>45192.493870881437</v>
      </c>
      <c r="E29" s="645">
        <f>E22*E26</f>
        <v>40911.100624703766</v>
      </c>
    </row>
    <row r="30" spans="1:5" ht="26.1" customHeight="1" x14ac:dyDescent="0.25">
      <c r="A30" s="639">
        <v>5</v>
      </c>
      <c r="B30" s="640" t="s">
        <v>914</v>
      </c>
      <c r="C30" s="645">
        <f>C23*C26</f>
        <v>10422.034487285198</v>
      </c>
      <c r="D30" s="645">
        <f>D23*D26</f>
        <v>10649.188541002992</v>
      </c>
      <c r="E30" s="645">
        <f>E23*E26</f>
        <v>10488.841023049194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915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916</v>
      </c>
      <c r="C33" s="641">
        <f>IF(C19=0,0,C12/C19)</f>
        <v>10281.462573396828</v>
      </c>
      <c r="D33" s="641">
        <f>IF(D19=0,0,D12/D19)</f>
        <v>10757.955964653902</v>
      </c>
      <c r="E33" s="641">
        <f>IF(E19=0,0,E12/E19)</f>
        <v>11536.940704766208</v>
      </c>
    </row>
    <row r="34" spans="1:5" ht="26.1" customHeight="1" x14ac:dyDescent="0.25">
      <c r="A34" s="639">
        <v>2</v>
      </c>
      <c r="B34" s="640" t="s">
        <v>917</v>
      </c>
      <c r="C34" s="641">
        <f>IF(C20=0,0,C12/C20)</f>
        <v>45061.348328267479</v>
      </c>
      <c r="D34" s="641">
        <f>IF(D20=0,0,D12/D20)</f>
        <v>45654.075624999998</v>
      </c>
      <c r="E34" s="641">
        <f>IF(E20=0,0,E12/E20)</f>
        <v>44999.151101321586</v>
      </c>
    </row>
    <row r="35" spans="1:5" ht="26.1" customHeight="1" x14ac:dyDescent="0.25">
      <c r="A35" s="639">
        <v>3</v>
      </c>
      <c r="B35" s="640" t="s">
        <v>918</v>
      </c>
      <c r="C35" s="641">
        <f>IF(C22=0,0,C12/C22)</f>
        <v>6117.0479448888063</v>
      </c>
      <c r="D35" s="641">
        <f>IF(D22=0,0,D12/D22)</f>
        <v>6300.9486499754548</v>
      </c>
      <c r="E35" s="641">
        <f>IF(E22=0,0,E12/E22)</f>
        <v>6531.7828665010165</v>
      </c>
    </row>
    <row r="36" spans="1:5" ht="26.1" customHeight="1" x14ac:dyDescent="0.25">
      <c r="A36" s="639">
        <v>4</v>
      </c>
      <c r="B36" s="640" t="s">
        <v>919</v>
      </c>
      <c r="C36" s="641">
        <f>IF(C23=0,0,C12/C23)</f>
        <v>26809.651469098273</v>
      </c>
      <c r="D36" s="641">
        <f>IF(D23=0,0,D12/D23)</f>
        <v>26739.650833333333</v>
      </c>
      <c r="E36" s="641">
        <f>IF(E23=0,0,E12/E23)</f>
        <v>25476.830616740088</v>
      </c>
    </row>
    <row r="37" spans="1:5" ht="26.1" customHeight="1" x14ac:dyDescent="0.25">
      <c r="A37" s="639">
        <v>5</v>
      </c>
      <c r="B37" s="640" t="s">
        <v>920</v>
      </c>
      <c r="C37" s="641">
        <f>IF(C29=0,0,C12/C29)</f>
        <v>4868.4369507330421</v>
      </c>
      <c r="D37" s="641">
        <f>IF(D29=0,0,D12/D29)</f>
        <v>4849.0256728495497</v>
      </c>
      <c r="E37" s="641">
        <f>IF(E29=0,0,E12/E29)</f>
        <v>4993.6604706410117</v>
      </c>
    </row>
    <row r="38" spans="1:5" ht="26.1" customHeight="1" x14ac:dyDescent="0.25">
      <c r="A38" s="639">
        <v>6</v>
      </c>
      <c r="B38" s="640" t="s">
        <v>921</v>
      </c>
      <c r="C38" s="641">
        <f>IF(C30=0,0,C12/C30)</f>
        <v>21337.269059251255</v>
      </c>
      <c r="D38" s="641">
        <f>IF(D30=0,0,D12/D30)</f>
        <v>20578.052699155272</v>
      </c>
      <c r="E38" s="641">
        <f>IF(E30=0,0,E12/E30)</f>
        <v>19477.47568592754</v>
      </c>
    </row>
    <row r="39" spans="1:5" ht="26.1" customHeight="1" x14ac:dyDescent="0.25">
      <c r="A39" s="639">
        <v>7</v>
      </c>
      <c r="B39" s="640" t="s">
        <v>922</v>
      </c>
      <c r="C39" s="641">
        <f>IF(C22=0,0,C10/C22)</f>
        <v>3639.3922842152583</v>
      </c>
      <c r="D39" s="641">
        <f>IF(D22=0,0,D10/D22)</f>
        <v>3690.4737312619</v>
      </c>
      <c r="E39" s="641">
        <f>IF(E22=0,0,E10/E22)</f>
        <v>3698.0503330047072</v>
      </c>
    </row>
    <row r="40" spans="1:5" ht="26.1" customHeight="1" x14ac:dyDescent="0.25">
      <c r="A40" s="639">
        <v>8</v>
      </c>
      <c r="B40" s="640" t="s">
        <v>923</v>
      </c>
      <c r="C40" s="641">
        <f>IF(C23=0,0,C10/C23)</f>
        <v>15950.641482328636</v>
      </c>
      <c r="D40" s="641">
        <f>IF(D23=0,0,D10/D23)</f>
        <v>15661.447897042686</v>
      </c>
      <c r="E40" s="641">
        <f>IF(E23=0,0,E10/E23)</f>
        <v>14424.025395781355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924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925</v>
      </c>
      <c r="C43" s="641">
        <f>IF(C19=0,0,C13/C19)</f>
        <v>3849.1386564334921</v>
      </c>
      <c r="D43" s="641">
        <f>IF(D19=0,0,D13/D19)</f>
        <v>4048.5379479626904</v>
      </c>
      <c r="E43" s="641">
        <f>IF(E19=0,0,E13/E19)</f>
        <v>4417.7715156991189</v>
      </c>
    </row>
    <row r="44" spans="1:5" ht="26.1" customHeight="1" x14ac:dyDescent="0.25">
      <c r="A44" s="639">
        <v>2</v>
      </c>
      <c r="B44" s="640" t="s">
        <v>926</v>
      </c>
      <c r="C44" s="641">
        <f>IF(C20=0,0,C13/C20)</f>
        <v>16869.912867274568</v>
      </c>
      <c r="D44" s="641">
        <f>IF(D20=0,0,D13/D20)</f>
        <v>17180.982916666668</v>
      </c>
      <c r="E44" s="641">
        <f>IF(E20=0,0,E13/E20)</f>
        <v>17231.255066079295</v>
      </c>
    </row>
    <row r="45" spans="1:5" ht="26.1" customHeight="1" x14ac:dyDescent="0.25">
      <c r="A45" s="639">
        <v>3</v>
      </c>
      <c r="B45" s="640" t="s">
        <v>927</v>
      </c>
      <c r="C45" s="641">
        <f>IF(C22=0,0,C13/C22)</f>
        <v>2290.079406489494</v>
      </c>
      <c r="D45" s="641">
        <f>IF(D22=0,0,D13/D22)</f>
        <v>2371.233885080379</v>
      </c>
      <c r="E45" s="641">
        <f>IF(E22=0,0,E13/E22)</f>
        <v>2501.1764412066891</v>
      </c>
    </row>
    <row r="46" spans="1:5" ht="26.1" customHeight="1" x14ac:dyDescent="0.25">
      <c r="A46" s="639">
        <v>4</v>
      </c>
      <c r="B46" s="640" t="s">
        <v>928</v>
      </c>
      <c r="C46" s="641">
        <f>IF(C23=0,0,C13/C23)</f>
        <v>10036.905265037743</v>
      </c>
      <c r="D46" s="641">
        <f>IF(D23=0,0,D13/D23)</f>
        <v>10062.923799809858</v>
      </c>
      <c r="E46" s="641">
        <f>IF(E23=0,0,E13/E23)</f>
        <v>9755.6899605480266</v>
      </c>
    </row>
    <row r="47" spans="1:5" ht="26.1" customHeight="1" x14ac:dyDescent="0.25">
      <c r="A47" s="639">
        <v>5</v>
      </c>
      <c r="B47" s="640" t="s">
        <v>929</v>
      </c>
      <c r="C47" s="641">
        <f>IF(C29=0,0,C13/C29)</f>
        <v>1822.6287096510425</v>
      </c>
      <c r="D47" s="641">
        <f>IF(D29=0,0,D13/D29)</f>
        <v>1824.8321996927125</v>
      </c>
      <c r="E47" s="641">
        <f>IF(E29=0,0,E13/E29)</f>
        <v>1912.1924564591559</v>
      </c>
    </row>
    <row r="48" spans="1:5" ht="26.1" customHeight="1" x14ac:dyDescent="0.25">
      <c r="A48" s="639">
        <v>6</v>
      </c>
      <c r="B48" s="640" t="s">
        <v>930</v>
      </c>
      <c r="C48" s="641">
        <f>IF(C30=0,0,C13/C30)</f>
        <v>7988.1735280734338</v>
      </c>
      <c r="D48" s="641">
        <f>IF(D30=0,0,D13/D30)</f>
        <v>7744.1316474459472</v>
      </c>
      <c r="E48" s="641">
        <f>IF(E30=0,0,E13/E30)</f>
        <v>7458.3929557221863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931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932</v>
      </c>
      <c r="C51" s="641">
        <f>IF(C19=0,0,C16/C19)</f>
        <v>3946.6545378889455</v>
      </c>
      <c r="D51" s="641">
        <f>IF(D19=0,0,D16/D19)</f>
        <v>4344.0094747177218</v>
      </c>
      <c r="E51" s="641">
        <f>IF(E19=0,0,E16/E19)</f>
        <v>4859.2578495595208</v>
      </c>
    </row>
    <row r="52" spans="1:6" ht="26.1" customHeight="1" x14ac:dyDescent="0.25">
      <c r="A52" s="639">
        <v>2</v>
      </c>
      <c r="B52" s="640" t="s">
        <v>933</v>
      </c>
      <c r="C52" s="641">
        <f>IF(C20=0,0,C16/C20)</f>
        <v>17297.303140830802</v>
      </c>
      <c r="D52" s="641">
        <f>IF(D20=0,0,D16/D20)</f>
        <v>18434.890208333334</v>
      </c>
      <c r="E52" s="641">
        <f>IF(E20=0,0,E16/E20)</f>
        <v>18953.246255506609</v>
      </c>
    </row>
    <row r="53" spans="1:6" ht="26.1" customHeight="1" x14ac:dyDescent="0.25">
      <c r="A53" s="639">
        <v>3</v>
      </c>
      <c r="B53" s="640" t="s">
        <v>934</v>
      </c>
      <c r="C53" s="641">
        <f>IF(C22=0,0,C16/C22)</f>
        <v>2348.0973507258095</v>
      </c>
      <c r="D53" s="641">
        <f>IF(D22=0,0,D16/D22)</f>
        <v>2544.2919384624743</v>
      </c>
      <c r="E53" s="641">
        <f>IF(E22=0,0,E16/E22)</f>
        <v>2751.1294352540963</v>
      </c>
    </row>
    <row r="54" spans="1:6" ht="26.1" customHeight="1" x14ac:dyDescent="0.25">
      <c r="A54" s="639">
        <v>4</v>
      </c>
      <c r="B54" s="640" t="s">
        <v>935</v>
      </c>
      <c r="C54" s="641">
        <f>IF(C23=0,0,C16/C23)</f>
        <v>10291.18492377883</v>
      </c>
      <c r="D54" s="641">
        <f>IF(D23=0,0,D16/D23)</f>
        <v>10797.338913850124</v>
      </c>
      <c r="E54" s="641">
        <f>IF(E23=0,0,E16/E23)</f>
        <v>10730.616748784039</v>
      </c>
    </row>
    <row r="55" spans="1:6" ht="26.1" customHeight="1" x14ac:dyDescent="0.25">
      <c r="A55" s="639">
        <v>5</v>
      </c>
      <c r="B55" s="640" t="s">
        <v>936</v>
      </c>
      <c r="C55" s="641">
        <f>IF(C29=0,0,C16/C29)</f>
        <v>1868.8040390044209</v>
      </c>
      <c r="D55" s="641">
        <f>IF(D29=0,0,D16/D29)</f>
        <v>1958.012612732012</v>
      </c>
      <c r="E55" s="641">
        <f>IF(E29=0,0,E16/E29)</f>
        <v>2103.2858242889929</v>
      </c>
    </row>
    <row r="56" spans="1:6" ht="26.1" customHeight="1" x14ac:dyDescent="0.25">
      <c r="A56" s="639">
        <v>6</v>
      </c>
      <c r="B56" s="640" t="s">
        <v>937</v>
      </c>
      <c r="C56" s="641">
        <f>IF(C30=0,0,C16/C30)</f>
        <v>8190.5496574724648</v>
      </c>
      <c r="D56" s="641">
        <f>IF(D30=0,0,D16/D30)</f>
        <v>8309.3160252814741</v>
      </c>
      <c r="E56" s="641">
        <f>IF(E30=0,0,E16/E30)</f>
        <v>8203.7412723589168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938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939</v>
      </c>
      <c r="C59" s="649">
        <v>15347305</v>
      </c>
      <c r="D59" s="649">
        <v>17018295</v>
      </c>
      <c r="E59" s="649">
        <v>17871610</v>
      </c>
    </row>
    <row r="60" spans="1:6" ht="26.1" customHeight="1" x14ac:dyDescent="0.25">
      <c r="A60" s="639">
        <v>2</v>
      </c>
      <c r="B60" s="640" t="s">
        <v>940</v>
      </c>
      <c r="C60" s="649">
        <v>5503138</v>
      </c>
      <c r="D60" s="649">
        <v>6911685</v>
      </c>
      <c r="E60" s="649">
        <v>7469549</v>
      </c>
    </row>
    <row r="61" spans="1:6" ht="26.1" customHeight="1" x14ac:dyDescent="0.25">
      <c r="A61" s="650">
        <v>3</v>
      </c>
      <c r="B61" s="651" t="s">
        <v>941</v>
      </c>
      <c r="C61" s="652">
        <f>C59+C60</f>
        <v>20850443</v>
      </c>
      <c r="D61" s="652">
        <f>D59+D60</f>
        <v>23929980</v>
      </c>
      <c r="E61" s="652">
        <f>E59+E60</f>
        <v>25341159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942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943</v>
      </c>
      <c r="C64" s="641">
        <v>4451036</v>
      </c>
      <c r="D64" s="641">
        <v>4932122</v>
      </c>
      <c r="E64" s="649">
        <v>5249817</v>
      </c>
      <c r="F64" s="653"/>
    </row>
    <row r="65" spans="1:6" ht="26.1" customHeight="1" x14ac:dyDescent="0.25">
      <c r="A65" s="639">
        <v>2</v>
      </c>
      <c r="B65" s="640" t="s">
        <v>944</v>
      </c>
      <c r="C65" s="649">
        <v>821247</v>
      </c>
      <c r="D65" s="649">
        <v>968548</v>
      </c>
      <c r="E65" s="649">
        <v>1170003</v>
      </c>
      <c r="F65" s="653"/>
    </row>
    <row r="66" spans="1:6" ht="26.1" customHeight="1" x14ac:dyDescent="0.25">
      <c r="A66" s="650">
        <v>3</v>
      </c>
      <c r="B66" s="651" t="s">
        <v>945</v>
      </c>
      <c r="C66" s="654">
        <f>C64+C65</f>
        <v>5272283</v>
      </c>
      <c r="D66" s="654">
        <f>D64+D65</f>
        <v>5900670</v>
      </c>
      <c r="E66" s="654">
        <f>E64+E65</f>
        <v>6419820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946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947</v>
      </c>
      <c r="C69" s="649">
        <v>16331416</v>
      </c>
      <c r="D69" s="649">
        <v>15222495</v>
      </c>
      <c r="E69" s="649">
        <v>14239774</v>
      </c>
    </row>
    <row r="70" spans="1:6" ht="26.1" customHeight="1" x14ac:dyDescent="0.25">
      <c r="A70" s="639">
        <v>2</v>
      </c>
      <c r="B70" s="640" t="s">
        <v>948</v>
      </c>
      <c r="C70" s="649">
        <v>6016868</v>
      </c>
      <c r="D70" s="649">
        <v>6129230</v>
      </c>
      <c r="E70" s="649">
        <v>5868930</v>
      </c>
    </row>
    <row r="71" spans="1:6" ht="26.1" customHeight="1" x14ac:dyDescent="0.25">
      <c r="A71" s="650">
        <v>3</v>
      </c>
      <c r="B71" s="651" t="s">
        <v>949</v>
      </c>
      <c r="C71" s="652">
        <f>C69+C70</f>
        <v>22348284</v>
      </c>
      <c r="D71" s="652">
        <f>D69+D70</f>
        <v>21351725</v>
      </c>
      <c r="E71" s="652">
        <f>E69+E70</f>
        <v>20108704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950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951</v>
      </c>
      <c r="C75" s="641">
        <f t="shared" ref="C75:E76" si="0">+C59+C64+C69</f>
        <v>36129757</v>
      </c>
      <c r="D75" s="641">
        <f t="shared" si="0"/>
        <v>37172912</v>
      </c>
      <c r="E75" s="641">
        <f t="shared" si="0"/>
        <v>37361201</v>
      </c>
    </row>
    <row r="76" spans="1:6" ht="26.1" customHeight="1" x14ac:dyDescent="0.25">
      <c r="A76" s="639">
        <v>2</v>
      </c>
      <c r="B76" s="640" t="s">
        <v>952</v>
      </c>
      <c r="C76" s="641">
        <f t="shared" si="0"/>
        <v>12341253</v>
      </c>
      <c r="D76" s="641">
        <f t="shared" si="0"/>
        <v>14009463</v>
      </c>
      <c r="E76" s="641">
        <f t="shared" si="0"/>
        <v>14508482</v>
      </c>
    </row>
    <row r="77" spans="1:6" ht="26.1" customHeight="1" x14ac:dyDescent="0.25">
      <c r="A77" s="650">
        <v>3</v>
      </c>
      <c r="B77" s="651" t="s">
        <v>950</v>
      </c>
      <c r="C77" s="654">
        <f>C75+C76</f>
        <v>48471010</v>
      </c>
      <c r="D77" s="654">
        <f>D75+D76</f>
        <v>51182375</v>
      </c>
      <c r="E77" s="654">
        <f>E75+E76</f>
        <v>51869683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953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211</v>
      </c>
      <c r="D80" s="646">
        <v>206.3</v>
      </c>
      <c r="E80" s="646">
        <v>217.4</v>
      </c>
    </row>
    <row r="81" spans="1:5" ht="26.1" customHeight="1" x14ac:dyDescent="0.25">
      <c r="A81" s="639">
        <v>2</v>
      </c>
      <c r="B81" s="640" t="s">
        <v>579</v>
      </c>
      <c r="C81" s="646">
        <v>18</v>
      </c>
      <c r="D81" s="646">
        <v>20.3</v>
      </c>
      <c r="E81" s="646">
        <v>21.2</v>
      </c>
    </row>
    <row r="82" spans="1:5" ht="26.1" customHeight="1" x14ac:dyDescent="0.25">
      <c r="A82" s="639">
        <v>3</v>
      </c>
      <c r="B82" s="640" t="s">
        <v>954</v>
      </c>
      <c r="C82" s="646">
        <v>331</v>
      </c>
      <c r="D82" s="646">
        <v>321.3</v>
      </c>
      <c r="E82" s="646">
        <v>285.39999999999998</v>
      </c>
    </row>
    <row r="83" spans="1:5" ht="26.1" customHeight="1" x14ac:dyDescent="0.25">
      <c r="A83" s="650">
        <v>4</v>
      </c>
      <c r="B83" s="651" t="s">
        <v>953</v>
      </c>
      <c r="C83" s="656">
        <f>C80+C81+C82</f>
        <v>560</v>
      </c>
      <c r="D83" s="656">
        <f>D80+D81+D82</f>
        <v>547.90000000000009</v>
      </c>
      <c r="E83" s="656">
        <f>E80+E81+E82</f>
        <v>524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955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956</v>
      </c>
      <c r="C86" s="649">
        <f>IF(C80=0,0,C59/C80)</f>
        <v>72736.042654028439</v>
      </c>
      <c r="D86" s="649">
        <f>IF(D80=0,0,D59/D80)</f>
        <v>82492.947164323792</v>
      </c>
      <c r="E86" s="649">
        <f>IF(E80=0,0,E59/E80)</f>
        <v>82206.117755289786</v>
      </c>
    </row>
    <row r="87" spans="1:5" ht="26.1" customHeight="1" x14ac:dyDescent="0.25">
      <c r="A87" s="639">
        <v>2</v>
      </c>
      <c r="B87" s="640" t="s">
        <v>957</v>
      </c>
      <c r="C87" s="649">
        <f>IF(C80=0,0,C60/C80)</f>
        <v>26081.222748815166</v>
      </c>
      <c r="D87" s="649">
        <f>IF(D80=0,0,D60/D80)</f>
        <v>33503.078041686858</v>
      </c>
      <c r="E87" s="649">
        <f>IF(E80=0,0,E60/E80)</f>
        <v>34358.55105795768</v>
      </c>
    </row>
    <row r="88" spans="1:5" ht="26.1" customHeight="1" x14ac:dyDescent="0.25">
      <c r="A88" s="650">
        <v>3</v>
      </c>
      <c r="B88" s="651" t="s">
        <v>958</v>
      </c>
      <c r="C88" s="652">
        <f>+C86+C87</f>
        <v>98817.265402843608</v>
      </c>
      <c r="D88" s="652">
        <f>+D86+D87</f>
        <v>115996.02520601064</v>
      </c>
      <c r="E88" s="652">
        <f>+E86+E87</f>
        <v>116564.66881324747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959</v>
      </c>
    </row>
    <row r="91" spans="1:5" ht="26.1" customHeight="1" x14ac:dyDescent="0.25">
      <c r="A91" s="639">
        <v>1</v>
      </c>
      <c r="B91" s="640" t="s">
        <v>960</v>
      </c>
      <c r="C91" s="641">
        <f>IF(C81=0,0,C64/C81)</f>
        <v>247279.77777777778</v>
      </c>
      <c r="D91" s="641">
        <f>IF(D81=0,0,D64/D81)</f>
        <v>242961.67487684728</v>
      </c>
      <c r="E91" s="641">
        <f>IF(E81=0,0,E64/E81)</f>
        <v>247632.87735849057</v>
      </c>
    </row>
    <row r="92" spans="1:5" ht="26.1" customHeight="1" x14ac:dyDescent="0.25">
      <c r="A92" s="639">
        <v>2</v>
      </c>
      <c r="B92" s="640" t="s">
        <v>961</v>
      </c>
      <c r="C92" s="641">
        <f>IF(C81=0,0,C65/C81)</f>
        <v>45624.833333333336</v>
      </c>
      <c r="D92" s="641">
        <f>IF(D81=0,0,D65/D81)</f>
        <v>47711.724137931036</v>
      </c>
      <c r="E92" s="641">
        <f>IF(E81=0,0,E65/E81)</f>
        <v>55188.82075471698</v>
      </c>
    </row>
    <row r="93" spans="1:5" ht="26.1" customHeight="1" x14ac:dyDescent="0.25">
      <c r="A93" s="650">
        <v>3</v>
      </c>
      <c r="B93" s="651" t="s">
        <v>962</v>
      </c>
      <c r="C93" s="654">
        <f>+C91+C92</f>
        <v>292904.61111111112</v>
      </c>
      <c r="D93" s="654">
        <f>+D91+D92</f>
        <v>290673.39901477832</v>
      </c>
      <c r="E93" s="654">
        <f>+E91+E92</f>
        <v>302821.69811320753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963</v>
      </c>
      <c r="B95" s="642" t="s">
        <v>964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965</v>
      </c>
      <c r="C96" s="649">
        <f>IF(C82=0,0,C69/C82)</f>
        <v>49339.625377643504</v>
      </c>
      <c r="D96" s="649">
        <f>IF(D82=0,0,D69/D82)</f>
        <v>47377.824463118581</v>
      </c>
      <c r="E96" s="649">
        <f>IF(E82=0,0,E69/E82)</f>
        <v>49894.092501751933</v>
      </c>
    </row>
    <row r="97" spans="1:5" ht="26.1" customHeight="1" x14ac:dyDescent="0.25">
      <c r="A97" s="639">
        <v>2</v>
      </c>
      <c r="B97" s="640" t="s">
        <v>966</v>
      </c>
      <c r="C97" s="649">
        <f>IF(C82=0,0,C70/C82)</f>
        <v>18177.848942598186</v>
      </c>
      <c r="D97" s="649">
        <f>IF(D82=0,0,D70/D82)</f>
        <v>19076.346093993154</v>
      </c>
      <c r="E97" s="649">
        <f>IF(E82=0,0,E70/E82)</f>
        <v>20563.875262789068</v>
      </c>
    </row>
    <row r="98" spans="1:5" ht="26.1" customHeight="1" x14ac:dyDescent="0.25">
      <c r="A98" s="650">
        <v>3</v>
      </c>
      <c r="B98" s="651" t="s">
        <v>967</v>
      </c>
      <c r="C98" s="654">
        <f>+C96+C97</f>
        <v>67517.474320241687</v>
      </c>
      <c r="D98" s="654">
        <f>+D96+D97</f>
        <v>66454.170557111735</v>
      </c>
      <c r="E98" s="654">
        <f>+E96+E97</f>
        <v>70457.967764540997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968</v>
      </c>
      <c r="B100" s="642" t="s">
        <v>969</v>
      </c>
    </row>
    <row r="101" spans="1:5" ht="26.1" customHeight="1" x14ac:dyDescent="0.25">
      <c r="A101" s="639">
        <v>1</v>
      </c>
      <c r="B101" s="640" t="s">
        <v>970</v>
      </c>
      <c r="C101" s="641">
        <f>IF(C83=0,0,C75/C83)</f>
        <v>64517.423214285714</v>
      </c>
      <c r="D101" s="641">
        <f>IF(D83=0,0,D75/D83)</f>
        <v>67846.161708340922</v>
      </c>
      <c r="E101" s="641">
        <f>IF(E83=0,0,E75/E83)</f>
        <v>71300.001908396953</v>
      </c>
    </row>
    <row r="102" spans="1:5" ht="26.1" customHeight="1" x14ac:dyDescent="0.25">
      <c r="A102" s="639">
        <v>2</v>
      </c>
      <c r="B102" s="640" t="s">
        <v>971</v>
      </c>
      <c r="C102" s="658">
        <f>IF(C83=0,0,C76/C83)</f>
        <v>22037.951785714286</v>
      </c>
      <c r="D102" s="658">
        <f>IF(D83=0,0,D76/D83)</f>
        <v>25569.379448804521</v>
      </c>
      <c r="E102" s="658">
        <f>IF(E83=0,0,E76/E83)</f>
        <v>27687.942748091602</v>
      </c>
    </row>
    <row r="103" spans="1:5" ht="26.1" customHeight="1" x14ac:dyDescent="0.25">
      <c r="A103" s="650">
        <v>3</v>
      </c>
      <c r="B103" s="651" t="s">
        <v>969</v>
      </c>
      <c r="C103" s="654">
        <f>+C101+C102</f>
        <v>86555.375</v>
      </c>
      <c r="D103" s="654">
        <f>+D101+D102</f>
        <v>93415.541157145446</v>
      </c>
      <c r="E103" s="654">
        <f>+E101+E102</f>
        <v>98987.944656488558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972</v>
      </c>
      <c r="B107" s="634" t="s">
        <v>973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974</v>
      </c>
      <c r="C108" s="641">
        <f>IF(C19=0,0,C77/C19)</f>
        <v>2241.0194646077025</v>
      </c>
      <c r="D108" s="641">
        <f>IF(D19=0,0,D77/D19)</f>
        <v>2512.63500245459</v>
      </c>
      <c r="E108" s="641">
        <f>IF(E19=0,0,E77/E19)</f>
        <v>2929.1666478427828</v>
      </c>
    </row>
    <row r="109" spans="1:5" ht="26.1" customHeight="1" x14ac:dyDescent="0.25">
      <c r="A109" s="639">
        <v>2</v>
      </c>
      <c r="B109" s="640" t="s">
        <v>975</v>
      </c>
      <c r="C109" s="641">
        <f>IF(C20=0,0,C77/C20)</f>
        <v>9821.8865248226957</v>
      </c>
      <c r="D109" s="641">
        <f>IF(D20=0,0,D77/D20)</f>
        <v>10662.994791666666</v>
      </c>
      <c r="E109" s="641">
        <f>IF(E20=0,0,E77/E20)</f>
        <v>11425.040308370044</v>
      </c>
    </row>
    <row r="110" spans="1:5" ht="26.1" customHeight="1" x14ac:dyDescent="0.25">
      <c r="A110" s="639">
        <v>3</v>
      </c>
      <c r="B110" s="640" t="s">
        <v>976</v>
      </c>
      <c r="C110" s="641">
        <f>IF(C22=0,0,C77/C22)</f>
        <v>1333.3145369711071</v>
      </c>
      <c r="D110" s="641">
        <f>IF(D22=0,0,D77/D22)</f>
        <v>1471.6535537619352</v>
      </c>
      <c r="E110" s="641">
        <f>IF(E22=0,0,E77/E22)</f>
        <v>1658.3842296772405</v>
      </c>
    </row>
    <row r="111" spans="1:5" ht="26.1" customHeight="1" x14ac:dyDescent="0.25">
      <c r="A111" s="639">
        <v>4</v>
      </c>
      <c r="B111" s="640" t="s">
        <v>977</v>
      </c>
      <c r="C111" s="641">
        <f>IF(C23=0,0,C77/C23)</f>
        <v>5843.6190719651622</v>
      </c>
      <c r="D111" s="641">
        <f>IF(D23=0,0,D77/D23)</f>
        <v>6245.329768777211</v>
      </c>
      <c r="E111" s="641">
        <f>IF(E23=0,0,E77/E23)</f>
        <v>6468.4290614811835</v>
      </c>
    </row>
    <row r="112" spans="1:5" ht="26.1" customHeight="1" x14ac:dyDescent="0.25">
      <c r="A112" s="639">
        <v>5</v>
      </c>
      <c r="B112" s="640" t="s">
        <v>978</v>
      </c>
      <c r="C112" s="641">
        <f>IF(C29=0,0,C77/C29)</f>
        <v>1061.1585551104665</v>
      </c>
      <c r="D112" s="641">
        <f>IF(D29=0,0,D77/D29)</f>
        <v>1132.5415044859469</v>
      </c>
      <c r="E112" s="641">
        <f>IF(E29=0,0,E77/E29)</f>
        <v>1267.8632989081452</v>
      </c>
    </row>
    <row r="113" spans="1:7" ht="25.5" customHeight="1" x14ac:dyDescent="0.25">
      <c r="A113" s="639">
        <v>6</v>
      </c>
      <c r="B113" s="640" t="s">
        <v>979</v>
      </c>
      <c r="C113" s="641">
        <f>IF(C30=0,0,C77/C30)</f>
        <v>4650.8203421447379</v>
      </c>
      <c r="D113" s="641">
        <f>IF(D30=0,0,D77/D30)</f>
        <v>4806.2230096622361</v>
      </c>
      <c r="E113" s="641">
        <f>IF(E30=0,0,E77/E30)</f>
        <v>4945.2253958293904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FILING&amp;R&amp;12MILFORD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219139563</v>
      </c>
      <c r="D12" s="51">
        <v>204296146</v>
      </c>
      <c r="E12" s="51">
        <f t="shared" ref="E12:E19" si="0">D12-C12</f>
        <v>-14843417</v>
      </c>
      <c r="F12" s="70">
        <f t="shared" ref="F12:F19" si="1">IF(C12=0,0,E12/C12)</f>
        <v>-6.7734994068597273E-2</v>
      </c>
    </row>
    <row r="13" spans="1:8" ht="23.1" customHeight="1" x14ac:dyDescent="0.2">
      <c r="A13" s="25">
        <v>2</v>
      </c>
      <c r="B13" s="48" t="s">
        <v>72</v>
      </c>
      <c r="C13" s="51">
        <v>136548788</v>
      </c>
      <c r="D13" s="51">
        <v>125767219</v>
      </c>
      <c r="E13" s="51">
        <f t="shared" si="0"/>
        <v>-10781569</v>
      </c>
      <c r="F13" s="70">
        <f t="shared" si="1"/>
        <v>-7.8957632344565376E-2</v>
      </c>
    </row>
    <row r="14" spans="1:8" ht="23.1" customHeight="1" x14ac:dyDescent="0.2">
      <c r="A14" s="25">
        <v>3</v>
      </c>
      <c r="B14" s="48" t="s">
        <v>73</v>
      </c>
      <c r="C14" s="51">
        <v>122057</v>
      </c>
      <c r="D14" s="51">
        <v>299029</v>
      </c>
      <c r="E14" s="51">
        <f t="shared" si="0"/>
        <v>176972</v>
      </c>
      <c r="F14" s="70">
        <f t="shared" si="1"/>
        <v>1.4499127456843934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82468718</v>
      </c>
      <c r="D16" s="27">
        <f>D12-D13-D14-D15</f>
        <v>78229898</v>
      </c>
      <c r="E16" s="27">
        <f t="shared" si="0"/>
        <v>-4238820</v>
      </c>
      <c r="F16" s="28">
        <f t="shared" si="1"/>
        <v>-5.1399125666049518E-2</v>
      </c>
    </row>
    <row r="17" spans="1:7" ht="23.1" customHeight="1" x14ac:dyDescent="0.2">
      <c r="A17" s="25">
        <v>5</v>
      </c>
      <c r="B17" s="48" t="s">
        <v>76</v>
      </c>
      <c r="C17" s="51">
        <v>1109354</v>
      </c>
      <c r="D17" s="51">
        <v>1165893</v>
      </c>
      <c r="E17" s="51">
        <f t="shared" si="0"/>
        <v>56539</v>
      </c>
      <c r="F17" s="70">
        <f t="shared" si="1"/>
        <v>5.0965697153478512E-2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83578072</v>
      </c>
      <c r="D19" s="27">
        <f>SUM(D16:D18)</f>
        <v>79395791</v>
      </c>
      <c r="E19" s="27">
        <f t="shared" si="0"/>
        <v>-4182281</v>
      </c>
      <c r="F19" s="28">
        <f t="shared" si="1"/>
        <v>-5.0040410120970484E-2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37172912</v>
      </c>
      <c r="D22" s="51">
        <v>37361201</v>
      </c>
      <c r="E22" s="51">
        <f t="shared" ref="E22:E31" si="2">D22-C22</f>
        <v>188289</v>
      </c>
      <c r="F22" s="70">
        <f t="shared" ref="F22:F31" si="3">IF(C22=0,0,E22/C22)</f>
        <v>5.0652206101044761E-3</v>
      </c>
    </row>
    <row r="23" spans="1:7" ht="23.1" customHeight="1" x14ac:dyDescent="0.2">
      <c r="A23" s="25">
        <v>2</v>
      </c>
      <c r="B23" s="48" t="s">
        <v>81</v>
      </c>
      <c r="C23" s="51">
        <v>14009463</v>
      </c>
      <c r="D23" s="51">
        <v>14508482</v>
      </c>
      <c r="E23" s="51">
        <f t="shared" si="2"/>
        <v>499019</v>
      </c>
      <c r="F23" s="70">
        <f t="shared" si="3"/>
        <v>3.5620137616980747E-2</v>
      </c>
    </row>
    <row r="24" spans="1:7" ht="23.1" customHeight="1" x14ac:dyDescent="0.2">
      <c r="A24" s="25">
        <v>3</v>
      </c>
      <c r="B24" s="48" t="s">
        <v>82</v>
      </c>
      <c r="C24" s="51">
        <v>621077</v>
      </c>
      <c r="D24" s="51">
        <v>273288</v>
      </c>
      <c r="E24" s="51">
        <f t="shared" si="2"/>
        <v>-347789</v>
      </c>
      <c r="F24" s="70">
        <f t="shared" si="3"/>
        <v>-0.55997726529882763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12162216</v>
      </c>
      <c r="D25" s="51">
        <v>10985763</v>
      </c>
      <c r="E25" s="51">
        <f t="shared" si="2"/>
        <v>-1176453</v>
      </c>
      <c r="F25" s="70">
        <f t="shared" si="3"/>
        <v>-9.6730151807861334E-2</v>
      </c>
    </row>
    <row r="26" spans="1:7" ht="23.1" customHeight="1" x14ac:dyDescent="0.2">
      <c r="A26" s="25">
        <v>5</v>
      </c>
      <c r="B26" s="48" t="s">
        <v>84</v>
      </c>
      <c r="C26" s="51">
        <v>3973806</v>
      </c>
      <c r="D26" s="51">
        <v>3574898</v>
      </c>
      <c r="E26" s="51">
        <f t="shared" si="2"/>
        <v>-398908</v>
      </c>
      <c r="F26" s="70">
        <f t="shared" si="3"/>
        <v>-0.10038436702747945</v>
      </c>
    </row>
    <row r="27" spans="1:7" ht="23.1" customHeight="1" x14ac:dyDescent="0.2">
      <c r="A27" s="25">
        <v>6</v>
      </c>
      <c r="B27" s="48" t="s">
        <v>85</v>
      </c>
      <c r="C27" s="51">
        <v>6998451</v>
      </c>
      <c r="D27" s="51">
        <v>6738669</v>
      </c>
      <c r="E27" s="51">
        <f t="shared" si="2"/>
        <v>-259782</v>
      </c>
      <c r="F27" s="70">
        <f t="shared" si="3"/>
        <v>-3.7119928395583535E-2</v>
      </c>
    </row>
    <row r="28" spans="1:7" ht="23.1" customHeight="1" x14ac:dyDescent="0.2">
      <c r="A28" s="25">
        <v>7</v>
      </c>
      <c r="B28" s="48" t="s">
        <v>86</v>
      </c>
      <c r="C28" s="51">
        <v>280961</v>
      </c>
      <c r="D28" s="51">
        <v>230967</v>
      </c>
      <c r="E28" s="51">
        <f t="shared" si="2"/>
        <v>-49994</v>
      </c>
      <c r="F28" s="70">
        <f t="shared" si="3"/>
        <v>-0.17793928694729874</v>
      </c>
    </row>
    <row r="29" spans="1:7" ht="23.1" customHeight="1" x14ac:dyDescent="0.2">
      <c r="A29" s="25">
        <v>8</v>
      </c>
      <c r="B29" s="48" t="s">
        <v>87</v>
      </c>
      <c r="C29" s="51">
        <v>1524271</v>
      </c>
      <c r="D29" s="51">
        <v>1306068</v>
      </c>
      <c r="E29" s="51">
        <f t="shared" si="2"/>
        <v>-218203</v>
      </c>
      <c r="F29" s="70">
        <f t="shared" si="3"/>
        <v>-0.14315236595067413</v>
      </c>
    </row>
    <row r="30" spans="1:7" ht="23.1" customHeight="1" x14ac:dyDescent="0.2">
      <c r="A30" s="25">
        <v>9</v>
      </c>
      <c r="B30" s="48" t="s">
        <v>88</v>
      </c>
      <c r="C30" s="51">
        <v>11744316</v>
      </c>
      <c r="D30" s="51">
        <v>11068402</v>
      </c>
      <c r="E30" s="51">
        <f t="shared" si="2"/>
        <v>-675914</v>
      </c>
      <c r="F30" s="70">
        <f t="shared" si="3"/>
        <v>-5.7552436429673726E-2</v>
      </c>
    </row>
    <row r="31" spans="1:7" ht="23.1" customHeight="1" x14ac:dyDescent="0.25">
      <c r="A31" s="29"/>
      <c r="B31" s="71" t="s">
        <v>89</v>
      </c>
      <c r="C31" s="27">
        <f>SUM(C22:C30)</f>
        <v>88487473</v>
      </c>
      <c r="D31" s="27">
        <f>SUM(D22:D30)</f>
        <v>86047738</v>
      </c>
      <c r="E31" s="27">
        <f t="shared" si="2"/>
        <v>-2439735</v>
      </c>
      <c r="F31" s="28">
        <f t="shared" si="3"/>
        <v>-2.7571529814169288E-2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-4909401</v>
      </c>
      <c r="D33" s="27">
        <f>+D19-D31</f>
        <v>-6651947</v>
      </c>
      <c r="E33" s="27">
        <f>D33-C33</f>
        <v>-1742546</v>
      </c>
      <c r="F33" s="28">
        <f>IF(C33=0,0,E33/C33)</f>
        <v>0.35494065365611815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-2308155</v>
      </c>
      <c r="D36" s="51">
        <v>1714169</v>
      </c>
      <c r="E36" s="51">
        <f>D36-C36</f>
        <v>4022324</v>
      </c>
      <c r="F36" s="70">
        <f>IF(C36=0,0,E36/C36)</f>
        <v>-1.7426576638050737</v>
      </c>
    </row>
    <row r="37" spans="1:6" ht="23.1" customHeight="1" x14ac:dyDescent="0.2">
      <c r="A37" s="44">
        <v>2</v>
      </c>
      <c r="B37" s="48" t="s">
        <v>93</v>
      </c>
      <c r="C37" s="51">
        <v>38801</v>
      </c>
      <c r="D37" s="51">
        <v>925</v>
      </c>
      <c r="E37" s="51">
        <f>D37-C37</f>
        <v>-37876</v>
      </c>
      <c r="F37" s="70">
        <f>IF(C37=0,0,E37/C37)</f>
        <v>-0.97616040823690109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-2269354</v>
      </c>
      <c r="D39" s="27">
        <f>SUM(D36:D38)</f>
        <v>1715094</v>
      </c>
      <c r="E39" s="27">
        <f>D39-C39</f>
        <v>3984448</v>
      </c>
      <c r="F39" s="28">
        <f>IF(C39=0,0,E39/C39)</f>
        <v>-1.7557630938143631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-7178755</v>
      </c>
      <c r="D41" s="27">
        <f>D33+D39</f>
        <v>-4936853</v>
      </c>
      <c r="E41" s="27">
        <f>D41-C41</f>
        <v>2241902</v>
      </c>
      <c r="F41" s="28">
        <f>IF(C41=0,0,E41/C41)</f>
        <v>-0.31229677012239587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3551963</v>
      </c>
      <c r="D44" s="51">
        <v>1110476</v>
      </c>
      <c r="E44" s="51">
        <f>D44-C44</f>
        <v>-2441487</v>
      </c>
      <c r="F44" s="70">
        <f>IF(C44=0,0,E44/C44)</f>
        <v>-0.68736273435280715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3551963</v>
      </c>
      <c r="D46" s="27">
        <f>SUM(D44:D45)</f>
        <v>1110476</v>
      </c>
      <c r="E46" s="27">
        <f>D46-C46</f>
        <v>-2441487</v>
      </c>
      <c r="F46" s="28">
        <f>IF(C46=0,0,E46/C46)</f>
        <v>-0.68736273435280715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-3626792</v>
      </c>
      <c r="D48" s="27">
        <f>D41+D46</f>
        <v>-3826377</v>
      </c>
      <c r="E48" s="27">
        <f>D48-C48</f>
        <v>-199585</v>
      </c>
      <c r="F48" s="28">
        <f>IF(C48=0,0,E48/C48)</f>
        <v>5.5030726879291669E-2</v>
      </c>
    </row>
    <row r="49" spans="1:6" ht="23.1" customHeight="1" x14ac:dyDescent="0.2">
      <c r="A49" s="44"/>
      <c r="B49" s="48" t="s">
        <v>102</v>
      </c>
      <c r="C49" s="51">
        <v>778379</v>
      </c>
      <c r="D49" s="51">
        <v>833487</v>
      </c>
      <c r="E49" s="51">
        <f>D49-C49</f>
        <v>55108</v>
      </c>
      <c r="F49" s="70">
        <f>IF(C49=0,0,E49/C49)</f>
        <v>7.0798415681820812E-2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FILING&amp;RMILFORD HOSPITAL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>
      <selection activeCell="A2" sqref="A2:F2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5703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62752095</v>
      </c>
      <c r="D14" s="97">
        <v>54522273</v>
      </c>
      <c r="E14" s="97">
        <f t="shared" ref="E14:E25" si="0">D14-C14</f>
        <v>-8229822</v>
      </c>
      <c r="F14" s="98">
        <f t="shared" ref="F14:F25" si="1">IF(C14=0,0,E14/C14)</f>
        <v>-0.13114816326052542</v>
      </c>
    </row>
    <row r="15" spans="1:6" ht="18" customHeight="1" x14ac:dyDescent="0.25">
      <c r="A15" s="99">
        <v>2</v>
      </c>
      <c r="B15" s="100" t="s">
        <v>113</v>
      </c>
      <c r="C15" s="97">
        <v>17675681</v>
      </c>
      <c r="D15" s="97">
        <v>18204576</v>
      </c>
      <c r="E15" s="97">
        <f t="shared" si="0"/>
        <v>528895</v>
      </c>
      <c r="F15" s="98">
        <f t="shared" si="1"/>
        <v>2.9922185176344832E-2</v>
      </c>
    </row>
    <row r="16" spans="1:6" ht="18" customHeight="1" x14ac:dyDescent="0.25">
      <c r="A16" s="99">
        <v>3</v>
      </c>
      <c r="B16" s="100" t="s">
        <v>114</v>
      </c>
      <c r="C16" s="97">
        <v>3243329</v>
      </c>
      <c r="D16" s="97">
        <v>3259560</v>
      </c>
      <c r="E16" s="97">
        <f t="shared" si="0"/>
        <v>16231</v>
      </c>
      <c r="F16" s="98">
        <f t="shared" si="1"/>
        <v>5.0044260079689729E-3</v>
      </c>
    </row>
    <row r="17" spans="1:6" ht="18" customHeight="1" x14ac:dyDescent="0.25">
      <c r="A17" s="99">
        <v>4</v>
      </c>
      <c r="B17" s="100" t="s">
        <v>115</v>
      </c>
      <c r="C17" s="97">
        <v>3491071</v>
      </c>
      <c r="D17" s="97">
        <v>2714444</v>
      </c>
      <c r="E17" s="97">
        <f t="shared" si="0"/>
        <v>-776627</v>
      </c>
      <c r="F17" s="98">
        <f t="shared" si="1"/>
        <v>-0.22246095825607673</v>
      </c>
    </row>
    <row r="18" spans="1:6" ht="18" customHeight="1" x14ac:dyDescent="0.25">
      <c r="A18" s="99">
        <v>5</v>
      </c>
      <c r="B18" s="100" t="s">
        <v>116</v>
      </c>
      <c r="C18" s="97">
        <v>46587</v>
      </c>
      <c r="D18" s="97">
        <v>152291</v>
      </c>
      <c r="E18" s="97">
        <f t="shared" si="0"/>
        <v>105704</v>
      </c>
      <c r="F18" s="98">
        <f t="shared" si="1"/>
        <v>2.2689591516946788</v>
      </c>
    </row>
    <row r="19" spans="1:6" ht="18" customHeight="1" x14ac:dyDescent="0.25">
      <c r="A19" s="99">
        <v>6</v>
      </c>
      <c r="B19" s="100" t="s">
        <v>117</v>
      </c>
      <c r="C19" s="97">
        <v>0</v>
      </c>
      <c r="D19" s="97">
        <v>0</v>
      </c>
      <c r="E19" s="97">
        <f t="shared" si="0"/>
        <v>0</v>
      </c>
      <c r="F19" s="98">
        <f t="shared" si="1"/>
        <v>0</v>
      </c>
    </row>
    <row r="20" spans="1:6" ht="18" customHeight="1" x14ac:dyDescent="0.25">
      <c r="A20" s="99">
        <v>7</v>
      </c>
      <c r="B20" s="100" t="s">
        <v>118</v>
      </c>
      <c r="C20" s="97">
        <v>37233772</v>
      </c>
      <c r="D20" s="97">
        <v>34706533</v>
      </c>
      <c r="E20" s="97">
        <f t="shared" si="0"/>
        <v>-2527239</v>
      </c>
      <c r="F20" s="98">
        <f t="shared" si="1"/>
        <v>-6.7874912055646691E-2</v>
      </c>
    </row>
    <row r="21" spans="1:6" ht="18" customHeight="1" x14ac:dyDescent="0.25">
      <c r="A21" s="99">
        <v>8</v>
      </c>
      <c r="B21" s="100" t="s">
        <v>119</v>
      </c>
      <c r="C21" s="97">
        <v>546400</v>
      </c>
      <c r="D21" s="97">
        <v>192838</v>
      </c>
      <c r="E21" s="97">
        <f t="shared" si="0"/>
        <v>-353562</v>
      </c>
      <c r="F21" s="98">
        <f t="shared" si="1"/>
        <v>-0.64707540263543195</v>
      </c>
    </row>
    <row r="22" spans="1:6" ht="18" customHeight="1" x14ac:dyDescent="0.25">
      <c r="A22" s="99">
        <v>9</v>
      </c>
      <c r="B22" s="100" t="s">
        <v>120</v>
      </c>
      <c r="C22" s="97">
        <v>2605659</v>
      </c>
      <c r="D22" s="97">
        <v>1744121</v>
      </c>
      <c r="E22" s="97">
        <f t="shared" si="0"/>
        <v>-861538</v>
      </c>
      <c r="F22" s="98">
        <f t="shared" si="1"/>
        <v>-0.3306411161245581</v>
      </c>
    </row>
    <row r="23" spans="1:6" ht="18" customHeight="1" x14ac:dyDescent="0.25">
      <c r="A23" s="99">
        <v>10</v>
      </c>
      <c r="B23" s="100" t="s">
        <v>121</v>
      </c>
      <c r="C23" s="97">
        <v>724567</v>
      </c>
      <c r="D23" s="97">
        <v>149863</v>
      </c>
      <c r="E23" s="97">
        <f t="shared" si="0"/>
        <v>-574704</v>
      </c>
      <c r="F23" s="98">
        <f t="shared" si="1"/>
        <v>-0.7931688856931105</v>
      </c>
    </row>
    <row r="24" spans="1:6" ht="18" customHeight="1" x14ac:dyDescent="0.25">
      <c r="A24" s="99">
        <v>11</v>
      </c>
      <c r="B24" s="100" t="s">
        <v>122</v>
      </c>
      <c r="C24" s="97">
        <v>31163</v>
      </c>
      <c r="D24" s="97">
        <v>18312</v>
      </c>
      <c r="E24" s="97">
        <f t="shared" si="0"/>
        <v>-12851</v>
      </c>
      <c r="F24" s="98">
        <f t="shared" si="1"/>
        <v>-0.4123800661040336</v>
      </c>
    </row>
    <row r="25" spans="1:6" ht="18" customHeight="1" x14ac:dyDescent="0.25">
      <c r="A25" s="101"/>
      <c r="B25" s="102" t="s">
        <v>123</v>
      </c>
      <c r="C25" s="103">
        <f>SUM(C14:C24)</f>
        <v>128350324</v>
      </c>
      <c r="D25" s="103">
        <f>SUM(D14:D24)</f>
        <v>115664811</v>
      </c>
      <c r="E25" s="103">
        <f t="shared" si="0"/>
        <v>-12685513</v>
      </c>
      <c r="F25" s="104">
        <f t="shared" si="1"/>
        <v>-9.8835067997179352E-2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17505903</v>
      </c>
      <c r="D27" s="97">
        <v>17381005</v>
      </c>
      <c r="E27" s="97">
        <f t="shared" ref="E27:E38" si="2">D27-C27</f>
        <v>-124898</v>
      </c>
      <c r="F27" s="98">
        <f t="shared" ref="F27:F38" si="3">IF(C27=0,0,E27/C27)</f>
        <v>-7.1346219615177802E-3</v>
      </c>
    </row>
    <row r="28" spans="1:6" ht="18" customHeight="1" x14ac:dyDescent="0.25">
      <c r="A28" s="99">
        <v>2</v>
      </c>
      <c r="B28" s="100" t="s">
        <v>113</v>
      </c>
      <c r="C28" s="97">
        <v>7502495</v>
      </c>
      <c r="D28" s="97">
        <v>7904664</v>
      </c>
      <c r="E28" s="97">
        <f t="shared" si="2"/>
        <v>402169</v>
      </c>
      <c r="F28" s="98">
        <f t="shared" si="3"/>
        <v>5.3604700836188492E-2</v>
      </c>
    </row>
    <row r="29" spans="1:6" ht="18" customHeight="1" x14ac:dyDescent="0.25">
      <c r="A29" s="99">
        <v>3</v>
      </c>
      <c r="B29" s="100" t="s">
        <v>114</v>
      </c>
      <c r="C29" s="97">
        <v>2657244</v>
      </c>
      <c r="D29" s="97">
        <v>4425709</v>
      </c>
      <c r="E29" s="97">
        <f t="shared" si="2"/>
        <v>1768465</v>
      </c>
      <c r="F29" s="98">
        <f t="shared" si="3"/>
        <v>0.66552601116043542</v>
      </c>
    </row>
    <row r="30" spans="1:6" ht="18" customHeight="1" x14ac:dyDescent="0.25">
      <c r="A30" s="99">
        <v>4</v>
      </c>
      <c r="B30" s="100" t="s">
        <v>115</v>
      </c>
      <c r="C30" s="97">
        <v>6092897</v>
      </c>
      <c r="D30" s="97">
        <v>7126528</v>
      </c>
      <c r="E30" s="97">
        <f t="shared" si="2"/>
        <v>1033631</v>
      </c>
      <c r="F30" s="98">
        <f t="shared" si="3"/>
        <v>0.16964524429019562</v>
      </c>
    </row>
    <row r="31" spans="1:6" ht="18" customHeight="1" x14ac:dyDescent="0.25">
      <c r="A31" s="99">
        <v>5</v>
      </c>
      <c r="B31" s="100" t="s">
        <v>116</v>
      </c>
      <c r="C31" s="97">
        <v>233699</v>
      </c>
      <c r="D31" s="97">
        <v>213143</v>
      </c>
      <c r="E31" s="97">
        <f t="shared" si="2"/>
        <v>-20556</v>
      </c>
      <c r="F31" s="98">
        <f t="shared" si="3"/>
        <v>-8.7959298071450878E-2</v>
      </c>
    </row>
    <row r="32" spans="1:6" ht="18" customHeight="1" x14ac:dyDescent="0.25">
      <c r="A32" s="99">
        <v>6</v>
      </c>
      <c r="B32" s="100" t="s">
        <v>117</v>
      </c>
      <c r="C32" s="97">
        <v>0</v>
      </c>
      <c r="D32" s="97">
        <v>0</v>
      </c>
      <c r="E32" s="97">
        <f t="shared" si="2"/>
        <v>0</v>
      </c>
      <c r="F32" s="98">
        <f t="shared" si="3"/>
        <v>0</v>
      </c>
    </row>
    <row r="33" spans="1:6" ht="18" customHeight="1" x14ac:dyDescent="0.25">
      <c r="A33" s="99">
        <v>7</v>
      </c>
      <c r="B33" s="100" t="s">
        <v>118</v>
      </c>
      <c r="C33" s="97">
        <v>48064359</v>
      </c>
      <c r="D33" s="97">
        <v>46051475</v>
      </c>
      <c r="E33" s="97">
        <f t="shared" si="2"/>
        <v>-2012884</v>
      </c>
      <c r="F33" s="98">
        <f t="shared" si="3"/>
        <v>-4.1878931538439947E-2</v>
      </c>
    </row>
    <row r="34" spans="1:6" ht="18" customHeight="1" x14ac:dyDescent="0.25">
      <c r="A34" s="99">
        <v>8</v>
      </c>
      <c r="B34" s="100" t="s">
        <v>119</v>
      </c>
      <c r="C34" s="97">
        <v>1412226</v>
      </c>
      <c r="D34" s="97">
        <v>1264610</v>
      </c>
      <c r="E34" s="97">
        <f t="shared" si="2"/>
        <v>-147616</v>
      </c>
      <c r="F34" s="98">
        <f t="shared" si="3"/>
        <v>-0.10452717907756974</v>
      </c>
    </row>
    <row r="35" spans="1:6" ht="18" customHeight="1" x14ac:dyDescent="0.25">
      <c r="A35" s="99">
        <v>9</v>
      </c>
      <c r="B35" s="100" t="s">
        <v>120</v>
      </c>
      <c r="C35" s="97">
        <v>5204794</v>
      </c>
      <c r="D35" s="97">
        <v>3962849</v>
      </c>
      <c r="E35" s="97">
        <f t="shared" si="2"/>
        <v>-1241945</v>
      </c>
      <c r="F35" s="98">
        <f t="shared" si="3"/>
        <v>-0.23861559170257265</v>
      </c>
    </row>
    <row r="36" spans="1:6" ht="18" customHeight="1" x14ac:dyDescent="0.25">
      <c r="A36" s="99">
        <v>10</v>
      </c>
      <c r="B36" s="100" t="s">
        <v>121</v>
      </c>
      <c r="C36" s="97">
        <v>1980416</v>
      </c>
      <c r="D36" s="97">
        <v>182711</v>
      </c>
      <c r="E36" s="97">
        <f t="shared" si="2"/>
        <v>-1797705</v>
      </c>
      <c r="F36" s="98">
        <f t="shared" si="3"/>
        <v>-0.90774110085961734</v>
      </c>
    </row>
    <row r="37" spans="1:6" ht="18" customHeight="1" x14ac:dyDescent="0.25">
      <c r="A37" s="99">
        <v>11</v>
      </c>
      <c r="B37" s="100" t="s">
        <v>122</v>
      </c>
      <c r="C37" s="97">
        <v>135206</v>
      </c>
      <c r="D37" s="97">
        <v>118641</v>
      </c>
      <c r="E37" s="97">
        <f t="shared" si="2"/>
        <v>-16565</v>
      </c>
      <c r="F37" s="98">
        <f t="shared" si="3"/>
        <v>-0.12251675221513839</v>
      </c>
    </row>
    <row r="38" spans="1:6" ht="18" customHeight="1" x14ac:dyDescent="0.25">
      <c r="A38" s="101"/>
      <c r="B38" s="102" t="s">
        <v>126</v>
      </c>
      <c r="C38" s="103">
        <f>SUM(C27:C37)</f>
        <v>90789239</v>
      </c>
      <c r="D38" s="103">
        <f>SUM(D27:D37)</f>
        <v>88631335</v>
      </c>
      <c r="E38" s="103">
        <f t="shared" si="2"/>
        <v>-2157904</v>
      </c>
      <c r="F38" s="104">
        <f t="shared" si="3"/>
        <v>-2.376827941029443E-2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80257998</v>
      </c>
      <c r="D41" s="103">
        <f t="shared" si="4"/>
        <v>71903278</v>
      </c>
      <c r="E41" s="107">
        <f t="shared" ref="E41:E52" si="5">D41-C41</f>
        <v>-8354720</v>
      </c>
      <c r="F41" s="108">
        <f t="shared" ref="F41:F52" si="6">IF(C41=0,0,E41/C41)</f>
        <v>-0.10409828563129621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25178176</v>
      </c>
      <c r="D42" s="103">
        <f t="shared" si="4"/>
        <v>26109240</v>
      </c>
      <c r="E42" s="107">
        <f t="shared" si="5"/>
        <v>931064</v>
      </c>
      <c r="F42" s="108">
        <f t="shared" si="6"/>
        <v>3.6979009122821288E-2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5900573</v>
      </c>
      <c r="D43" s="103">
        <f t="shared" si="4"/>
        <v>7685269</v>
      </c>
      <c r="E43" s="107">
        <f t="shared" si="5"/>
        <v>1784696</v>
      </c>
      <c r="F43" s="108">
        <f t="shared" si="6"/>
        <v>0.30246147280950508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9583968</v>
      </c>
      <c r="D44" s="103">
        <f t="shared" si="4"/>
        <v>9840972</v>
      </c>
      <c r="E44" s="107">
        <f t="shared" si="5"/>
        <v>257004</v>
      </c>
      <c r="F44" s="108">
        <f t="shared" si="6"/>
        <v>2.6816032774733805E-2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280286</v>
      </c>
      <c r="D45" s="103">
        <f t="shared" si="4"/>
        <v>365434</v>
      </c>
      <c r="E45" s="107">
        <f t="shared" si="5"/>
        <v>85148</v>
      </c>
      <c r="F45" s="108">
        <f t="shared" si="6"/>
        <v>0.30378970052018295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0</v>
      </c>
      <c r="D46" s="103">
        <f t="shared" si="4"/>
        <v>0</v>
      </c>
      <c r="E46" s="107">
        <f t="shared" si="5"/>
        <v>0</v>
      </c>
      <c r="F46" s="108">
        <f t="shared" si="6"/>
        <v>0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85298131</v>
      </c>
      <c r="D47" s="103">
        <f t="shared" si="4"/>
        <v>80758008</v>
      </c>
      <c r="E47" s="107">
        <f t="shared" si="5"/>
        <v>-4540123</v>
      </c>
      <c r="F47" s="108">
        <f t="shared" si="6"/>
        <v>-5.3226523802731386E-2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1958626</v>
      </c>
      <c r="D48" s="103">
        <f t="shared" si="4"/>
        <v>1457448</v>
      </c>
      <c r="E48" s="107">
        <f t="shared" si="5"/>
        <v>-501178</v>
      </c>
      <c r="F48" s="108">
        <f t="shared" si="6"/>
        <v>-0.25588244003704635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7810453</v>
      </c>
      <c r="D49" s="103">
        <f t="shared" si="4"/>
        <v>5706970</v>
      </c>
      <c r="E49" s="107">
        <f t="shared" si="5"/>
        <v>-2103483</v>
      </c>
      <c r="F49" s="108">
        <f t="shared" si="6"/>
        <v>-0.26931638920303341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2704983</v>
      </c>
      <c r="D50" s="103">
        <f t="shared" si="4"/>
        <v>332574</v>
      </c>
      <c r="E50" s="107">
        <f t="shared" si="5"/>
        <v>-2372409</v>
      </c>
      <c r="F50" s="108">
        <f t="shared" si="6"/>
        <v>-0.87705135300295789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166369</v>
      </c>
      <c r="D51" s="103">
        <f t="shared" si="4"/>
        <v>136953</v>
      </c>
      <c r="E51" s="107">
        <f t="shared" si="5"/>
        <v>-29416</v>
      </c>
      <c r="F51" s="108">
        <f t="shared" si="6"/>
        <v>-0.17681178584952725</v>
      </c>
    </row>
    <row r="52" spans="1:6" ht="18.75" customHeight="1" thickBot="1" x14ac:dyDescent="0.3">
      <c r="A52" s="109"/>
      <c r="B52" s="110" t="s">
        <v>128</v>
      </c>
      <c r="C52" s="111">
        <f>SUM(C41:C51)</f>
        <v>219139563</v>
      </c>
      <c r="D52" s="112">
        <f>SUM(D41:D51)</f>
        <v>204296146</v>
      </c>
      <c r="E52" s="111">
        <f t="shared" si="5"/>
        <v>-14843417</v>
      </c>
      <c r="F52" s="113">
        <f t="shared" si="6"/>
        <v>-6.7734994068597273E-2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19977784</v>
      </c>
      <c r="D57" s="97">
        <v>18277886</v>
      </c>
      <c r="E57" s="97">
        <f t="shared" ref="E57:E68" si="7">D57-C57</f>
        <v>-1699898</v>
      </c>
      <c r="F57" s="98">
        <f t="shared" ref="F57:F68" si="8">IF(C57=0,0,E57/C57)</f>
        <v>-8.5089417324764355E-2</v>
      </c>
    </row>
    <row r="58" spans="1:6" ht="18" customHeight="1" x14ac:dyDescent="0.25">
      <c r="A58" s="99">
        <v>2</v>
      </c>
      <c r="B58" s="100" t="s">
        <v>113</v>
      </c>
      <c r="C58" s="97">
        <v>5624547</v>
      </c>
      <c r="D58" s="97">
        <v>5816238</v>
      </c>
      <c r="E58" s="97">
        <f t="shared" si="7"/>
        <v>191691</v>
      </c>
      <c r="F58" s="98">
        <f t="shared" si="8"/>
        <v>3.4081144668183946E-2</v>
      </c>
    </row>
    <row r="59" spans="1:6" ht="18" customHeight="1" x14ac:dyDescent="0.25">
      <c r="A59" s="99">
        <v>3</v>
      </c>
      <c r="B59" s="100" t="s">
        <v>114</v>
      </c>
      <c r="C59" s="97">
        <v>567699</v>
      </c>
      <c r="D59" s="97">
        <v>748518</v>
      </c>
      <c r="E59" s="97">
        <f t="shared" si="7"/>
        <v>180819</v>
      </c>
      <c r="F59" s="98">
        <f t="shared" si="8"/>
        <v>0.3185120988411112</v>
      </c>
    </row>
    <row r="60" spans="1:6" ht="18" customHeight="1" x14ac:dyDescent="0.25">
      <c r="A60" s="99">
        <v>4</v>
      </c>
      <c r="B60" s="100" t="s">
        <v>115</v>
      </c>
      <c r="C60" s="97">
        <v>913673</v>
      </c>
      <c r="D60" s="97">
        <v>807011</v>
      </c>
      <c r="E60" s="97">
        <f t="shared" si="7"/>
        <v>-106662</v>
      </c>
      <c r="F60" s="98">
        <f t="shared" si="8"/>
        <v>-0.11673979640418398</v>
      </c>
    </row>
    <row r="61" spans="1:6" ht="18" customHeight="1" x14ac:dyDescent="0.25">
      <c r="A61" s="99">
        <v>5</v>
      </c>
      <c r="B61" s="100" t="s">
        <v>116</v>
      </c>
      <c r="C61" s="97">
        <v>9600</v>
      </c>
      <c r="D61" s="97">
        <v>37915</v>
      </c>
      <c r="E61" s="97">
        <f t="shared" si="7"/>
        <v>28315</v>
      </c>
      <c r="F61" s="98">
        <f t="shared" si="8"/>
        <v>2.9494791666666669</v>
      </c>
    </row>
    <row r="62" spans="1:6" ht="18" customHeight="1" x14ac:dyDescent="0.25">
      <c r="A62" s="99">
        <v>6</v>
      </c>
      <c r="B62" s="100" t="s">
        <v>117</v>
      </c>
      <c r="C62" s="97">
        <v>0</v>
      </c>
      <c r="D62" s="97">
        <v>0</v>
      </c>
      <c r="E62" s="97">
        <f t="shared" si="7"/>
        <v>0</v>
      </c>
      <c r="F62" s="98">
        <f t="shared" si="8"/>
        <v>0</v>
      </c>
    </row>
    <row r="63" spans="1:6" ht="18" customHeight="1" x14ac:dyDescent="0.25">
      <c r="A63" s="99">
        <v>7</v>
      </c>
      <c r="B63" s="100" t="s">
        <v>118</v>
      </c>
      <c r="C63" s="97">
        <v>15338329</v>
      </c>
      <c r="D63" s="97">
        <v>14347121</v>
      </c>
      <c r="E63" s="97">
        <f t="shared" si="7"/>
        <v>-991208</v>
      </c>
      <c r="F63" s="98">
        <f t="shared" si="8"/>
        <v>-6.4622945563366133E-2</v>
      </c>
    </row>
    <row r="64" spans="1:6" ht="18" customHeight="1" x14ac:dyDescent="0.25">
      <c r="A64" s="99">
        <v>8</v>
      </c>
      <c r="B64" s="100" t="s">
        <v>119</v>
      </c>
      <c r="C64" s="97">
        <v>293226</v>
      </c>
      <c r="D64" s="97">
        <v>106915</v>
      </c>
      <c r="E64" s="97">
        <f t="shared" si="7"/>
        <v>-186311</v>
      </c>
      <c r="F64" s="98">
        <f t="shared" si="8"/>
        <v>-0.6353836290097058</v>
      </c>
    </row>
    <row r="65" spans="1:6" ht="18" customHeight="1" x14ac:dyDescent="0.25">
      <c r="A65" s="99">
        <v>9</v>
      </c>
      <c r="B65" s="100" t="s">
        <v>120</v>
      </c>
      <c r="C65" s="97">
        <v>188048</v>
      </c>
      <c r="D65" s="97">
        <v>25685</v>
      </c>
      <c r="E65" s="97">
        <f t="shared" si="7"/>
        <v>-162363</v>
      </c>
      <c r="F65" s="98">
        <f t="shared" si="8"/>
        <v>-0.8634125329703054</v>
      </c>
    </row>
    <row r="66" spans="1:6" ht="18" customHeight="1" x14ac:dyDescent="0.25">
      <c r="A66" s="99">
        <v>10</v>
      </c>
      <c r="B66" s="100" t="s">
        <v>121</v>
      </c>
      <c r="C66" s="97">
        <v>53111</v>
      </c>
      <c r="D66" s="97">
        <v>9909</v>
      </c>
      <c r="E66" s="97">
        <f t="shared" si="7"/>
        <v>-43202</v>
      </c>
      <c r="F66" s="98">
        <f t="shared" si="8"/>
        <v>-0.81342847997589951</v>
      </c>
    </row>
    <row r="67" spans="1:6" ht="18" customHeight="1" x14ac:dyDescent="0.25">
      <c r="A67" s="99">
        <v>11</v>
      </c>
      <c r="B67" s="100" t="s">
        <v>122</v>
      </c>
      <c r="C67" s="97">
        <v>6089</v>
      </c>
      <c r="D67" s="97">
        <v>3634</v>
      </c>
      <c r="E67" s="97">
        <f t="shared" si="7"/>
        <v>-2455</v>
      </c>
      <c r="F67" s="98">
        <f t="shared" si="8"/>
        <v>-0.40318607324683858</v>
      </c>
    </row>
    <row r="68" spans="1:6" ht="18" customHeight="1" x14ac:dyDescent="0.25">
      <c r="A68" s="101"/>
      <c r="B68" s="102" t="s">
        <v>131</v>
      </c>
      <c r="C68" s="103">
        <f>SUM(C57:C67)</f>
        <v>42972106</v>
      </c>
      <c r="D68" s="103">
        <f>SUM(D57:D67)</f>
        <v>40180832</v>
      </c>
      <c r="E68" s="103">
        <f t="shared" si="7"/>
        <v>-2791274</v>
      </c>
      <c r="F68" s="104">
        <f t="shared" si="8"/>
        <v>-6.495548530947029E-2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4392393</v>
      </c>
      <c r="D70" s="97">
        <v>4276417</v>
      </c>
      <c r="E70" s="97">
        <f t="shared" ref="E70:E81" si="9">D70-C70</f>
        <v>-115976</v>
      </c>
      <c r="F70" s="98">
        <f t="shared" ref="F70:F81" si="10">IF(C70=0,0,E70/C70)</f>
        <v>-2.6403830440491095E-2</v>
      </c>
    </row>
    <row r="71" spans="1:6" ht="18" customHeight="1" x14ac:dyDescent="0.25">
      <c r="A71" s="99">
        <v>2</v>
      </c>
      <c r="B71" s="100" t="s">
        <v>113</v>
      </c>
      <c r="C71" s="97">
        <v>1849714</v>
      </c>
      <c r="D71" s="97">
        <v>2046198</v>
      </c>
      <c r="E71" s="97">
        <f t="shared" si="9"/>
        <v>196484</v>
      </c>
      <c r="F71" s="98">
        <f t="shared" si="10"/>
        <v>0.10622398922211758</v>
      </c>
    </row>
    <row r="72" spans="1:6" ht="18" customHeight="1" x14ac:dyDescent="0.25">
      <c r="A72" s="99">
        <v>3</v>
      </c>
      <c r="B72" s="100" t="s">
        <v>114</v>
      </c>
      <c r="C72" s="97">
        <v>201303</v>
      </c>
      <c r="D72" s="97">
        <v>463688</v>
      </c>
      <c r="E72" s="97">
        <f t="shared" si="9"/>
        <v>262385</v>
      </c>
      <c r="F72" s="98">
        <f t="shared" si="10"/>
        <v>1.3034331331376086</v>
      </c>
    </row>
    <row r="73" spans="1:6" ht="18" customHeight="1" x14ac:dyDescent="0.25">
      <c r="A73" s="99">
        <v>4</v>
      </c>
      <c r="B73" s="100" t="s">
        <v>115</v>
      </c>
      <c r="C73" s="97">
        <v>1607062</v>
      </c>
      <c r="D73" s="97">
        <v>1986623</v>
      </c>
      <c r="E73" s="97">
        <f t="shared" si="9"/>
        <v>379561</v>
      </c>
      <c r="F73" s="98">
        <f t="shared" si="10"/>
        <v>0.23618317152667415</v>
      </c>
    </row>
    <row r="74" spans="1:6" ht="18" customHeight="1" x14ac:dyDescent="0.25">
      <c r="A74" s="99">
        <v>5</v>
      </c>
      <c r="B74" s="100" t="s">
        <v>116</v>
      </c>
      <c r="C74" s="97">
        <v>103943</v>
      </c>
      <c r="D74" s="97">
        <v>57711</v>
      </c>
      <c r="E74" s="97">
        <f t="shared" si="9"/>
        <v>-46232</v>
      </c>
      <c r="F74" s="98">
        <f t="shared" si="10"/>
        <v>-0.44478223641803682</v>
      </c>
    </row>
    <row r="75" spans="1:6" ht="18" customHeight="1" x14ac:dyDescent="0.25">
      <c r="A75" s="99">
        <v>6</v>
      </c>
      <c r="B75" s="100" t="s">
        <v>117</v>
      </c>
      <c r="C75" s="97">
        <v>0</v>
      </c>
      <c r="D75" s="97">
        <v>0</v>
      </c>
      <c r="E75" s="97">
        <f t="shared" si="9"/>
        <v>0</v>
      </c>
      <c r="F75" s="98">
        <f t="shared" si="10"/>
        <v>0</v>
      </c>
    </row>
    <row r="76" spans="1:6" ht="18" customHeight="1" x14ac:dyDescent="0.25">
      <c r="A76" s="99">
        <v>7</v>
      </c>
      <c r="B76" s="100" t="s">
        <v>118</v>
      </c>
      <c r="C76" s="97">
        <v>20796349</v>
      </c>
      <c r="D76" s="97">
        <v>19775749</v>
      </c>
      <c r="E76" s="97">
        <f t="shared" si="9"/>
        <v>-1020600</v>
      </c>
      <c r="F76" s="98">
        <f t="shared" si="10"/>
        <v>-4.9075921932258397E-2</v>
      </c>
    </row>
    <row r="77" spans="1:6" ht="18" customHeight="1" x14ac:dyDescent="0.25">
      <c r="A77" s="99">
        <v>8</v>
      </c>
      <c r="B77" s="100" t="s">
        <v>119</v>
      </c>
      <c r="C77" s="97">
        <v>1021862</v>
      </c>
      <c r="D77" s="97">
        <v>908758</v>
      </c>
      <c r="E77" s="97">
        <f t="shared" si="9"/>
        <v>-113104</v>
      </c>
      <c r="F77" s="98">
        <f t="shared" si="10"/>
        <v>-0.11068422154850655</v>
      </c>
    </row>
    <row r="78" spans="1:6" ht="18" customHeight="1" x14ac:dyDescent="0.25">
      <c r="A78" s="99">
        <v>9</v>
      </c>
      <c r="B78" s="100" t="s">
        <v>120</v>
      </c>
      <c r="C78" s="97">
        <v>462477</v>
      </c>
      <c r="D78" s="97">
        <v>317583</v>
      </c>
      <c r="E78" s="97">
        <f t="shared" si="9"/>
        <v>-144894</v>
      </c>
      <c r="F78" s="98">
        <f t="shared" si="10"/>
        <v>-0.31329990464390661</v>
      </c>
    </row>
    <row r="79" spans="1:6" ht="18" customHeight="1" x14ac:dyDescent="0.25">
      <c r="A79" s="99">
        <v>10</v>
      </c>
      <c r="B79" s="100" t="s">
        <v>121</v>
      </c>
      <c r="C79" s="97">
        <v>214677</v>
      </c>
      <c r="D79" s="97">
        <v>12081</v>
      </c>
      <c r="E79" s="97">
        <f t="shared" si="9"/>
        <v>-202596</v>
      </c>
      <c r="F79" s="98">
        <f t="shared" si="10"/>
        <v>-0.94372475859081317</v>
      </c>
    </row>
    <row r="80" spans="1:6" ht="18" customHeight="1" x14ac:dyDescent="0.25">
      <c r="A80" s="99">
        <v>11</v>
      </c>
      <c r="B80" s="100" t="s">
        <v>122</v>
      </c>
      <c r="C80" s="97">
        <v>29396</v>
      </c>
      <c r="D80" s="97">
        <v>36128</v>
      </c>
      <c r="E80" s="97">
        <f t="shared" si="9"/>
        <v>6732</v>
      </c>
      <c r="F80" s="98">
        <f t="shared" si="10"/>
        <v>0.22901074976187236</v>
      </c>
    </row>
    <row r="81" spans="1:6" ht="18" customHeight="1" x14ac:dyDescent="0.25">
      <c r="A81" s="101"/>
      <c r="B81" s="102" t="s">
        <v>133</v>
      </c>
      <c r="C81" s="103">
        <f>SUM(C70:C80)</f>
        <v>30679176</v>
      </c>
      <c r="D81" s="103">
        <f>SUM(D70:D80)</f>
        <v>29880936</v>
      </c>
      <c r="E81" s="103">
        <f t="shared" si="9"/>
        <v>-798240</v>
      </c>
      <c r="F81" s="104">
        <f t="shared" si="10"/>
        <v>-2.6018951747595827E-2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24370177</v>
      </c>
      <c r="D84" s="103">
        <f t="shared" si="11"/>
        <v>22554303</v>
      </c>
      <c r="E84" s="103">
        <f t="shared" ref="E84:E95" si="12">D84-C84</f>
        <v>-1815874</v>
      </c>
      <c r="F84" s="104">
        <f t="shared" ref="F84:F95" si="13">IF(C84=0,0,E84/C84)</f>
        <v>-7.4512138340234457E-2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7474261</v>
      </c>
      <c r="D85" s="103">
        <f t="shared" si="11"/>
        <v>7862436</v>
      </c>
      <c r="E85" s="103">
        <f t="shared" si="12"/>
        <v>388175</v>
      </c>
      <c r="F85" s="104">
        <f t="shared" si="13"/>
        <v>5.1934900319911229E-2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769002</v>
      </c>
      <c r="D86" s="103">
        <f t="shared" si="11"/>
        <v>1212206</v>
      </c>
      <c r="E86" s="103">
        <f t="shared" si="12"/>
        <v>443204</v>
      </c>
      <c r="F86" s="104">
        <f t="shared" si="13"/>
        <v>0.57633660250558516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2520735</v>
      </c>
      <c r="D87" s="103">
        <f t="shared" si="11"/>
        <v>2793634</v>
      </c>
      <c r="E87" s="103">
        <f t="shared" si="12"/>
        <v>272899</v>
      </c>
      <c r="F87" s="104">
        <f t="shared" si="13"/>
        <v>0.10826167764560733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113543</v>
      </c>
      <c r="D88" s="103">
        <f t="shared" si="11"/>
        <v>95626</v>
      </c>
      <c r="E88" s="103">
        <f t="shared" si="12"/>
        <v>-17917</v>
      </c>
      <c r="F88" s="104">
        <f t="shared" si="13"/>
        <v>-0.15779924786204347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0</v>
      </c>
      <c r="D89" s="103">
        <f t="shared" si="11"/>
        <v>0</v>
      </c>
      <c r="E89" s="103">
        <f t="shared" si="12"/>
        <v>0</v>
      </c>
      <c r="F89" s="104">
        <f t="shared" si="13"/>
        <v>0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36134678</v>
      </c>
      <c r="D90" s="103">
        <f t="shared" si="11"/>
        <v>34122870</v>
      </c>
      <c r="E90" s="103">
        <f t="shared" si="12"/>
        <v>-2011808</v>
      </c>
      <c r="F90" s="104">
        <f t="shared" si="13"/>
        <v>-5.5675271272653933E-2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1315088</v>
      </c>
      <c r="D91" s="103">
        <f t="shared" si="11"/>
        <v>1015673</v>
      </c>
      <c r="E91" s="103">
        <f t="shared" si="12"/>
        <v>-299415</v>
      </c>
      <c r="F91" s="104">
        <f t="shared" si="13"/>
        <v>-0.22767677904444417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650525</v>
      </c>
      <c r="D92" s="103">
        <f t="shared" si="11"/>
        <v>343268</v>
      </c>
      <c r="E92" s="103">
        <f t="shared" si="12"/>
        <v>-307257</v>
      </c>
      <c r="F92" s="104">
        <f t="shared" si="13"/>
        <v>-0.47232158641097577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267788</v>
      </c>
      <c r="D93" s="103">
        <f t="shared" si="11"/>
        <v>21990</v>
      </c>
      <c r="E93" s="103">
        <f t="shared" si="12"/>
        <v>-245798</v>
      </c>
      <c r="F93" s="104">
        <f t="shared" si="13"/>
        <v>-0.91788280281416645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35485</v>
      </c>
      <c r="D94" s="103">
        <f t="shared" si="11"/>
        <v>39762</v>
      </c>
      <c r="E94" s="103">
        <f t="shared" si="12"/>
        <v>4277</v>
      </c>
      <c r="F94" s="104">
        <f t="shared" si="13"/>
        <v>0.12052980132450331</v>
      </c>
    </row>
    <row r="95" spans="1:6" ht="18.75" customHeight="1" thickBot="1" x14ac:dyDescent="0.3">
      <c r="A95" s="115"/>
      <c r="B95" s="116" t="s">
        <v>134</v>
      </c>
      <c r="C95" s="112">
        <f>SUM(C84:C94)</f>
        <v>73651282</v>
      </c>
      <c r="D95" s="112">
        <f>SUM(D84:D94)</f>
        <v>70061768</v>
      </c>
      <c r="E95" s="112">
        <f t="shared" si="12"/>
        <v>-3589514</v>
      </c>
      <c r="F95" s="113">
        <f t="shared" si="13"/>
        <v>-4.8736612622710354E-2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1861</v>
      </c>
      <c r="D100" s="117">
        <v>1747</v>
      </c>
      <c r="E100" s="117">
        <f t="shared" ref="E100:E111" si="14">D100-C100</f>
        <v>-114</v>
      </c>
      <c r="F100" s="98">
        <f t="shared" ref="F100:F111" si="15">IF(C100=0,0,E100/C100)</f>
        <v>-6.1257388500806018E-2</v>
      </c>
    </row>
    <row r="101" spans="1:6" ht="18" customHeight="1" x14ac:dyDescent="0.25">
      <c r="A101" s="99">
        <v>2</v>
      </c>
      <c r="B101" s="100" t="s">
        <v>113</v>
      </c>
      <c r="C101" s="117">
        <v>562</v>
      </c>
      <c r="D101" s="117">
        <v>615</v>
      </c>
      <c r="E101" s="117">
        <f t="shared" si="14"/>
        <v>53</v>
      </c>
      <c r="F101" s="98">
        <f t="shared" si="15"/>
        <v>9.4306049822064059E-2</v>
      </c>
    </row>
    <row r="102" spans="1:6" ht="18" customHeight="1" x14ac:dyDescent="0.25">
      <c r="A102" s="99">
        <v>3</v>
      </c>
      <c r="B102" s="100" t="s">
        <v>114</v>
      </c>
      <c r="C102" s="117">
        <v>107</v>
      </c>
      <c r="D102" s="117">
        <v>134</v>
      </c>
      <c r="E102" s="117">
        <f t="shared" si="14"/>
        <v>27</v>
      </c>
      <c r="F102" s="98">
        <f t="shared" si="15"/>
        <v>0.25233644859813081</v>
      </c>
    </row>
    <row r="103" spans="1:6" ht="18" customHeight="1" x14ac:dyDescent="0.25">
      <c r="A103" s="99">
        <v>4</v>
      </c>
      <c r="B103" s="100" t="s">
        <v>115</v>
      </c>
      <c r="C103" s="117">
        <v>310</v>
      </c>
      <c r="D103" s="117">
        <v>272</v>
      </c>
      <c r="E103" s="117">
        <f t="shared" si="14"/>
        <v>-38</v>
      </c>
      <c r="F103" s="98">
        <f t="shared" si="15"/>
        <v>-0.12258064516129032</v>
      </c>
    </row>
    <row r="104" spans="1:6" ht="18" customHeight="1" x14ac:dyDescent="0.25">
      <c r="A104" s="99">
        <v>5</v>
      </c>
      <c r="B104" s="100" t="s">
        <v>116</v>
      </c>
      <c r="C104" s="117">
        <v>3</v>
      </c>
      <c r="D104" s="117">
        <v>12</v>
      </c>
      <c r="E104" s="117">
        <f t="shared" si="14"/>
        <v>9</v>
      </c>
      <c r="F104" s="98">
        <f t="shared" si="15"/>
        <v>3</v>
      </c>
    </row>
    <row r="105" spans="1:6" ht="18" customHeight="1" x14ac:dyDescent="0.25">
      <c r="A105" s="99">
        <v>6</v>
      </c>
      <c r="B105" s="100" t="s">
        <v>117</v>
      </c>
      <c r="C105" s="117">
        <v>0</v>
      </c>
      <c r="D105" s="117">
        <v>0</v>
      </c>
      <c r="E105" s="117">
        <f t="shared" si="14"/>
        <v>0</v>
      </c>
      <c r="F105" s="98">
        <f t="shared" si="15"/>
        <v>0</v>
      </c>
    </row>
    <row r="106" spans="1:6" ht="18" customHeight="1" x14ac:dyDescent="0.25">
      <c r="A106" s="99">
        <v>7</v>
      </c>
      <c r="B106" s="100" t="s">
        <v>118</v>
      </c>
      <c r="C106" s="117">
        <v>1814</v>
      </c>
      <c r="D106" s="117">
        <v>1669</v>
      </c>
      <c r="E106" s="117">
        <f t="shared" si="14"/>
        <v>-145</v>
      </c>
      <c r="F106" s="98">
        <f t="shared" si="15"/>
        <v>-7.9933847850055126E-2</v>
      </c>
    </row>
    <row r="107" spans="1:6" ht="18" customHeight="1" x14ac:dyDescent="0.25">
      <c r="A107" s="99">
        <v>8</v>
      </c>
      <c r="B107" s="100" t="s">
        <v>119</v>
      </c>
      <c r="C107" s="117">
        <v>17</v>
      </c>
      <c r="D107" s="117">
        <v>5</v>
      </c>
      <c r="E107" s="117">
        <f t="shared" si="14"/>
        <v>-12</v>
      </c>
      <c r="F107" s="98">
        <f t="shared" si="15"/>
        <v>-0.70588235294117652</v>
      </c>
    </row>
    <row r="108" spans="1:6" ht="18" customHeight="1" x14ac:dyDescent="0.25">
      <c r="A108" s="99">
        <v>9</v>
      </c>
      <c r="B108" s="100" t="s">
        <v>120</v>
      </c>
      <c r="C108" s="117">
        <v>99</v>
      </c>
      <c r="D108" s="117">
        <v>79</v>
      </c>
      <c r="E108" s="117">
        <f t="shared" si="14"/>
        <v>-20</v>
      </c>
      <c r="F108" s="98">
        <f t="shared" si="15"/>
        <v>-0.20202020202020202</v>
      </c>
    </row>
    <row r="109" spans="1:6" ht="18" customHeight="1" x14ac:dyDescent="0.25">
      <c r="A109" s="99">
        <v>10</v>
      </c>
      <c r="B109" s="100" t="s">
        <v>121</v>
      </c>
      <c r="C109" s="117">
        <v>26</v>
      </c>
      <c r="D109" s="117">
        <v>6</v>
      </c>
      <c r="E109" s="117">
        <f t="shared" si="14"/>
        <v>-20</v>
      </c>
      <c r="F109" s="98">
        <f t="shared" si="15"/>
        <v>-0.76923076923076927</v>
      </c>
    </row>
    <row r="110" spans="1:6" ht="18" customHeight="1" x14ac:dyDescent="0.25">
      <c r="A110" s="99">
        <v>11</v>
      </c>
      <c r="B110" s="100" t="s">
        <v>122</v>
      </c>
      <c r="C110" s="117">
        <v>1</v>
      </c>
      <c r="D110" s="117">
        <v>1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4800</v>
      </c>
      <c r="D111" s="118">
        <f>SUM(D100:D110)</f>
        <v>4540</v>
      </c>
      <c r="E111" s="118">
        <f t="shared" si="14"/>
        <v>-260</v>
      </c>
      <c r="F111" s="104">
        <f t="shared" si="15"/>
        <v>-5.4166666666666669E-2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9239</v>
      </c>
      <c r="D113" s="117">
        <v>8190</v>
      </c>
      <c r="E113" s="117">
        <f t="shared" ref="E113:E124" si="16">D113-C113</f>
        <v>-1049</v>
      </c>
      <c r="F113" s="98">
        <f t="shared" ref="F113:F124" si="17">IF(C113=0,0,E113/C113)</f>
        <v>-0.11354042645307934</v>
      </c>
    </row>
    <row r="114" spans="1:6" ht="18" customHeight="1" x14ac:dyDescent="0.25">
      <c r="A114" s="99">
        <v>2</v>
      </c>
      <c r="B114" s="100" t="s">
        <v>113</v>
      </c>
      <c r="C114" s="117">
        <v>2615</v>
      </c>
      <c r="D114" s="117">
        <v>2632</v>
      </c>
      <c r="E114" s="117">
        <f t="shared" si="16"/>
        <v>17</v>
      </c>
      <c r="F114" s="98">
        <f t="shared" si="17"/>
        <v>6.5009560229445503E-3</v>
      </c>
    </row>
    <row r="115" spans="1:6" ht="18" customHeight="1" x14ac:dyDescent="0.25">
      <c r="A115" s="99">
        <v>3</v>
      </c>
      <c r="B115" s="100" t="s">
        <v>114</v>
      </c>
      <c r="C115" s="117">
        <v>520</v>
      </c>
      <c r="D115" s="117">
        <v>478</v>
      </c>
      <c r="E115" s="117">
        <f t="shared" si="16"/>
        <v>-42</v>
      </c>
      <c r="F115" s="98">
        <f t="shared" si="17"/>
        <v>-8.0769230769230774E-2</v>
      </c>
    </row>
    <row r="116" spans="1:6" ht="18" customHeight="1" x14ac:dyDescent="0.25">
      <c r="A116" s="99">
        <v>4</v>
      </c>
      <c r="B116" s="100" t="s">
        <v>115</v>
      </c>
      <c r="C116" s="117">
        <v>965</v>
      </c>
      <c r="D116" s="117">
        <v>769</v>
      </c>
      <c r="E116" s="117">
        <f t="shared" si="16"/>
        <v>-196</v>
      </c>
      <c r="F116" s="98">
        <f t="shared" si="17"/>
        <v>-0.20310880829015543</v>
      </c>
    </row>
    <row r="117" spans="1:6" ht="18" customHeight="1" x14ac:dyDescent="0.25">
      <c r="A117" s="99">
        <v>5</v>
      </c>
      <c r="B117" s="100" t="s">
        <v>116</v>
      </c>
      <c r="C117" s="117">
        <v>11</v>
      </c>
      <c r="D117" s="117">
        <v>30</v>
      </c>
      <c r="E117" s="117">
        <f t="shared" si="16"/>
        <v>19</v>
      </c>
      <c r="F117" s="98">
        <f t="shared" si="17"/>
        <v>1.7272727272727273</v>
      </c>
    </row>
    <row r="118" spans="1:6" ht="18" customHeight="1" x14ac:dyDescent="0.25">
      <c r="A118" s="99">
        <v>6</v>
      </c>
      <c r="B118" s="100" t="s">
        <v>117</v>
      </c>
      <c r="C118" s="117">
        <v>0</v>
      </c>
      <c r="D118" s="117">
        <v>0</v>
      </c>
      <c r="E118" s="117">
        <f t="shared" si="16"/>
        <v>0</v>
      </c>
      <c r="F118" s="98">
        <f t="shared" si="17"/>
        <v>0</v>
      </c>
    </row>
    <row r="119" spans="1:6" ht="18" customHeight="1" x14ac:dyDescent="0.25">
      <c r="A119" s="99">
        <v>7</v>
      </c>
      <c r="B119" s="100" t="s">
        <v>118</v>
      </c>
      <c r="C119" s="117">
        <v>6429</v>
      </c>
      <c r="D119" s="117">
        <v>5292</v>
      </c>
      <c r="E119" s="117">
        <f t="shared" si="16"/>
        <v>-1137</v>
      </c>
      <c r="F119" s="98">
        <f t="shared" si="17"/>
        <v>-0.17685487634157723</v>
      </c>
    </row>
    <row r="120" spans="1:6" ht="18" customHeight="1" x14ac:dyDescent="0.25">
      <c r="A120" s="99">
        <v>8</v>
      </c>
      <c r="B120" s="100" t="s">
        <v>119</v>
      </c>
      <c r="C120" s="117">
        <v>46</v>
      </c>
      <c r="D120" s="117">
        <v>19</v>
      </c>
      <c r="E120" s="117">
        <f t="shared" si="16"/>
        <v>-27</v>
      </c>
      <c r="F120" s="98">
        <f t="shared" si="17"/>
        <v>-0.58695652173913049</v>
      </c>
    </row>
    <row r="121" spans="1:6" ht="18" customHeight="1" x14ac:dyDescent="0.25">
      <c r="A121" s="99">
        <v>9</v>
      </c>
      <c r="B121" s="100" t="s">
        <v>120</v>
      </c>
      <c r="C121" s="117">
        <v>440</v>
      </c>
      <c r="D121" s="117">
        <v>278</v>
      </c>
      <c r="E121" s="117">
        <f t="shared" si="16"/>
        <v>-162</v>
      </c>
      <c r="F121" s="98">
        <f t="shared" si="17"/>
        <v>-0.36818181818181817</v>
      </c>
    </row>
    <row r="122" spans="1:6" ht="18" customHeight="1" x14ac:dyDescent="0.25">
      <c r="A122" s="99">
        <v>10</v>
      </c>
      <c r="B122" s="100" t="s">
        <v>121</v>
      </c>
      <c r="C122" s="117">
        <v>100</v>
      </c>
      <c r="D122" s="117">
        <v>16</v>
      </c>
      <c r="E122" s="117">
        <f t="shared" si="16"/>
        <v>-84</v>
      </c>
      <c r="F122" s="98">
        <f t="shared" si="17"/>
        <v>-0.84</v>
      </c>
    </row>
    <row r="123" spans="1:6" ht="18" customHeight="1" x14ac:dyDescent="0.25">
      <c r="A123" s="99">
        <v>11</v>
      </c>
      <c r="B123" s="100" t="s">
        <v>122</v>
      </c>
      <c r="C123" s="117">
        <v>5</v>
      </c>
      <c r="D123" s="117">
        <v>4</v>
      </c>
      <c r="E123" s="117">
        <f t="shared" si="16"/>
        <v>-1</v>
      </c>
      <c r="F123" s="98">
        <f t="shared" si="17"/>
        <v>-0.2</v>
      </c>
    </row>
    <row r="124" spans="1:6" ht="18" customHeight="1" x14ac:dyDescent="0.25">
      <c r="A124" s="101"/>
      <c r="B124" s="102" t="s">
        <v>140</v>
      </c>
      <c r="C124" s="118">
        <f>SUM(C113:C123)</f>
        <v>20370</v>
      </c>
      <c r="D124" s="118">
        <f>SUM(D113:D123)</f>
        <v>17708</v>
      </c>
      <c r="E124" s="118">
        <f t="shared" si="16"/>
        <v>-2662</v>
      </c>
      <c r="F124" s="104">
        <f t="shared" si="17"/>
        <v>-0.13068237604320079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4583</v>
      </c>
      <c r="D126" s="117">
        <v>4177</v>
      </c>
      <c r="E126" s="117">
        <f t="shared" ref="E126:E137" si="18">D126-C126</f>
        <v>-406</v>
      </c>
      <c r="F126" s="98">
        <f t="shared" ref="F126:F137" si="19">IF(C126=0,0,E126/C126)</f>
        <v>-8.8588260964433771E-2</v>
      </c>
    </row>
    <row r="127" spans="1:6" ht="18" customHeight="1" x14ac:dyDescent="0.25">
      <c r="A127" s="99">
        <v>2</v>
      </c>
      <c r="B127" s="100" t="s">
        <v>113</v>
      </c>
      <c r="C127" s="117">
        <v>6123</v>
      </c>
      <c r="D127" s="117">
        <v>6180</v>
      </c>
      <c r="E127" s="117">
        <f t="shared" si="18"/>
        <v>57</v>
      </c>
      <c r="F127" s="98">
        <f t="shared" si="19"/>
        <v>9.309162175404213E-3</v>
      </c>
    </row>
    <row r="128" spans="1:6" ht="18" customHeight="1" x14ac:dyDescent="0.25">
      <c r="A128" s="99">
        <v>3</v>
      </c>
      <c r="B128" s="100" t="s">
        <v>114</v>
      </c>
      <c r="C128" s="117">
        <v>312</v>
      </c>
      <c r="D128" s="117">
        <v>405</v>
      </c>
      <c r="E128" s="117">
        <f t="shared" si="18"/>
        <v>93</v>
      </c>
      <c r="F128" s="98">
        <f t="shared" si="19"/>
        <v>0.29807692307692307</v>
      </c>
    </row>
    <row r="129" spans="1:6" ht="18" customHeight="1" x14ac:dyDescent="0.25">
      <c r="A129" s="99">
        <v>4</v>
      </c>
      <c r="B129" s="100" t="s">
        <v>115</v>
      </c>
      <c r="C129" s="117">
        <v>5840</v>
      </c>
      <c r="D129" s="117">
        <v>6804</v>
      </c>
      <c r="E129" s="117">
        <f t="shared" si="18"/>
        <v>964</v>
      </c>
      <c r="F129" s="98">
        <f t="shared" si="19"/>
        <v>0.16506849315068492</v>
      </c>
    </row>
    <row r="130" spans="1:6" ht="18" customHeight="1" x14ac:dyDescent="0.25">
      <c r="A130" s="99">
        <v>5</v>
      </c>
      <c r="B130" s="100" t="s">
        <v>116</v>
      </c>
      <c r="C130" s="117">
        <v>39</v>
      </c>
      <c r="D130" s="117">
        <v>55</v>
      </c>
      <c r="E130" s="117">
        <f t="shared" si="18"/>
        <v>16</v>
      </c>
      <c r="F130" s="98">
        <f t="shared" si="19"/>
        <v>0.41025641025641024</v>
      </c>
    </row>
    <row r="131" spans="1:6" ht="18" customHeight="1" x14ac:dyDescent="0.25">
      <c r="A131" s="99">
        <v>6</v>
      </c>
      <c r="B131" s="100" t="s">
        <v>117</v>
      </c>
      <c r="C131" s="117">
        <v>0</v>
      </c>
      <c r="D131" s="117">
        <v>0</v>
      </c>
      <c r="E131" s="117">
        <f t="shared" si="18"/>
        <v>0</v>
      </c>
      <c r="F131" s="98">
        <f t="shared" si="19"/>
        <v>0</v>
      </c>
    </row>
    <row r="132" spans="1:6" ht="18" customHeight="1" x14ac:dyDescent="0.25">
      <c r="A132" s="99">
        <v>7</v>
      </c>
      <c r="B132" s="100" t="s">
        <v>118</v>
      </c>
      <c r="C132" s="117">
        <v>21317</v>
      </c>
      <c r="D132" s="117">
        <v>19396</v>
      </c>
      <c r="E132" s="117">
        <f t="shared" si="18"/>
        <v>-1921</v>
      </c>
      <c r="F132" s="98">
        <f t="shared" si="19"/>
        <v>-9.0115869962940381E-2</v>
      </c>
    </row>
    <row r="133" spans="1:6" ht="18" customHeight="1" x14ac:dyDescent="0.25">
      <c r="A133" s="99">
        <v>8</v>
      </c>
      <c r="B133" s="100" t="s">
        <v>119</v>
      </c>
      <c r="C133" s="117">
        <v>151</v>
      </c>
      <c r="D133" s="117">
        <v>120</v>
      </c>
      <c r="E133" s="117">
        <f t="shared" si="18"/>
        <v>-31</v>
      </c>
      <c r="F133" s="98">
        <f t="shared" si="19"/>
        <v>-0.20529801324503311</v>
      </c>
    </row>
    <row r="134" spans="1:6" ht="18" customHeight="1" x14ac:dyDescent="0.25">
      <c r="A134" s="99">
        <v>9</v>
      </c>
      <c r="B134" s="100" t="s">
        <v>120</v>
      </c>
      <c r="C134" s="117">
        <v>306</v>
      </c>
      <c r="D134" s="117">
        <v>213</v>
      </c>
      <c r="E134" s="117">
        <f t="shared" si="18"/>
        <v>-93</v>
      </c>
      <c r="F134" s="98">
        <f t="shared" si="19"/>
        <v>-0.30392156862745096</v>
      </c>
    </row>
    <row r="135" spans="1:6" ht="18" customHeight="1" x14ac:dyDescent="0.25">
      <c r="A135" s="99">
        <v>10</v>
      </c>
      <c r="B135" s="100" t="s">
        <v>121</v>
      </c>
      <c r="C135" s="117">
        <v>88</v>
      </c>
      <c r="D135" s="117">
        <v>0</v>
      </c>
      <c r="E135" s="117">
        <f t="shared" si="18"/>
        <v>-88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3</v>
      </c>
      <c r="D136" s="117">
        <v>4</v>
      </c>
      <c r="E136" s="117">
        <f t="shared" si="18"/>
        <v>1</v>
      </c>
      <c r="F136" s="98">
        <f t="shared" si="19"/>
        <v>0.33333333333333331</v>
      </c>
    </row>
    <row r="137" spans="1:6" ht="18" customHeight="1" x14ac:dyDescent="0.25">
      <c r="A137" s="101"/>
      <c r="B137" s="102" t="s">
        <v>143</v>
      </c>
      <c r="C137" s="118">
        <f>SUM(C126:C136)</f>
        <v>38762</v>
      </c>
      <c r="D137" s="118">
        <f>SUM(D126:D136)</f>
        <v>37354</v>
      </c>
      <c r="E137" s="118">
        <f t="shared" si="18"/>
        <v>-1408</v>
      </c>
      <c r="F137" s="104">
        <f t="shared" si="19"/>
        <v>-3.6324235075589496E-2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7598238</v>
      </c>
      <c r="D142" s="97">
        <v>7393949</v>
      </c>
      <c r="E142" s="97">
        <f t="shared" ref="E142:E153" si="20">D142-C142</f>
        <v>-204289</v>
      </c>
      <c r="F142" s="98">
        <f t="shared" ref="F142:F153" si="21">IF(C142=0,0,E142/C142)</f>
        <v>-2.6886364970404981E-2</v>
      </c>
    </row>
    <row r="143" spans="1:6" ht="18" customHeight="1" x14ac:dyDescent="0.25">
      <c r="A143" s="99">
        <v>2</v>
      </c>
      <c r="B143" s="100" t="s">
        <v>113</v>
      </c>
      <c r="C143" s="97">
        <v>2516930</v>
      </c>
      <c r="D143" s="97">
        <v>2693955</v>
      </c>
      <c r="E143" s="97">
        <f t="shared" si="20"/>
        <v>177025</v>
      </c>
      <c r="F143" s="98">
        <f t="shared" si="21"/>
        <v>7.0333700182365025E-2</v>
      </c>
    </row>
    <row r="144" spans="1:6" ht="18" customHeight="1" x14ac:dyDescent="0.25">
      <c r="A144" s="99">
        <v>3</v>
      </c>
      <c r="B144" s="100" t="s">
        <v>114</v>
      </c>
      <c r="C144" s="97">
        <v>2363809</v>
      </c>
      <c r="D144" s="97">
        <v>3874635</v>
      </c>
      <c r="E144" s="97">
        <f t="shared" si="20"/>
        <v>1510826</v>
      </c>
      <c r="F144" s="98">
        <f t="shared" si="21"/>
        <v>0.63914893292986019</v>
      </c>
    </row>
    <row r="145" spans="1:6" ht="18" customHeight="1" x14ac:dyDescent="0.25">
      <c r="A145" s="99">
        <v>4</v>
      </c>
      <c r="B145" s="100" t="s">
        <v>115</v>
      </c>
      <c r="C145" s="97">
        <v>4766526</v>
      </c>
      <c r="D145" s="97">
        <v>5205590</v>
      </c>
      <c r="E145" s="97">
        <f t="shared" si="20"/>
        <v>439064</v>
      </c>
      <c r="F145" s="98">
        <f t="shared" si="21"/>
        <v>9.2114047001946489E-2</v>
      </c>
    </row>
    <row r="146" spans="1:6" ht="18" customHeight="1" x14ac:dyDescent="0.25">
      <c r="A146" s="99">
        <v>5</v>
      </c>
      <c r="B146" s="100" t="s">
        <v>116</v>
      </c>
      <c r="C146" s="97">
        <v>165755</v>
      </c>
      <c r="D146" s="97">
        <v>146766</v>
      </c>
      <c r="E146" s="97">
        <f t="shared" si="20"/>
        <v>-18989</v>
      </c>
      <c r="F146" s="98">
        <f t="shared" si="21"/>
        <v>-0.11456064673765497</v>
      </c>
    </row>
    <row r="147" spans="1:6" ht="18" customHeight="1" x14ac:dyDescent="0.25">
      <c r="A147" s="99">
        <v>6</v>
      </c>
      <c r="B147" s="100" t="s">
        <v>117</v>
      </c>
      <c r="C147" s="97">
        <v>0</v>
      </c>
      <c r="D147" s="97">
        <v>0</v>
      </c>
      <c r="E147" s="97">
        <f t="shared" si="20"/>
        <v>0</v>
      </c>
      <c r="F147" s="98">
        <f t="shared" si="21"/>
        <v>0</v>
      </c>
    </row>
    <row r="148" spans="1:6" ht="18" customHeight="1" x14ac:dyDescent="0.25">
      <c r="A148" s="99">
        <v>7</v>
      </c>
      <c r="B148" s="100" t="s">
        <v>118</v>
      </c>
      <c r="C148" s="97">
        <v>22292621</v>
      </c>
      <c r="D148" s="97">
        <v>20076386</v>
      </c>
      <c r="E148" s="97">
        <f t="shared" si="20"/>
        <v>-2216235</v>
      </c>
      <c r="F148" s="98">
        <f t="shared" si="21"/>
        <v>-9.9415631746486877E-2</v>
      </c>
    </row>
    <row r="149" spans="1:6" ht="18" customHeight="1" x14ac:dyDescent="0.25">
      <c r="A149" s="99">
        <v>8</v>
      </c>
      <c r="B149" s="100" t="s">
        <v>119</v>
      </c>
      <c r="C149" s="97">
        <v>874650</v>
      </c>
      <c r="D149" s="97">
        <v>825586</v>
      </c>
      <c r="E149" s="97">
        <f t="shared" si="20"/>
        <v>-49064</v>
      </c>
      <c r="F149" s="98">
        <f t="shared" si="21"/>
        <v>-5.609558108957869E-2</v>
      </c>
    </row>
    <row r="150" spans="1:6" ht="18" customHeight="1" x14ac:dyDescent="0.25">
      <c r="A150" s="99">
        <v>9</v>
      </c>
      <c r="B150" s="100" t="s">
        <v>120</v>
      </c>
      <c r="C150" s="97">
        <v>4078564</v>
      </c>
      <c r="D150" s="97">
        <v>3715375</v>
      </c>
      <c r="E150" s="97">
        <f t="shared" si="20"/>
        <v>-363189</v>
      </c>
      <c r="F150" s="98">
        <f t="shared" si="21"/>
        <v>-8.9048253257764248E-2</v>
      </c>
    </row>
    <row r="151" spans="1:6" ht="18" customHeight="1" x14ac:dyDescent="0.25">
      <c r="A151" s="99">
        <v>10</v>
      </c>
      <c r="B151" s="100" t="s">
        <v>121</v>
      </c>
      <c r="C151" s="97">
        <v>1771338</v>
      </c>
      <c r="D151" s="97">
        <v>11093</v>
      </c>
      <c r="E151" s="97">
        <f t="shared" si="20"/>
        <v>-1760245</v>
      </c>
      <c r="F151" s="98">
        <f t="shared" si="21"/>
        <v>-0.99373750238520264</v>
      </c>
    </row>
    <row r="152" spans="1:6" ht="18" customHeight="1" x14ac:dyDescent="0.25">
      <c r="A152" s="99">
        <v>11</v>
      </c>
      <c r="B152" s="100" t="s">
        <v>122</v>
      </c>
      <c r="C152" s="97">
        <v>132073</v>
      </c>
      <c r="D152" s="97">
        <v>109942</v>
      </c>
      <c r="E152" s="97">
        <f t="shared" si="20"/>
        <v>-22131</v>
      </c>
      <c r="F152" s="98">
        <f t="shared" si="21"/>
        <v>-0.16756642160017565</v>
      </c>
    </row>
    <row r="153" spans="1:6" ht="33.75" customHeight="1" x14ac:dyDescent="0.25">
      <c r="A153" s="101"/>
      <c r="B153" s="102" t="s">
        <v>147</v>
      </c>
      <c r="C153" s="103">
        <f>SUM(C142:C152)</f>
        <v>46560504</v>
      </c>
      <c r="D153" s="103">
        <f>SUM(D142:D152)</f>
        <v>44053277</v>
      </c>
      <c r="E153" s="103">
        <f t="shared" si="20"/>
        <v>-2507227</v>
      </c>
      <c r="F153" s="104">
        <f t="shared" si="21"/>
        <v>-5.3848794248447136E-2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1906468</v>
      </c>
      <c r="D155" s="97">
        <v>1819205</v>
      </c>
      <c r="E155" s="97">
        <f t="shared" ref="E155:E166" si="22">D155-C155</f>
        <v>-87263</v>
      </c>
      <c r="F155" s="98">
        <f t="shared" ref="F155:F166" si="23">IF(C155=0,0,E155/C155)</f>
        <v>-4.5772076950675283E-2</v>
      </c>
    </row>
    <row r="156" spans="1:6" ht="18" customHeight="1" x14ac:dyDescent="0.25">
      <c r="A156" s="99">
        <v>2</v>
      </c>
      <c r="B156" s="100" t="s">
        <v>113</v>
      </c>
      <c r="C156" s="97">
        <v>620540</v>
      </c>
      <c r="D156" s="97">
        <v>697356</v>
      </c>
      <c r="E156" s="97">
        <f t="shared" si="22"/>
        <v>76816</v>
      </c>
      <c r="F156" s="98">
        <f t="shared" si="23"/>
        <v>0.12378895800431881</v>
      </c>
    </row>
    <row r="157" spans="1:6" ht="18" customHeight="1" x14ac:dyDescent="0.25">
      <c r="A157" s="99">
        <v>3</v>
      </c>
      <c r="B157" s="100" t="s">
        <v>114</v>
      </c>
      <c r="C157" s="97">
        <v>178894</v>
      </c>
      <c r="D157" s="97">
        <v>405951</v>
      </c>
      <c r="E157" s="97">
        <f t="shared" si="22"/>
        <v>227057</v>
      </c>
      <c r="F157" s="98">
        <f t="shared" si="23"/>
        <v>1.2692264693058459</v>
      </c>
    </row>
    <row r="158" spans="1:6" ht="18" customHeight="1" x14ac:dyDescent="0.25">
      <c r="A158" s="99">
        <v>4</v>
      </c>
      <c r="B158" s="100" t="s">
        <v>115</v>
      </c>
      <c r="C158" s="97">
        <v>1257219</v>
      </c>
      <c r="D158" s="97">
        <v>1451134</v>
      </c>
      <c r="E158" s="97">
        <f t="shared" si="22"/>
        <v>193915</v>
      </c>
      <c r="F158" s="98">
        <f t="shared" si="23"/>
        <v>0.15424122607119364</v>
      </c>
    </row>
    <row r="159" spans="1:6" ht="18" customHeight="1" x14ac:dyDescent="0.25">
      <c r="A159" s="99">
        <v>5</v>
      </c>
      <c r="B159" s="100" t="s">
        <v>116</v>
      </c>
      <c r="C159" s="97">
        <v>73724</v>
      </c>
      <c r="D159" s="97">
        <v>39739</v>
      </c>
      <c r="E159" s="97">
        <f t="shared" si="22"/>
        <v>-33985</v>
      </c>
      <c r="F159" s="98">
        <f t="shared" si="23"/>
        <v>-0.46097607292062287</v>
      </c>
    </row>
    <row r="160" spans="1:6" ht="18" customHeight="1" x14ac:dyDescent="0.25">
      <c r="A160" s="99">
        <v>6</v>
      </c>
      <c r="B160" s="100" t="s">
        <v>117</v>
      </c>
      <c r="C160" s="97">
        <v>0</v>
      </c>
      <c r="D160" s="97">
        <v>0</v>
      </c>
      <c r="E160" s="97">
        <f t="shared" si="22"/>
        <v>0</v>
      </c>
      <c r="F160" s="98">
        <f t="shared" si="23"/>
        <v>0</v>
      </c>
    </row>
    <row r="161" spans="1:6" ht="18" customHeight="1" x14ac:dyDescent="0.25">
      <c r="A161" s="99">
        <v>7</v>
      </c>
      <c r="B161" s="100" t="s">
        <v>118</v>
      </c>
      <c r="C161" s="97">
        <v>9842810</v>
      </c>
      <c r="D161" s="97">
        <v>8621343</v>
      </c>
      <c r="E161" s="97">
        <f t="shared" si="22"/>
        <v>-1221467</v>
      </c>
      <c r="F161" s="98">
        <f t="shared" si="23"/>
        <v>-0.12409738682347825</v>
      </c>
    </row>
    <row r="162" spans="1:6" ht="18" customHeight="1" x14ac:dyDescent="0.25">
      <c r="A162" s="99">
        <v>8</v>
      </c>
      <c r="B162" s="100" t="s">
        <v>119</v>
      </c>
      <c r="C162" s="97">
        <v>384846</v>
      </c>
      <c r="D162" s="97">
        <v>593272</v>
      </c>
      <c r="E162" s="97">
        <f t="shared" si="22"/>
        <v>208426</v>
      </c>
      <c r="F162" s="98">
        <f t="shared" si="23"/>
        <v>0.54158286691299895</v>
      </c>
    </row>
    <row r="163" spans="1:6" ht="18" customHeight="1" x14ac:dyDescent="0.25">
      <c r="A163" s="99">
        <v>9</v>
      </c>
      <c r="B163" s="100" t="s">
        <v>120</v>
      </c>
      <c r="C163" s="97">
        <v>362404</v>
      </c>
      <c r="D163" s="97">
        <v>297750</v>
      </c>
      <c r="E163" s="97">
        <f t="shared" si="22"/>
        <v>-64654</v>
      </c>
      <c r="F163" s="98">
        <f t="shared" si="23"/>
        <v>-0.1784031081334643</v>
      </c>
    </row>
    <row r="164" spans="1:6" ht="18" customHeight="1" x14ac:dyDescent="0.25">
      <c r="A164" s="99">
        <v>10</v>
      </c>
      <c r="B164" s="100" t="s">
        <v>121</v>
      </c>
      <c r="C164" s="97">
        <v>192013</v>
      </c>
      <c r="D164" s="97">
        <v>733</v>
      </c>
      <c r="E164" s="97">
        <f t="shared" si="22"/>
        <v>-191280</v>
      </c>
      <c r="F164" s="98">
        <f t="shared" si="23"/>
        <v>-0.99618255013983426</v>
      </c>
    </row>
    <row r="165" spans="1:6" ht="18" customHeight="1" x14ac:dyDescent="0.25">
      <c r="A165" s="99">
        <v>11</v>
      </c>
      <c r="B165" s="100" t="s">
        <v>122</v>
      </c>
      <c r="C165" s="97">
        <v>28715</v>
      </c>
      <c r="D165" s="97">
        <v>33479</v>
      </c>
      <c r="E165" s="97">
        <f t="shared" si="22"/>
        <v>4764</v>
      </c>
      <c r="F165" s="98">
        <f t="shared" si="23"/>
        <v>0.16590632073829009</v>
      </c>
    </row>
    <row r="166" spans="1:6" ht="33.75" customHeight="1" x14ac:dyDescent="0.25">
      <c r="A166" s="101"/>
      <c r="B166" s="102" t="s">
        <v>149</v>
      </c>
      <c r="C166" s="103">
        <f>SUM(C155:C165)</f>
        <v>14847633</v>
      </c>
      <c r="D166" s="103">
        <f>SUM(D155:D165)</f>
        <v>13959962</v>
      </c>
      <c r="E166" s="103">
        <f t="shared" si="22"/>
        <v>-887671</v>
      </c>
      <c r="F166" s="104">
        <f t="shared" si="23"/>
        <v>-5.9785354338971065E-2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4258</v>
      </c>
      <c r="D168" s="117">
        <v>4247</v>
      </c>
      <c r="E168" s="117">
        <f t="shared" ref="E168:E179" si="24">D168-C168</f>
        <v>-11</v>
      </c>
      <c r="F168" s="98">
        <f t="shared" ref="F168:F179" si="25">IF(C168=0,0,E168/C168)</f>
        <v>-2.5833724753405356E-3</v>
      </c>
    </row>
    <row r="169" spans="1:6" ht="18" customHeight="1" x14ac:dyDescent="0.25">
      <c r="A169" s="99">
        <v>2</v>
      </c>
      <c r="B169" s="100" t="s">
        <v>113</v>
      </c>
      <c r="C169" s="117">
        <v>1296</v>
      </c>
      <c r="D169" s="117">
        <v>1355</v>
      </c>
      <c r="E169" s="117">
        <f t="shared" si="24"/>
        <v>59</v>
      </c>
      <c r="F169" s="98">
        <f t="shared" si="25"/>
        <v>4.5524691358024692E-2</v>
      </c>
    </row>
    <row r="170" spans="1:6" ht="18" customHeight="1" x14ac:dyDescent="0.25">
      <c r="A170" s="99">
        <v>3</v>
      </c>
      <c r="B170" s="100" t="s">
        <v>114</v>
      </c>
      <c r="C170" s="117">
        <v>1894</v>
      </c>
      <c r="D170" s="117">
        <v>2867</v>
      </c>
      <c r="E170" s="117">
        <f t="shared" si="24"/>
        <v>973</v>
      </c>
      <c r="F170" s="98">
        <f t="shared" si="25"/>
        <v>0.51372756071805703</v>
      </c>
    </row>
    <row r="171" spans="1:6" ht="18" customHeight="1" x14ac:dyDescent="0.25">
      <c r="A171" s="99">
        <v>4</v>
      </c>
      <c r="B171" s="100" t="s">
        <v>115</v>
      </c>
      <c r="C171" s="117">
        <v>4481</v>
      </c>
      <c r="D171" s="117">
        <v>4911</v>
      </c>
      <c r="E171" s="117">
        <f t="shared" si="24"/>
        <v>430</v>
      </c>
      <c r="F171" s="98">
        <f t="shared" si="25"/>
        <v>9.5960723052889982E-2</v>
      </c>
    </row>
    <row r="172" spans="1:6" ht="18" customHeight="1" x14ac:dyDescent="0.25">
      <c r="A172" s="99">
        <v>5</v>
      </c>
      <c r="B172" s="100" t="s">
        <v>116</v>
      </c>
      <c r="C172" s="117">
        <v>142</v>
      </c>
      <c r="D172" s="117">
        <v>120</v>
      </c>
      <c r="E172" s="117">
        <f t="shared" si="24"/>
        <v>-22</v>
      </c>
      <c r="F172" s="98">
        <f t="shared" si="25"/>
        <v>-0.15492957746478872</v>
      </c>
    </row>
    <row r="173" spans="1:6" ht="18" customHeight="1" x14ac:dyDescent="0.25">
      <c r="A173" s="99">
        <v>6</v>
      </c>
      <c r="B173" s="100" t="s">
        <v>117</v>
      </c>
      <c r="C173" s="117">
        <v>0</v>
      </c>
      <c r="D173" s="117">
        <v>0</v>
      </c>
      <c r="E173" s="117">
        <f t="shared" si="24"/>
        <v>0</v>
      </c>
      <c r="F173" s="98">
        <f t="shared" si="25"/>
        <v>0</v>
      </c>
    </row>
    <row r="174" spans="1:6" ht="18" customHeight="1" x14ac:dyDescent="0.25">
      <c r="A174" s="99">
        <v>7</v>
      </c>
      <c r="B174" s="100" t="s">
        <v>118</v>
      </c>
      <c r="C174" s="117">
        <v>19522</v>
      </c>
      <c r="D174" s="117">
        <v>17627</v>
      </c>
      <c r="E174" s="117">
        <f t="shared" si="24"/>
        <v>-1895</v>
      </c>
      <c r="F174" s="98">
        <f t="shared" si="25"/>
        <v>-9.7069972338899704E-2</v>
      </c>
    </row>
    <row r="175" spans="1:6" ht="18" customHeight="1" x14ac:dyDescent="0.25">
      <c r="A175" s="99">
        <v>8</v>
      </c>
      <c r="B175" s="100" t="s">
        <v>119</v>
      </c>
      <c r="C175" s="117">
        <v>951</v>
      </c>
      <c r="D175" s="117">
        <v>941</v>
      </c>
      <c r="E175" s="117">
        <f t="shared" si="24"/>
        <v>-10</v>
      </c>
      <c r="F175" s="98">
        <f t="shared" si="25"/>
        <v>-1.0515247108307046E-2</v>
      </c>
    </row>
    <row r="176" spans="1:6" ht="18" customHeight="1" x14ac:dyDescent="0.25">
      <c r="A176" s="99">
        <v>9</v>
      </c>
      <c r="B176" s="100" t="s">
        <v>120</v>
      </c>
      <c r="C176" s="117">
        <v>3202</v>
      </c>
      <c r="D176" s="117">
        <v>2877</v>
      </c>
      <c r="E176" s="117">
        <f t="shared" si="24"/>
        <v>-325</v>
      </c>
      <c r="F176" s="98">
        <f t="shared" si="25"/>
        <v>-0.10149906308557152</v>
      </c>
    </row>
    <row r="177" spans="1:6" ht="18" customHeight="1" x14ac:dyDescent="0.25">
      <c r="A177" s="99">
        <v>10</v>
      </c>
      <c r="B177" s="100" t="s">
        <v>121</v>
      </c>
      <c r="C177" s="117">
        <v>1065</v>
      </c>
      <c r="D177" s="117">
        <v>3</v>
      </c>
      <c r="E177" s="117">
        <f t="shared" si="24"/>
        <v>-1062</v>
      </c>
      <c r="F177" s="98">
        <f t="shared" si="25"/>
        <v>-0.9971830985915493</v>
      </c>
    </row>
    <row r="178" spans="1:6" ht="18" customHeight="1" x14ac:dyDescent="0.25">
      <c r="A178" s="99">
        <v>11</v>
      </c>
      <c r="B178" s="100" t="s">
        <v>122</v>
      </c>
      <c r="C178" s="117">
        <v>102</v>
      </c>
      <c r="D178" s="117">
        <v>101</v>
      </c>
      <c r="E178" s="117">
        <f t="shared" si="24"/>
        <v>-1</v>
      </c>
      <c r="F178" s="98">
        <f t="shared" si="25"/>
        <v>-9.8039215686274508E-3</v>
      </c>
    </row>
    <row r="179" spans="1:6" ht="33.75" customHeight="1" x14ac:dyDescent="0.25">
      <c r="A179" s="101"/>
      <c r="B179" s="102" t="s">
        <v>151</v>
      </c>
      <c r="C179" s="118">
        <f>SUM(C168:C178)</f>
        <v>36913</v>
      </c>
      <c r="D179" s="118">
        <f>SUM(D168:D178)</f>
        <v>35049</v>
      </c>
      <c r="E179" s="118">
        <f t="shared" si="24"/>
        <v>-1864</v>
      </c>
      <c r="F179" s="104">
        <f t="shared" si="25"/>
        <v>-5.0497114837591089E-2</v>
      </c>
    </row>
  </sheetData>
  <mergeCells count="23">
    <mergeCell ref="A10:A11"/>
    <mergeCell ref="B10:B11"/>
    <mergeCell ref="C10:F11"/>
    <mergeCell ref="A2:F2"/>
    <mergeCell ref="A3:F3"/>
    <mergeCell ref="A4:F4"/>
    <mergeCell ref="A5:F5"/>
    <mergeCell ref="C9:F9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FILING&amp;RMILFORD HOSPITAL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>
      <selection activeCell="B4" sqref="B4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3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17018295</v>
      </c>
      <c r="D15" s="146">
        <v>17871610</v>
      </c>
      <c r="E15" s="146">
        <f>+D15-C15</f>
        <v>853315</v>
      </c>
      <c r="F15" s="150">
        <f>IF(C15=0,0,E15/C15)</f>
        <v>5.0141039393194205E-2</v>
      </c>
    </row>
    <row r="16" spans="1:7" ht="15" customHeight="1" x14ac:dyDescent="0.2">
      <c r="A16" s="141">
        <v>2</v>
      </c>
      <c r="B16" s="149" t="s">
        <v>158</v>
      </c>
      <c r="C16" s="146">
        <v>4932122</v>
      </c>
      <c r="D16" s="146">
        <v>5249817</v>
      </c>
      <c r="E16" s="146">
        <f>+D16-C16</f>
        <v>317695</v>
      </c>
      <c r="F16" s="150">
        <f>IF(C16=0,0,E16/C16)</f>
        <v>6.4413451248772846E-2</v>
      </c>
    </row>
    <row r="17" spans="1:7" ht="15" customHeight="1" x14ac:dyDescent="0.2">
      <c r="A17" s="141">
        <v>3</v>
      </c>
      <c r="B17" s="149" t="s">
        <v>159</v>
      </c>
      <c r="C17" s="146">
        <v>15222495</v>
      </c>
      <c r="D17" s="146">
        <v>14239774</v>
      </c>
      <c r="E17" s="146">
        <f>+D17-C17</f>
        <v>-982721</v>
      </c>
      <c r="F17" s="150">
        <f>IF(C17=0,0,E17/C17)</f>
        <v>-6.4557157023208092E-2</v>
      </c>
    </row>
    <row r="18" spans="1:7" ht="15.75" customHeight="1" x14ac:dyDescent="0.25">
      <c r="A18" s="141"/>
      <c r="B18" s="151" t="s">
        <v>160</v>
      </c>
      <c r="C18" s="147">
        <f>SUM(C15:C17)</f>
        <v>37172912</v>
      </c>
      <c r="D18" s="147">
        <f>SUM(D15:D17)</f>
        <v>37361201</v>
      </c>
      <c r="E18" s="147">
        <f>+D18-C18</f>
        <v>188289</v>
      </c>
      <c r="F18" s="148">
        <f>IF(C18=0,0,E18/C18)</f>
        <v>5.0652206101044761E-3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6911685</v>
      </c>
      <c r="D21" s="146">
        <v>7469549</v>
      </c>
      <c r="E21" s="146">
        <f>+D21-C21</f>
        <v>557864</v>
      </c>
      <c r="F21" s="150">
        <f>IF(C21=0,0,E21/C21)</f>
        <v>8.0713169075268917E-2</v>
      </c>
    </row>
    <row r="22" spans="1:7" ht="15" customHeight="1" x14ac:dyDescent="0.2">
      <c r="A22" s="141">
        <v>2</v>
      </c>
      <c r="B22" s="149" t="s">
        <v>163</v>
      </c>
      <c r="C22" s="146">
        <v>968548</v>
      </c>
      <c r="D22" s="146">
        <v>1170003</v>
      </c>
      <c r="E22" s="146">
        <f>+D22-C22</f>
        <v>201455</v>
      </c>
      <c r="F22" s="150">
        <f>IF(C22=0,0,E22/C22)</f>
        <v>0.20799691909951804</v>
      </c>
    </row>
    <row r="23" spans="1:7" ht="15" customHeight="1" x14ac:dyDescent="0.2">
      <c r="A23" s="141">
        <v>3</v>
      </c>
      <c r="B23" s="149" t="s">
        <v>164</v>
      </c>
      <c r="C23" s="146">
        <v>6129230</v>
      </c>
      <c r="D23" s="146">
        <v>5868930</v>
      </c>
      <c r="E23" s="146">
        <f>+D23-C23</f>
        <v>-260300</v>
      </c>
      <c r="F23" s="150">
        <f>IF(C23=0,0,E23/C23)</f>
        <v>-4.2468629827890292E-2</v>
      </c>
    </row>
    <row r="24" spans="1:7" ht="15.75" customHeight="1" x14ac:dyDescent="0.25">
      <c r="A24" s="141"/>
      <c r="B24" s="151" t="s">
        <v>165</v>
      </c>
      <c r="C24" s="147">
        <f>SUM(C21:C23)</f>
        <v>14009463</v>
      </c>
      <c r="D24" s="147">
        <f>SUM(D21:D23)</f>
        <v>14508482</v>
      </c>
      <c r="E24" s="147">
        <f>+D24-C24</f>
        <v>499019</v>
      </c>
      <c r="F24" s="148">
        <f>IF(C24=0,0,E24/C24)</f>
        <v>3.5620137616980747E-2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306239</v>
      </c>
      <c r="D27" s="146">
        <v>104532</v>
      </c>
      <c r="E27" s="146">
        <f>+D27-C27</f>
        <v>-201707</v>
      </c>
      <c r="F27" s="150">
        <f>IF(C27=0,0,E27/C27)</f>
        <v>-0.65865875998811385</v>
      </c>
    </row>
    <row r="28" spans="1:7" ht="15" customHeight="1" x14ac:dyDescent="0.2">
      <c r="A28" s="141">
        <v>2</v>
      </c>
      <c r="B28" s="149" t="s">
        <v>168</v>
      </c>
      <c r="C28" s="146">
        <v>621077</v>
      </c>
      <c r="D28" s="146">
        <v>273288</v>
      </c>
      <c r="E28" s="146">
        <f>+D28-C28</f>
        <v>-347789</v>
      </c>
      <c r="F28" s="150">
        <f>IF(C28=0,0,E28/C28)</f>
        <v>-0.55997726529882763</v>
      </c>
    </row>
    <row r="29" spans="1:7" ht="15" customHeight="1" x14ac:dyDescent="0.2">
      <c r="A29" s="141">
        <v>3</v>
      </c>
      <c r="B29" s="149" t="s">
        <v>169</v>
      </c>
      <c r="C29" s="146">
        <v>167456</v>
      </c>
      <c r="D29" s="146">
        <v>2290</v>
      </c>
      <c r="E29" s="146">
        <f>+D29-C29</f>
        <v>-165166</v>
      </c>
      <c r="F29" s="150">
        <f>IF(C29=0,0,E29/C29)</f>
        <v>-0.98632476590865659</v>
      </c>
    </row>
    <row r="30" spans="1:7" ht="15.75" customHeight="1" x14ac:dyDescent="0.25">
      <c r="A30" s="141"/>
      <c r="B30" s="151" t="s">
        <v>170</v>
      </c>
      <c r="C30" s="147">
        <f>SUM(C27:C29)</f>
        <v>1094772</v>
      </c>
      <c r="D30" s="147">
        <f>SUM(D27:D29)</f>
        <v>380110</v>
      </c>
      <c r="E30" s="147">
        <f>+D30-C30</f>
        <v>-714662</v>
      </c>
      <c r="F30" s="148">
        <f>IF(C30=0,0,E30/C30)</f>
        <v>-0.65279528522833974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10183098</v>
      </c>
      <c r="D33" s="146">
        <v>9316434</v>
      </c>
      <c r="E33" s="146">
        <f>+D33-C33</f>
        <v>-866664</v>
      </c>
      <c r="F33" s="150">
        <f>IF(C33=0,0,E33/C33)</f>
        <v>-8.5108087931590165E-2</v>
      </c>
    </row>
    <row r="34" spans="1:7" ht="15" customHeight="1" x14ac:dyDescent="0.2">
      <c r="A34" s="141">
        <v>2</v>
      </c>
      <c r="B34" s="149" t="s">
        <v>174</v>
      </c>
      <c r="C34" s="146">
        <v>1979118</v>
      </c>
      <c r="D34" s="146">
        <v>1669329</v>
      </c>
      <c r="E34" s="146">
        <f>+D34-C34</f>
        <v>-309789</v>
      </c>
      <c r="F34" s="150">
        <f>IF(C34=0,0,E34/C34)</f>
        <v>-0.15652881738228847</v>
      </c>
    </row>
    <row r="35" spans="1:7" ht="15.75" customHeight="1" x14ac:dyDescent="0.25">
      <c r="A35" s="141"/>
      <c r="B35" s="151" t="s">
        <v>175</v>
      </c>
      <c r="C35" s="147">
        <f>SUM(C33:C34)</f>
        <v>12162216</v>
      </c>
      <c r="D35" s="147">
        <f>SUM(D33:D34)</f>
        <v>10985763</v>
      </c>
      <c r="E35" s="147">
        <f>+D35-C35</f>
        <v>-1176453</v>
      </c>
      <c r="F35" s="148">
        <f>IF(C35=0,0,E35/C35)</f>
        <v>-9.6730151807861334E-2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1437426</v>
      </c>
      <c r="D38" s="146">
        <v>1416516</v>
      </c>
      <c r="E38" s="146">
        <f>+D38-C38</f>
        <v>-20910</v>
      </c>
      <c r="F38" s="150">
        <f>IF(C38=0,0,E38/C38)</f>
        <v>-1.4546835802329999E-2</v>
      </c>
    </row>
    <row r="39" spans="1:7" ht="15" customHeight="1" x14ac:dyDescent="0.2">
      <c r="A39" s="141">
        <v>2</v>
      </c>
      <c r="B39" s="149" t="s">
        <v>179</v>
      </c>
      <c r="C39" s="146">
        <v>2526854</v>
      </c>
      <c r="D39" s="146">
        <v>2148856</v>
      </c>
      <c r="E39" s="146">
        <f>+D39-C39</f>
        <v>-377998</v>
      </c>
      <c r="F39" s="150">
        <f>IF(C39=0,0,E39/C39)</f>
        <v>-0.14959233893212667</v>
      </c>
    </row>
    <row r="40" spans="1:7" ht="15" customHeight="1" x14ac:dyDescent="0.2">
      <c r="A40" s="141">
        <v>3</v>
      </c>
      <c r="B40" s="149" t="s">
        <v>180</v>
      </c>
      <c r="C40" s="146">
        <v>9526</v>
      </c>
      <c r="D40" s="146">
        <v>9526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3973806</v>
      </c>
      <c r="D41" s="147">
        <f>SUM(D38:D40)</f>
        <v>3574898</v>
      </c>
      <c r="E41" s="147">
        <f>+D41-C41</f>
        <v>-398908</v>
      </c>
      <c r="F41" s="148">
        <f>IF(C41=0,0,E41/C41)</f>
        <v>-0.10038436702747945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6998451</v>
      </c>
      <c r="D44" s="146">
        <v>6738669</v>
      </c>
      <c r="E44" s="146">
        <f>+D44-C44</f>
        <v>-259782</v>
      </c>
      <c r="F44" s="150">
        <f>IF(C44=0,0,E44/C44)</f>
        <v>-3.7119928395583535E-2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280961</v>
      </c>
      <c r="D47" s="146">
        <v>230967</v>
      </c>
      <c r="E47" s="146">
        <f>+D47-C47</f>
        <v>-49994</v>
      </c>
      <c r="F47" s="150">
        <f>IF(C47=0,0,E47/C47)</f>
        <v>-0.17793928694729874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1524271</v>
      </c>
      <c r="D50" s="146">
        <v>1306068</v>
      </c>
      <c r="E50" s="146">
        <f>+D50-C50</f>
        <v>-218203</v>
      </c>
      <c r="F50" s="150">
        <f>IF(C50=0,0,E50/C50)</f>
        <v>-0.14315236595067413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60420</v>
      </c>
      <c r="D53" s="146">
        <v>67362</v>
      </c>
      <c r="E53" s="146">
        <f t="shared" ref="E53:E59" si="0">+D53-C53</f>
        <v>6942</v>
      </c>
      <c r="F53" s="150">
        <f t="shared" ref="F53:F59" si="1">IF(C53=0,0,E53/C53)</f>
        <v>0.11489572989076464</v>
      </c>
    </row>
    <row r="54" spans="1:7" ht="15" customHeight="1" x14ac:dyDescent="0.2">
      <c r="A54" s="141">
        <v>2</v>
      </c>
      <c r="B54" s="149" t="s">
        <v>193</v>
      </c>
      <c r="C54" s="146">
        <v>454680</v>
      </c>
      <c r="D54" s="146">
        <v>434036</v>
      </c>
      <c r="E54" s="146">
        <f t="shared" si="0"/>
        <v>-20644</v>
      </c>
      <c r="F54" s="150">
        <f t="shared" si="1"/>
        <v>-4.5403360605260845E-2</v>
      </c>
    </row>
    <row r="55" spans="1:7" ht="15" customHeight="1" x14ac:dyDescent="0.2">
      <c r="A55" s="141">
        <v>3</v>
      </c>
      <c r="B55" s="149" t="s">
        <v>194</v>
      </c>
      <c r="C55" s="146">
        <v>33206</v>
      </c>
      <c r="D55" s="146">
        <v>7243</v>
      </c>
      <c r="E55" s="146">
        <f t="shared" si="0"/>
        <v>-25963</v>
      </c>
      <c r="F55" s="150">
        <f t="shared" si="1"/>
        <v>-0.78187676925856775</v>
      </c>
    </row>
    <row r="56" spans="1:7" ht="15" customHeight="1" x14ac:dyDescent="0.2">
      <c r="A56" s="141">
        <v>4</v>
      </c>
      <c r="B56" s="149" t="s">
        <v>195</v>
      </c>
      <c r="C56" s="146">
        <v>1057250</v>
      </c>
      <c r="D56" s="146">
        <v>1119777</v>
      </c>
      <c r="E56" s="146">
        <f t="shared" si="0"/>
        <v>62527</v>
      </c>
      <c r="F56" s="150">
        <f t="shared" si="1"/>
        <v>5.9141168124852213E-2</v>
      </c>
    </row>
    <row r="57" spans="1:7" ht="15" customHeight="1" x14ac:dyDescent="0.2">
      <c r="A57" s="141">
        <v>5</v>
      </c>
      <c r="B57" s="149" t="s">
        <v>196</v>
      </c>
      <c r="C57" s="146">
        <v>69045</v>
      </c>
      <c r="D57" s="146">
        <v>75115</v>
      </c>
      <c r="E57" s="146">
        <f t="shared" si="0"/>
        <v>6070</v>
      </c>
      <c r="F57" s="150">
        <f t="shared" si="1"/>
        <v>8.7913679484394242E-2</v>
      </c>
    </row>
    <row r="58" spans="1:7" ht="15" customHeight="1" x14ac:dyDescent="0.2">
      <c r="A58" s="141">
        <v>6</v>
      </c>
      <c r="B58" s="149" t="s">
        <v>197</v>
      </c>
      <c r="C58" s="146">
        <v>38794</v>
      </c>
      <c r="D58" s="146">
        <v>46255</v>
      </c>
      <c r="E58" s="146">
        <f t="shared" si="0"/>
        <v>7461</v>
      </c>
      <c r="F58" s="150">
        <f t="shared" si="1"/>
        <v>0.19232355518894675</v>
      </c>
    </row>
    <row r="59" spans="1:7" ht="15.75" customHeight="1" x14ac:dyDescent="0.25">
      <c r="A59" s="141"/>
      <c r="B59" s="151" t="s">
        <v>198</v>
      </c>
      <c r="C59" s="147">
        <f>SUM(C53:C58)</f>
        <v>1713395</v>
      </c>
      <c r="D59" s="147">
        <f>SUM(D53:D58)</f>
        <v>1749788</v>
      </c>
      <c r="E59" s="147">
        <f t="shared" si="0"/>
        <v>36393</v>
      </c>
      <c r="F59" s="148">
        <f t="shared" si="1"/>
        <v>2.1240286098652091E-2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118524</v>
      </c>
      <c r="D62" s="146">
        <v>152065</v>
      </c>
      <c r="E62" s="146">
        <f t="shared" ref="E62:E78" si="2">+D62-C62</f>
        <v>33541</v>
      </c>
      <c r="F62" s="150">
        <f t="shared" ref="F62:F78" si="3">IF(C62=0,0,E62/C62)</f>
        <v>0.28298909925415949</v>
      </c>
    </row>
    <row r="63" spans="1:7" ht="15" customHeight="1" x14ac:dyDescent="0.2">
      <c r="A63" s="141">
        <v>2</v>
      </c>
      <c r="B63" s="149" t="s">
        <v>202</v>
      </c>
      <c r="C63" s="146">
        <v>126276</v>
      </c>
      <c r="D63" s="146">
        <v>79422</v>
      </c>
      <c r="E63" s="146">
        <f t="shared" si="2"/>
        <v>-46854</v>
      </c>
      <c r="F63" s="150">
        <f t="shared" si="3"/>
        <v>-0.37104437897937853</v>
      </c>
    </row>
    <row r="64" spans="1:7" ht="15" customHeight="1" x14ac:dyDescent="0.2">
      <c r="A64" s="141">
        <v>3</v>
      </c>
      <c r="B64" s="149" t="s">
        <v>203</v>
      </c>
      <c r="C64" s="146">
        <v>315428</v>
      </c>
      <c r="D64" s="146">
        <v>458660</v>
      </c>
      <c r="E64" s="146">
        <f t="shared" si="2"/>
        <v>143232</v>
      </c>
      <c r="F64" s="150">
        <f t="shared" si="3"/>
        <v>0.45408777914452741</v>
      </c>
    </row>
    <row r="65" spans="1:7" ht="15" customHeight="1" x14ac:dyDescent="0.2">
      <c r="A65" s="141">
        <v>4</v>
      </c>
      <c r="B65" s="149" t="s">
        <v>204</v>
      </c>
      <c r="C65" s="146">
        <v>193914</v>
      </c>
      <c r="D65" s="146">
        <v>201990</v>
      </c>
      <c r="E65" s="146">
        <f t="shared" si="2"/>
        <v>8076</v>
      </c>
      <c r="F65" s="150">
        <f t="shared" si="3"/>
        <v>4.1647328197035802E-2</v>
      </c>
    </row>
    <row r="66" spans="1:7" ht="15" customHeight="1" x14ac:dyDescent="0.2">
      <c r="A66" s="141">
        <v>5</v>
      </c>
      <c r="B66" s="149" t="s">
        <v>205</v>
      </c>
      <c r="C66" s="146">
        <v>222618</v>
      </c>
      <c r="D66" s="146">
        <v>220500</v>
      </c>
      <c r="E66" s="146">
        <f t="shared" si="2"/>
        <v>-2118</v>
      </c>
      <c r="F66" s="150">
        <f t="shared" si="3"/>
        <v>-9.5140554672128938E-3</v>
      </c>
    </row>
    <row r="67" spans="1:7" ht="15" customHeight="1" x14ac:dyDescent="0.2">
      <c r="A67" s="141">
        <v>6</v>
      </c>
      <c r="B67" s="149" t="s">
        <v>206</v>
      </c>
      <c r="C67" s="146">
        <v>128331</v>
      </c>
      <c r="D67" s="146">
        <v>133589</v>
      </c>
      <c r="E67" s="146">
        <f t="shared" si="2"/>
        <v>5258</v>
      </c>
      <c r="F67" s="150">
        <f t="shared" si="3"/>
        <v>4.0972173520038027E-2</v>
      </c>
    </row>
    <row r="68" spans="1:7" ht="15" customHeight="1" x14ac:dyDescent="0.2">
      <c r="A68" s="141">
        <v>7</v>
      </c>
      <c r="B68" s="149" t="s">
        <v>207</v>
      </c>
      <c r="C68" s="146">
        <v>293939</v>
      </c>
      <c r="D68" s="146">
        <v>408363</v>
      </c>
      <c r="E68" s="146">
        <f t="shared" si="2"/>
        <v>114424</v>
      </c>
      <c r="F68" s="150">
        <f t="shared" si="3"/>
        <v>0.389278047486043</v>
      </c>
    </row>
    <row r="69" spans="1:7" ht="15" customHeight="1" x14ac:dyDescent="0.2">
      <c r="A69" s="141">
        <v>8</v>
      </c>
      <c r="B69" s="149" t="s">
        <v>208</v>
      </c>
      <c r="C69" s="146">
        <v>239368</v>
      </c>
      <c r="D69" s="146">
        <v>211121</v>
      </c>
      <c r="E69" s="146">
        <f t="shared" si="2"/>
        <v>-28247</v>
      </c>
      <c r="F69" s="150">
        <f t="shared" si="3"/>
        <v>-0.11800658400454531</v>
      </c>
    </row>
    <row r="70" spans="1:7" ht="15" customHeight="1" x14ac:dyDescent="0.2">
      <c r="A70" s="141">
        <v>9</v>
      </c>
      <c r="B70" s="149" t="s">
        <v>209</v>
      </c>
      <c r="C70" s="146">
        <v>19115</v>
      </c>
      <c r="D70" s="146">
        <v>18029</v>
      </c>
      <c r="E70" s="146">
        <f t="shared" si="2"/>
        <v>-1086</v>
      </c>
      <c r="F70" s="150">
        <f t="shared" si="3"/>
        <v>-5.6814020402825009E-2</v>
      </c>
    </row>
    <row r="71" spans="1:7" ht="15" customHeight="1" x14ac:dyDescent="0.2">
      <c r="A71" s="141">
        <v>10</v>
      </c>
      <c r="B71" s="149" t="s">
        <v>210</v>
      </c>
      <c r="C71" s="146">
        <v>29999</v>
      </c>
      <c r="D71" s="146">
        <v>11585</v>
      </c>
      <c r="E71" s="146">
        <f t="shared" si="2"/>
        <v>-18414</v>
      </c>
      <c r="F71" s="150">
        <f t="shared" si="3"/>
        <v>-0.61382046068202278</v>
      </c>
    </row>
    <row r="72" spans="1:7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7" ht="15" customHeight="1" x14ac:dyDescent="0.2">
      <c r="A73" s="141">
        <v>12</v>
      </c>
      <c r="B73" s="149" t="s">
        <v>212</v>
      </c>
      <c r="C73" s="146">
        <v>1847777</v>
      </c>
      <c r="D73" s="146">
        <v>1415187</v>
      </c>
      <c r="E73" s="146">
        <f t="shared" si="2"/>
        <v>-432590</v>
      </c>
      <c r="F73" s="150">
        <f t="shared" si="3"/>
        <v>-0.2341137485746386</v>
      </c>
    </row>
    <row r="74" spans="1:7" ht="15" customHeight="1" x14ac:dyDescent="0.2">
      <c r="A74" s="141">
        <v>13</v>
      </c>
      <c r="B74" s="149" t="s">
        <v>213</v>
      </c>
      <c r="C74" s="146">
        <v>112144</v>
      </c>
      <c r="D74" s="146">
        <v>140277</v>
      </c>
      <c r="E74" s="146">
        <f t="shared" si="2"/>
        <v>28133</v>
      </c>
      <c r="F74" s="150">
        <f t="shared" si="3"/>
        <v>0.25086495933799402</v>
      </c>
    </row>
    <row r="75" spans="1:7" ht="15" customHeight="1" x14ac:dyDescent="0.2">
      <c r="A75" s="141">
        <v>14</v>
      </c>
      <c r="B75" s="149" t="s">
        <v>214</v>
      </c>
      <c r="C75" s="146">
        <v>48956</v>
      </c>
      <c r="D75" s="146">
        <v>45732</v>
      </c>
      <c r="E75" s="146">
        <f t="shared" si="2"/>
        <v>-3224</v>
      </c>
      <c r="F75" s="150">
        <f t="shared" si="3"/>
        <v>-6.5855053517444237E-2</v>
      </c>
    </row>
    <row r="76" spans="1:7" ht="15" customHeight="1" x14ac:dyDescent="0.2">
      <c r="A76" s="141">
        <v>15</v>
      </c>
      <c r="B76" s="149" t="s">
        <v>215</v>
      </c>
      <c r="C76" s="146">
        <v>155479</v>
      </c>
      <c r="D76" s="146">
        <v>93721</v>
      </c>
      <c r="E76" s="146">
        <f t="shared" si="2"/>
        <v>-61758</v>
      </c>
      <c r="F76" s="150">
        <f t="shared" si="3"/>
        <v>-0.3972111989400498</v>
      </c>
    </row>
    <row r="77" spans="1:7" ht="15" customHeight="1" x14ac:dyDescent="0.2">
      <c r="A77" s="141">
        <v>16</v>
      </c>
      <c r="B77" s="149" t="s">
        <v>216</v>
      </c>
      <c r="C77" s="146">
        <v>3988027</v>
      </c>
      <c r="D77" s="146">
        <v>3982124</v>
      </c>
      <c r="E77" s="146">
        <f t="shared" si="2"/>
        <v>-5903</v>
      </c>
      <c r="F77" s="150">
        <f t="shared" si="3"/>
        <v>-1.4801805504325823E-3</v>
      </c>
    </row>
    <row r="78" spans="1:7" ht="15.75" customHeight="1" x14ac:dyDescent="0.25">
      <c r="A78" s="141"/>
      <c r="B78" s="151" t="s">
        <v>217</v>
      </c>
      <c r="C78" s="147">
        <f>SUM(C62:C77)</f>
        <v>7839895</v>
      </c>
      <c r="D78" s="147">
        <f>SUM(D62:D77)</f>
        <v>7572365</v>
      </c>
      <c r="E78" s="147">
        <f t="shared" si="2"/>
        <v>-267530</v>
      </c>
      <c r="F78" s="148">
        <f t="shared" si="3"/>
        <v>-3.4124181510083999E-2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1717331</v>
      </c>
      <c r="D81" s="146">
        <v>1639427</v>
      </c>
      <c r="E81" s="146">
        <f>+D81-C81</f>
        <v>-77904</v>
      </c>
      <c r="F81" s="150">
        <f>IF(C81=0,0,E81/C81)</f>
        <v>-4.536341567234272E-2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88487473</v>
      </c>
      <c r="D83" s="147">
        <f>+D81+D78+D59+D50+D47+D44+D41+D35+D30+D24+D18</f>
        <v>86047738</v>
      </c>
      <c r="E83" s="147">
        <f>+D83-C83</f>
        <v>-2439735</v>
      </c>
      <c r="F83" s="148">
        <f>IF(C83=0,0,E83/C83)</f>
        <v>-2.7571529814169288E-2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2312432</v>
      </c>
      <c r="D91" s="146">
        <v>2304717</v>
      </c>
      <c r="E91" s="146">
        <f t="shared" ref="E91:E109" si="4">D91-C91</f>
        <v>-7715</v>
      </c>
      <c r="F91" s="150">
        <f t="shared" ref="F91:F109" si="5">IF(C91=0,0,E91/C91)</f>
        <v>-3.3363143218914115E-3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791366</v>
      </c>
      <c r="D92" s="146">
        <v>609156</v>
      </c>
      <c r="E92" s="146">
        <f t="shared" si="4"/>
        <v>-182210</v>
      </c>
      <c r="F92" s="150">
        <f t="shared" si="5"/>
        <v>-0.23024744555616491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1730839</v>
      </c>
      <c r="D93" s="146">
        <v>1752076</v>
      </c>
      <c r="E93" s="146">
        <f t="shared" si="4"/>
        <v>21237</v>
      </c>
      <c r="F93" s="150">
        <f t="shared" si="5"/>
        <v>1.2269772058521908E-2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708612</v>
      </c>
      <c r="D94" s="146">
        <v>717717</v>
      </c>
      <c r="E94" s="146">
        <f t="shared" si="4"/>
        <v>9105</v>
      </c>
      <c r="F94" s="150">
        <f t="shared" si="5"/>
        <v>1.2849062674637177E-2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1532804</v>
      </c>
      <c r="D95" s="146">
        <v>2375652</v>
      </c>
      <c r="E95" s="146">
        <f t="shared" si="4"/>
        <v>842848</v>
      </c>
      <c r="F95" s="150">
        <f t="shared" si="5"/>
        <v>0.54987330408845492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535459</v>
      </c>
      <c r="D96" s="146">
        <v>360447</v>
      </c>
      <c r="E96" s="146">
        <f t="shared" si="4"/>
        <v>-175012</v>
      </c>
      <c r="F96" s="150">
        <f t="shared" si="5"/>
        <v>-0.32684481911780361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419684</v>
      </c>
      <c r="D97" s="146">
        <v>343691</v>
      </c>
      <c r="E97" s="146">
        <f t="shared" si="4"/>
        <v>-75993</v>
      </c>
      <c r="F97" s="150">
        <f t="shared" si="5"/>
        <v>-0.18107194937143184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253775</v>
      </c>
      <c r="D98" s="146">
        <v>143099</v>
      </c>
      <c r="E98" s="146">
        <f t="shared" si="4"/>
        <v>-110676</v>
      </c>
      <c r="F98" s="150">
        <f t="shared" si="5"/>
        <v>-0.43611860900403904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344641</v>
      </c>
      <c r="D99" s="146">
        <v>203312</v>
      </c>
      <c r="E99" s="146">
        <f t="shared" si="4"/>
        <v>-141329</v>
      </c>
      <c r="F99" s="150">
        <f t="shared" si="5"/>
        <v>-0.41007599211933576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2477607</v>
      </c>
      <c r="D100" s="146">
        <v>1712297</v>
      </c>
      <c r="E100" s="146">
        <f t="shared" si="4"/>
        <v>-765310</v>
      </c>
      <c r="F100" s="150">
        <f t="shared" si="5"/>
        <v>-0.3088907966436969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1574723</v>
      </c>
      <c r="D101" s="146">
        <v>1207563</v>
      </c>
      <c r="E101" s="146">
        <f t="shared" si="4"/>
        <v>-367160</v>
      </c>
      <c r="F101" s="150">
        <f t="shared" si="5"/>
        <v>-0.23315846660015763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150895</v>
      </c>
      <c r="D102" s="146">
        <v>42954</v>
      </c>
      <c r="E102" s="146">
        <f t="shared" si="4"/>
        <v>-107941</v>
      </c>
      <c r="F102" s="150">
        <f t="shared" si="5"/>
        <v>-0.71533848040027836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3005955</v>
      </c>
      <c r="D103" s="146">
        <v>3517772</v>
      </c>
      <c r="E103" s="146">
        <f t="shared" si="4"/>
        <v>511817</v>
      </c>
      <c r="F103" s="150">
        <f t="shared" si="5"/>
        <v>0.17026768531132369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265425</v>
      </c>
      <c r="D104" s="146">
        <v>252070</v>
      </c>
      <c r="E104" s="146">
        <f t="shared" si="4"/>
        <v>-13355</v>
      </c>
      <c r="F104" s="150">
        <f t="shared" si="5"/>
        <v>-5.0315531694452291E-2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1170546</v>
      </c>
      <c r="D105" s="146">
        <v>808528</v>
      </c>
      <c r="E105" s="146">
        <f t="shared" si="4"/>
        <v>-362018</v>
      </c>
      <c r="F105" s="150">
        <f t="shared" si="5"/>
        <v>-0.30927276672595522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446730</v>
      </c>
      <c r="D106" s="146">
        <v>369318</v>
      </c>
      <c r="E106" s="146">
        <f t="shared" si="4"/>
        <v>-77412</v>
      </c>
      <c r="F106" s="150">
        <f t="shared" si="5"/>
        <v>-0.173285877375596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3162595</v>
      </c>
      <c r="D107" s="146">
        <v>2468833</v>
      </c>
      <c r="E107" s="146">
        <f t="shared" si="4"/>
        <v>-693762</v>
      </c>
      <c r="F107" s="150">
        <f t="shared" si="5"/>
        <v>-0.21936479378485074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10727590</v>
      </c>
      <c r="D108" s="146">
        <v>16241620</v>
      </c>
      <c r="E108" s="146">
        <f t="shared" si="4"/>
        <v>5514030</v>
      </c>
      <c r="F108" s="150">
        <f t="shared" si="5"/>
        <v>0.5140045434249445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31611678</v>
      </c>
      <c r="D109" s="147">
        <f>SUM(D91:D108)</f>
        <v>35430822</v>
      </c>
      <c r="E109" s="147">
        <f t="shared" si="4"/>
        <v>3819144</v>
      </c>
      <c r="F109" s="148">
        <f t="shared" si="5"/>
        <v>0.12081433956147472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844711</v>
      </c>
      <c r="D112" s="146">
        <v>708660</v>
      </c>
      <c r="E112" s="146">
        <f t="shared" ref="E112:E118" si="6">D112-C112</f>
        <v>-136051</v>
      </c>
      <c r="F112" s="150">
        <f t="shared" ref="F112:F118" si="7">IF(C112=0,0,E112/C112)</f>
        <v>-0.16106218576530909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1728828</v>
      </c>
      <c r="D114" s="146">
        <v>1299161</v>
      </c>
      <c r="E114" s="146">
        <f t="shared" si="6"/>
        <v>-429667</v>
      </c>
      <c r="F114" s="150">
        <f t="shared" si="7"/>
        <v>-0.24853079658589519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1340597</v>
      </c>
      <c r="D115" s="146">
        <v>1223821</v>
      </c>
      <c r="E115" s="146">
        <f t="shared" si="6"/>
        <v>-116776</v>
      </c>
      <c r="F115" s="150">
        <f t="shared" si="7"/>
        <v>-8.7107460332971051E-2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445418</v>
      </c>
      <c r="D116" s="146">
        <v>328011</v>
      </c>
      <c r="E116" s="146">
        <f t="shared" si="6"/>
        <v>-117407</v>
      </c>
      <c r="F116" s="150">
        <f t="shared" si="7"/>
        <v>-0.26358835969808136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4359554</v>
      </c>
      <c r="D118" s="147">
        <f>SUM(D112:D117)</f>
        <v>3559653</v>
      </c>
      <c r="E118" s="147">
        <f t="shared" si="6"/>
        <v>-799901</v>
      </c>
      <c r="F118" s="148">
        <f t="shared" si="7"/>
        <v>-0.18348230117117484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2517466</v>
      </c>
      <c r="D121" s="146">
        <v>2195825</v>
      </c>
      <c r="E121" s="146">
        <f t="shared" ref="E121:E155" si="8">D121-C121</f>
        <v>-321641</v>
      </c>
      <c r="F121" s="150">
        <f t="shared" ref="F121:F155" si="9">IF(C121=0,0,E121/C121)</f>
        <v>-0.12776379105020683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637396</v>
      </c>
      <c r="D122" s="146">
        <v>450338</v>
      </c>
      <c r="E122" s="146">
        <f t="shared" si="8"/>
        <v>-187058</v>
      </c>
      <c r="F122" s="150">
        <f t="shared" si="9"/>
        <v>-0.29347218997295244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184054</v>
      </c>
      <c r="D123" s="146">
        <v>152066</v>
      </c>
      <c r="E123" s="146">
        <f t="shared" si="8"/>
        <v>-31988</v>
      </c>
      <c r="F123" s="150">
        <f t="shared" si="9"/>
        <v>-0.17379682049833201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280487</v>
      </c>
      <c r="D124" s="146">
        <v>203647</v>
      </c>
      <c r="E124" s="146">
        <f t="shared" si="8"/>
        <v>-76840</v>
      </c>
      <c r="F124" s="150">
        <f t="shared" si="9"/>
        <v>-0.27395209047121616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3816866</v>
      </c>
      <c r="D125" s="146">
        <v>3769278</v>
      </c>
      <c r="E125" s="146">
        <f t="shared" si="8"/>
        <v>-47588</v>
      </c>
      <c r="F125" s="150">
        <f t="shared" si="9"/>
        <v>-1.2467820457935909E-2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646174</v>
      </c>
      <c r="D126" s="146">
        <v>422721</v>
      </c>
      <c r="E126" s="146">
        <f t="shared" si="8"/>
        <v>-223453</v>
      </c>
      <c r="F126" s="150">
        <f t="shared" si="9"/>
        <v>-0.34580933308984885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0</v>
      </c>
      <c r="D128" s="146">
        <v>0</v>
      </c>
      <c r="E128" s="146">
        <f t="shared" si="8"/>
        <v>0</v>
      </c>
      <c r="F128" s="150">
        <f t="shared" si="9"/>
        <v>0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806080</v>
      </c>
      <c r="D129" s="146">
        <v>642177</v>
      </c>
      <c r="E129" s="146">
        <f t="shared" si="8"/>
        <v>-163903</v>
      </c>
      <c r="F129" s="150">
        <f t="shared" si="9"/>
        <v>-0.20333341603811037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5073334</v>
      </c>
      <c r="D130" s="146">
        <v>4926024</v>
      </c>
      <c r="E130" s="146">
        <f t="shared" si="8"/>
        <v>-147310</v>
      </c>
      <c r="F130" s="150">
        <f t="shared" si="9"/>
        <v>-2.9036132846763096E-2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319257</v>
      </c>
      <c r="D133" s="146">
        <v>242510</v>
      </c>
      <c r="E133" s="146">
        <f t="shared" si="8"/>
        <v>-76747</v>
      </c>
      <c r="F133" s="150">
        <f t="shared" si="9"/>
        <v>-0.24039253642050135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24994</v>
      </c>
      <c r="D134" s="146">
        <v>17672</v>
      </c>
      <c r="E134" s="146">
        <f t="shared" si="8"/>
        <v>-7322</v>
      </c>
      <c r="F134" s="150">
        <f t="shared" si="9"/>
        <v>-0.29295030807393774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125396</v>
      </c>
      <c r="D135" s="146">
        <v>93972</v>
      </c>
      <c r="E135" s="146">
        <f t="shared" si="8"/>
        <v>-31424</v>
      </c>
      <c r="F135" s="150">
        <f t="shared" si="9"/>
        <v>-0.2505981052027178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35535</v>
      </c>
      <c r="D136" s="146">
        <v>23473</v>
      </c>
      <c r="E136" s="146">
        <f t="shared" si="8"/>
        <v>-12062</v>
      </c>
      <c r="F136" s="150">
        <f t="shared" si="9"/>
        <v>-0.33943998874349235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1368099</v>
      </c>
      <c r="D138" s="146">
        <v>912404</v>
      </c>
      <c r="E138" s="146">
        <f t="shared" si="8"/>
        <v>-455695</v>
      </c>
      <c r="F138" s="150">
        <f t="shared" si="9"/>
        <v>-0.33308627518914935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184382</v>
      </c>
      <c r="D139" s="146">
        <v>161553</v>
      </c>
      <c r="E139" s="146">
        <f t="shared" si="8"/>
        <v>-22829</v>
      </c>
      <c r="F139" s="150">
        <f t="shared" si="9"/>
        <v>-0.12381360436485123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1197619</v>
      </c>
      <c r="D140" s="146">
        <v>1482952</v>
      </c>
      <c r="E140" s="146">
        <f t="shared" si="8"/>
        <v>285333</v>
      </c>
      <c r="F140" s="150">
        <f t="shared" si="9"/>
        <v>0.23825022816104288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8954858</v>
      </c>
      <c r="D144" s="146">
        <v>8888169</v>
      </c>
      <c r="E144" s="146">
        <f t="shared" si="8"/>
        <v>-66689</v>
      </c>
      <c r="F144" s="150">
        <f t="shared" si="9"/>
        <v>-7.4472426028419436E-3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504784</v>
      </c>
      <c r="D145" s="146">
        <v>406277</v>
      </c>
      <c r="E145" s="146">
        <f t="shared" si="8"/>
        <v>-98507</v>
      </c>
      <c r="F145" s="150">
        <f t="shared" si="9"/>
        <v>-0.19514683508193603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107436</v>
      </c>
      <c r="D146" s="146">
        <v>89360</v>
      </c>
      <c r="E146" s="146">
        <f t="shared" si="8"/>
        <v>-18076</v>
      </c>
      <c r="F146" s="150">
        <f t="shared" si="9"/>
        <v>-0.16824900405823001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703242</v>
      </c>
      <c r="D148" s="146">
        <v>616383</v>
      </c>
      <c r="E148" s="146">
        <f t="shared" si="8"/>
        <v>-86859</v>
      </c>
      <c r="F148" s="150">
        <f t="shared" si="9"/>
        <v>-0.12351224756200568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361389</v>
      </c>
      <c r="D152" s="146">
        <v>350250</v>
      </c>
      <c r="E152" s="146">
        <f t="shared" si="8"/>
        <v>-11139</v>
      </c>
      <c r="F152" s="150">
        <f t="shared" si="9"/>
        <v>-3.0822742252807917E-2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7385980</v>
      </c>
      <c r="D154" s="146">
        <v>8856237</v>
      </c>
      <c r="E154" s="146">
        <f t="shared" si="8"/>
        <v>1470257</v>
      </c>
      <c r="F154" s="150">
        <f t="shared" si="9"/>
        <v>0.19906051735856312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35234828</v>
      </c>
      <c r="D155" s="147">
        <f>SUM(D121:D154)</f>
        <v>34903288</v>
      </c>
      <c r="E155" s="147">
        <f t="shared" si="8"/>
        <v>-331540</v>
      </c>
      <c r="F155" s="148">
        <f t="shared" si="9"/>
        <v>-9.4094400006720629E-3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9867510</v>
      </c>
      <c r="D158" s="146">
        <v>7085788</v>
      </c>
      <c r="E158" s="146">
        <f t="shared" ref="E158:E171" si="10">D158-C158</f>
        <v>-2781722</v>
      </c>
      <c r="F158" s="150">
        <f t="shared" ref="F158:F171" si="11">IF(C158=0,0,E158/C158)</f>
        <v>-0.28190718833829403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3262030</v>
      </c>
      <c r="D159" s="146">
        <v>2489688</v>
      </c>
      <c r="E159" s="146">
        <f t="shared" si="10"/>
        <v>-772342</v>
      </c>
      <c r="F159" s="150">
        <f t="shared" si="11"/>
        <v>-0.23676728908072581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0</v>
      </c>
      <c r="D161" s="146">
        <v>0</v>
      </c>
      <c r="E161" s="146">
        <f t="shared" si="10"/>
        <v>0</v>
      </c>
      <c r="F161" s="150">
        <f t="shared" si="11"/>
        <v>0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1308027</v>
      </c>
      <c r="D163" s="146">
        <v>977506</v>
      </c>
      <c r="E163" s="146">
        <f t="shared" si="10"/>
        <v>-330521</v>
      </c>
      <c r="F163" s="150">
        <f t="shared" si="11"/>
        <v>-0.25268668001501499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1308027</v>
      </c>
      <c r="D164" s="146">
        <v>977506</v>
      </c>
      <c r="E164" s="146">
        <f t="shared" si="10"/>
        <v>-330521</v>
      </c>
      <c r="F164" s="150">
        <f t="shared" si="11"/>
        <v>-0.25268668001501499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1535819</v>
      </c>
      <c r="D167" s="146">
        <v>623487</v>
      </c>
      <c r="E167" s="146">
        <f t="shared" si="10"/>
        <v>-912332</v>
      </c>
      <c r="F167" s="150">
        <f t="shared" si="11"/>
        <v>-0.59403614618649725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17281413</v>
      </c>
      <c r="D171" s="147">
        <f>SUM(D158:D170)</f>
        <v>12153975</v>
      </c>
      <c r="E171" s="147">
        <f t="shared" si="10"/>
        <v>-5127438</v>
      </c>
      <c r="F171" s="148">
        <f t="shared" si="11"/>
        <v>-0.29670247450251896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88487473</v>
      </c>
      <c r="D176" s="147">
        <f>+D174+D171+D155+D118+D109</f>
        <v>86047738</v>
      </c>
      <c r="E176" s="147">
        <f>D176-C176</f>
        <v>-2439735</v>
      </c>
      <c r="F176" s="148">
        <f>IF(C176=0,0,E176/C176)</f>
        <v>-2.7571529814169288E-2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FILING&amp;RMILFORD HOSPITAL</oddHeader>
    <oddFooter>&amp;LREPORT 175&amp;CPAGE &amp;P of &amp;N&amp;R&amp;D, &amp;T</oddFooter>
  </headerFooter>
  <rowBreaks count="1" manualBreakCount="1">
    <brk id="7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83253020</v>
      </c>
      <c r="D11" s="164">
        <v>82468718</v>
      </c>
      <c r="E11" s="51">
        <v>78229898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974502</v>
      </c>
      <c r="D12" s="49">
        <v>1109354</v>
      </c>
      <c r="E12" s="49">
        <v>1165893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84227522</v>
      </c>
      <c r="D13" s="51">
        <f>+D11+D12</f>
        <v>83578072</v>
      </c>
      <c r="E13" s="51">
        <f>+E11+E12</f>
        <v>79395791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85362191</v>
      </c>
      <c r="D14" s="49">
        <v>88487473</v>
      </c>
      <c r="E14" s="49">
        <v>86047738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-1134669</v>
      </c>
      <c r="D15" s="51">
        <f>+D13-D14</f>
        <v>-4909401</v>
      </c>
      <c r="E15" s="51">
        <f>+E13-E14</f>
        <v>-6651947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-3919816</v>
      </c>
      <c r="D16" s="49">
        <v>1282609</v>
      </c>
      <c r="E16" s="49">
        <v>2825570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-5054485</v>
      </c>
      <c r="D17" s="51">
        <f>D15+D16</f>
        <v>-3626792</v>
      </c>
      <c r="E17" s="51">
        <f>E15+E16</f>
        <v>-3826377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-1.4129017705972077E-2</v>
      </c>
      <c r="D20" s="169">
        <f>IF(+D27=0,0,+D24/+D27)</f>
        <v>-5.7852481763609701E-2</v>
      </c>
      <c r="E20" s="169">
        <f>IF(+E27=0,0,+E24/+E27)</f>
        <v>-8.0902905511379214E-2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-4.8809961026654157E-2</v>
      </c>
      <c r="D21" s="169">
        <f>IF(D27=0,0,+D26/D27)</f>
        <v>1.5114290680745303E-2</v>
      </c>
      <c r="E21" s="169">
        <f>IF(E27=0,0,+E26/E27)</f>
        <v>3.4365400494890862E-2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-6.293897873262623E-2</v>
      </c>
      <c r="D22" s="169">
        <f>IF(D27=0,0,+D28/D27)</f>
        <v>-4.2738191082864398E-2</v>
      </c>
      <c r="E22" s="169">
        <f>IF(E27=0,0,+E28/E27)</f>
        <v>-4.6537505016488352E-2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-1134669</v>
      </c>
      <c r="D24" s="51">
        <f>+D15</f>
        <v>-4909401</v>
      </c>
      <c r="E24" s="51">
        <f>+E15</f>
        <v>-6651947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84227522</v>
      </c>
      <c r="D25" s="51">
        <f>+D13</f>
        <v>83578072</v>
      </c>
      <c r="E25" s="51">
        <f>+E13</f>
        <v>79395791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-3919816</v>
      </c>
      <c r="D26" s="51">
        <f>+D16</f>
        <v>1282609</v>
      </c>
      <c r="E26" s="51">
        <f>+E16</f>
        <v>2825570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80307706</v>
      </c>
      <c r="D27" s="51">
        <f>+D25+D26</f>
        <v>84860681</v>
      </c>
      <c r="E27" s="51">
        <f>+E25+E26</f>
        <v>82221361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-5054485</v>
      </c>
      <c r="D28" s="51">
        <f>+D17</f>
        <v>-3626792</v>
      </c>
      <c r="E28" s="51">
        <f>+E17</f>
        <v>-3826377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47584605</v>
      </c>
      <c r="D31" s="51">
        <v>36805806</v>
      </c>
      <c r="E31" s="51">
        <v>25485476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48780238</v>
      </c>
      <c r="D32" s="51">
        <v>38098899</v>
      </c>
      <c r="E32" s="51">
        <v>26811974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-9666781</v>
      </c>
      <c r="D33" s="51">
        <f>+D32-C32</f>
        <v>-10681339</v>
      </c>
      <c r="E33" s="51">
        <f>+E32-D32</f>
        <v>-11286925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0.83460000000000001</v>
      </c>
      <c r="D34" s="171">
        <f>IF(C32=0,0,+D33/C32)</f>
        <v>-0.21896857083805127</v>
      </c>
      <c r="E34" s="171">
        <f>IF(D32=0,0,+E33/D32)</f>
        <v>-0.29625331167706448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0.3826522192564249</v>
      </c>
      <c r="D38" s="172">
        <f>IF((D40+D41)=0,0,+D39/(D40+D41))</f>
        <v>0.4024195752949255</v>
      </c>
      <c r="E38" s="172">
        <f>IF((E40+E41)=0,0,+E39/(E40+E41))</f>
        <v>0.41958948577364324</v>
      </c>
      <c r="F38" s="5"/>
    </row>
    <row r="39" spans="1:6" ht="24" customHeight="1" x14ac:dyDescent="0.2">
      <c r="A39" s="21">
        <v>2</v>
      </c>
      <c r="B39" s="48" t="s">
        <v>324</v>
      </c>
      <c r="C39" s="51">
        <v>85362191</v>
      </c>
      <c r="D39" s="51">
        <v>88487473</v>
      </c>
      <c r="E39" s="23">
        <v>86047738</v>
      </c>
      <c r="F39" s="5"/>
    </row>
    <row r="40" spans="1:6" ht="24" customHeight="1" x14ac:dyDescent="0.2">
      <c r="A40" s="21">
        <v>3</v>
      </c>
      <c r="B40" s="48" t="s">
        <v>325</v>
      </c>
      <c r="C40" s="51">
        <v>222377754</v>
      </c>
      <c r="D40" s="51">
        <v>219139563</v>
      </c>
      <c r="E40" s="23">
        <v>204296146</v>
      </c>
      <c r="F40" s="5"/>
    </row>
    <row r="41" spans="1:6" ht="24" customHeight="1" x14ac:dyDescent="0.2">
      <c r="A41" s="21">
        <v>4</v>
      </c>
      <c r="B41" s="48" t="s">
        <v>326</v>
      </c>
      <c r="C41" s="51">
        <v>702596</v>
      </c>
      <c r="D41" s="51">
        <v>749027</v>
      </c>
      <c r="E41" s="23">
        <v>779865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1.1363492560095112</v>
      </c>
      <c r="D43" s="173">
        <f>IF(D38=0,0,IF((D46-D47)=0,0,((+D44-D45)/(D46-D47)/D38)))</f>
        <v>1.06652475961176</v>
      </c>
      <c r="E43" s="173">
        <f>IF(E38=0,0,IF((E46-E47)=0,0,((+E44-E45)/(E46-E47)/E38)))</f>
        <v>1.0186047167780024</v>
      </c>
      <c r="F43" s="5"/>
    </row>
    <row r="44" spans="1:6" ht="24" customHeight="1" x14ac:dyDescent="0.2">
      <c r="A44" s="21">
        <v>6</v>
      </c>
      <c r="B44" s="48" t="s">
        <v>328</v>
      </c>
      <c r="C44" s="51">
        <v>39245547</v>
      </c>
      <c r="D44" s="51">
        <v>38100291</v>
      </c>
      <c r="E44" s="23">
        <v>35481811</v>
      </c>
      <c r="F44" s="5"/>
    </row>
    <row r="45" spans="1:6" ht="24" customHeight="1" x14ac:dyDescent="0.2">
      <c r="A45" s="21">
        <v>7</v>
      </c>
      <c r="B45" s="48" t="s">
        <v>329</v>
      </c>
      <c r="C45" s="51">
        <v>1754938</v>
      </c>
      <c r="D45" s="51">
        <v>650525</v>
      </c>
      <c r="E45" s="23">
        <v>343268</v>
      </c>
      <c r="F45" s="5"/>
    </row>
    <row r="46" spans="1:6" ht="24" customHeight="1" x14ac:dyDescent="0.2">
      <c r="A46" s="21">
        <v>8</v>
      </c>
      <c r="B46" s="48" t="s">
        <v>330</v>
      </c>
      <c r="C46" s="51">
        <v>93001708</v>
      </c>
      <c r="D46" s="51">
        <v>95067210</v>
      </c>
      <c r="E46" s="23">
        <v>87922426</v>
      </c>
      <c r="F46" s="5"/>
    </row>
    <row r="47" spans="1:6" ht="24" customHeight="1" x14ac:dyDescent="0.2">
      <c r="A47" s="21">
        <v>9</v>
      </c>
      <c r="B47" s="48" t="s">
        <v>331</v>
      </c>
      <c r="C47" s="51">
        <v>6782024</v>
      </c>
      <c r="D47" s="51">
        <v>7810453</v>
      </c>
      <c r="E47" s="174">
        <v>5706970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0.79474908717051229</v>
      </c>
      <c r="D49" s="175">
        <f>IF(D38=0,0,IF(D51=0,0,(D50/D51)/D38))</f>
        <v>0.7505244626144979</v>
      </c>
      <c r="E49" s="175">
        <f>IF(E38=0,0,IF(E51=0,0,(E50/E51)/E38))</f>
        <v>0.73961635765277867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34013967</v>
      </c>
      <c r="D50" s="176">
        <v>31844438</v>
      </c>
      <c r="E50" s="176">
        <v>30416739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111846658</v>
      </c>
      <c r="D51" s="176">
        <v>105436174</v>
      </c>
      <c r="E51" s="176">
        <v>98012518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0.51532765021997773</v>
      </c>
      <c r="D53" s="175">
        <f>IF(D38=0,0,IF(D55=0,0,(D54/D55)/D38))</f>
        <v>0.52793899907543296</v>
      </c>
      <c r="E53" s="175">
        <f>IF(E38=0,0,IF(E55=0,0,(E54/E55)/E38))</f>
        <v>0.54472865628874245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3375474</v>
      </c>
      <c r="D54" s="176">
        <v>3289737</v>
      </c>
      <c r="E54" s="176">
        <v>4005840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17117766</v>
      </c>
      <c r="D55" s="176">
        <v>15484541</v>
      </c>
      <c r="E55" s="176">
        <v>17526241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1928106.0891281774</v>
      </c>
      <c r="D57" s="53">
        <f>+D60*D38</f>
        <v>2865431.8052441194</v>
      </c>
      <c r="E57" s="53">
        <f>+E60*E38</f>
        <v>2952944.0848501977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165221</v>
      </c>
      <c r="D58" s="51">
        <v>122057</v>
      </c>
      <c r="E58" s="52">
        <v>299029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4873574</v>
      </c>
      <c r="D59" s="51">
        <v>6998451</v>
      </c>
      <c r="E59" s="52">
        <v>6738669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5038795</v>
      </c>
      <c r="D60" s="51">
        <v>7120508</v>
      </c>
      <c r="E60" s="52">
        <v>7037698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2.2587354735636733E-2</v>
      </c>
      <c r="D62" s="178">
        <f>IF(D63=0,0,+D57/D63)</f>
        <v>3.2382344168017087E-2</v>
      </c>
      <c r="E62" s="178">
        <f>IF(E63=0,0,+E57/E63)</f>
        <v>3.4317509715946257E-2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85362191</v>
      </c>
      <c r="D63" s="176">
        <v>88487473</v>
      </c>
      <c r="E63" s="176">
        <v>86047738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1.067209656945161</v>
      </c>
      <c r="D67" s="179">
        <f>IF(D69=0,0,D68/D69)</f>
        <v>1.0098034868364825</v>
      </c>
      <c r="E67" s="179">
        <f>IF(E69=0,0,E68/E69)</f>
        <v>0.94662795442454184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17111169</v>
      </c>
      <c r="D68" s="180">
        <v>16942905</v>
      </c>
      <c r="E68" s="180">
        <v>14844888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16033559</v>
      </c>
      <c r="D69" s="180">
        <v>16778418</v>
      </c>
      <c r="E69" s="180">
        <v>15681861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6.5564024767668707</v>
      </c>
      <c r="D71" s="181">
        <f>IF((D77/365)=0,0,+D74/(D77/365))</f>
        <v>5.6172535384129052</v>
      </c>
      <c r="E71" s="181">
        <f>IF((E77/365)=0,0,+E74/(E77/365))</f>
        <v>2.331878894918618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1243133</v>
      </c>
      <c r="D72" s="182">
        <v>1078653</v>
      </c>
      <c r="E72" s="182">
        <v>303667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218753</v>
      </c>
      <c r="D73" s="184">
        <v>221990</v>
      </c>
      <c r="E73" s="184">
        <v>223228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1461886</v>
      </c>
      <c r="D74" s="180">
        <f>+D72+D73</f>
        <v>1300643</v>
      </c>
      <c r="E74" s="180">
        <f>+E72+E73</f>
        <v>526895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85362191</v>
      </c>
      <c r="D75" s="180">
        <f>+D14</f>
        <v>88487473</v>
      </c>
      <c r="E75" s="180">
        <f>+E14</f>
        <v>86047738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3977866</v>
      </c>
      <c r="D76" s="180">
        <v>3973806</v>
      </c>
      <c r="E76" s="180">
        <v>3574898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81384325</v>
      </c>
      <c r="D77" s="180">
        <f>+D75-D76</f>
        <v>84513667</v>
      </c>
      <c r="E77" s="180">
        <f>+E75-E76</f>
        <v>82472840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48.898304289742285</v>
      </c>
      <c r="D79" s="179">
        <f>IF((D84/365)=0,0,+D83/(D84/365))</f>
        <v>49.407317632850798</v>
      </c>
      <c r="E79" s="179">
        <f>IF((E84/365)=0,0,+E83/(E84/365))</f>
        <v>48.250216816082265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13366597</v>
      </c>
      <c r="D80" s="189">
        <v>13535241</v>
      </c>
      <c r="E80" s="189">
        <v>12226798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2213360</v>
      </c>
      <c r="D82" s="190">
        <v>2372068</v>
      </c>
      <c r="E82" s="190">
        <v>1885402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11153237</v>
      </c>
      <c r="D83" s="191">
        <f>+D80+D81-D82</f>
        <v>11163173</v>
      </c>
      <c r="E83" s="191">
        <f>+E80+E81-E82</f>
        <v>10341396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83253020</v>
      </c>
      <c r="D84" s="191">
        <f>+D11</f>
        <v>82468718</v>
      </c>
      <c r="E84" s="191">
        <f>+E11</f>
        <v>78229898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71.908798592357925</v>
      </c>
      <c r="D86" s="179">
        <f>IF((D90/365)=0,0,+D87/(D90/365))</f>
        <v>72.463103157031398</v>
      </c>
      <c r="E86" s="179">
        <f>IF((E90/365)=0,0,+E87/(E90/365))</f>
        <v>69.403203102985188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16033559</v>
      </c>
      <c r="D87" s="51">
        <f>+D69</f>
        <v>16778418</v>
      </c>
      <c r="E87" s="51">
        <f>+E69</f>
        <v>15681861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85362191</v>
      </c>
      <c r="D88" s="51">
        <f t="shared" si="0"/>
        <v>88487473</v>
      </c>
      <c r="E88" s="51">
        <f t="shared" si="0"/>
        <v>86047738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3977866</v>
      </c>
      <c r="D89" s="52">
        <f t="shared" si="0"/>
        <v>3973806</v>
      </c>
      <c r="E89" s="52">
        <f t="shared" si="0"/>
        <v>3574898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81384325</v>
      </c>
      <c r="D90" s="51">
        <f>+D88-D89</f>
        <v>84513667</v>
      </c>
      <c r="E90" s="51">
        <f>+E88-E89</f>
        <v>82472840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58.097139085968529</v>
      </c>
      <c r="D94" s="192">
        <f>IF(D96=0,0,(D95/D96)*100)</f>
        <v>47.910990276353296</v>
      </c>
      <c r="E94" s="192">
        <f>IF(E96=0,0,(E95/E96)*100)</f>
        <v>37.081721044945439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48780238</v>
      </c>
      <c r="D95" s="51">
        <f>+D32</f>
        <v>38098899</v>
      </c>
      <c r="E95" s="51">
        <f>+E32</f>
        <v>26811974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83963236</v>
      </c>
      <c r="D96" s="51">
        <v>79520166</v>
      </c>
      <c r="E96" s="51">
        <v>72305096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-5.4788114802025838</v>
      </c>
      <c r="D98" s="192">
        <f>IF(D104=0,0,(D101/D104)*100)</f>
        <v>1.7739219053953985</v>
      </c>
      <c r="E98" s="192">
        <f>IF(E104=0,0,(E101/E104)*100)</f>
        <v>-1.4310604867309413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-5054485</v>
      </c>
      <c r="D99" s="51">
        <f>+D28</f>
        <v>-3626792</v>
      </c>
      <c r="E99" s="51">
        <f>+E28</f>
        <v>-3826377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3977866</v>
      </c>
      <c r="D100" s="52">
        <f>+D76</f>
        <v>3973806</v>
      </c>
      <c r="E100" s="52">
        <f>+E76</f>
        <v>3574898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-1076619</v>
      </c>
      <c r="D101" s="51">
        <f>+D99+D100</f>
        <v>347014</v>
      </c>
      <c r="E101" s="51">
        <f>+E99+E100</f>
        <v>-251479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16033559</v>
      </c>
      <c r="D102" s="180">
        <f>+D69</f>
        <v>16778418</v>
      </c>
      <c r="E102" s="180">
        <f>+E69</f>
        <v>15681861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3617035</v>
      </c>
      <c r="D103" s="194">
        <v>2783548</v>
      </c>
      <c r="E103" s="194">
        <v>1891051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19650594</v>
      </c>
      <c r="D104" s="180">
        <f>+D102+D103</f>
        <v>19561966</v>
      </c>
      <c r="E104" s="180">
        <f>+E102+E103</f>
        <v>17572912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6.9030978005286654</v>
      </c>
      <c r="D106" s="197">
        <f>IF(D109=0,0,(D107/D109)*100)</f>
        <v>6.8086628963280997</v>
      </c>
      <c r="E106" s="197">
        <f>IF(E109=0,0,(E107/E109)*100)</f>
        <v>6.588333459626643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3617035</v>
      </c>
      <c r="D107" s="180">
        <f>+D103</f>
        <v>2783548</v>
      </c>
      <c r="E107" s="180">
        <f>+E103</f>
        <v>1891051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48780238</v>
      </c>
      <c r="D108" s="180">
        <f>+D32</f>
        <v>38098899</v>
      </c>
      <c r="E108" s="180">
        <f>+E32</f>
        <v>26811974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52397273</v>
      </c>
      <c r="D109" s="180">
        <f>+D107+D108</f>
        <v>40882447</v>
      </c>
      <c r="E109" s="180">
        <f>+E107+E108</f>
        <v>28703025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-2.1873662209090612</v>
      </c>
      <c r="D111" s="197">
        <f>IF((+D113+D115)=0,0,((+D112+D113+D114)/(+D113+D115)))</f>
        <v>0.59279834614004945</v>
      </c>
      <c r="E111" s="197">
        <f>IF((+E113+E115)=0,0,((+E112+E113+E114)/(+E113+E115)))</f>
        <v>-1.926997315055418E-2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-5054485</v>
      </c>
      <c r="D112" s="180">
        <f>+D17</f>
        <v>-3626792</v>
      </c>
      <c r="E112" s="180">
        <f>+E17</f>
        <v>-3826377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337777</v>
      </c>
      <c r="D113" s="180">
        <v>280961</v>
      </c>
      <c r="E113" s="180">
        <v>230967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3977866</v>
      </c>
      <c r="D114" s="180">
        <v>3973806</v>
      </c>
      <c r="E114" s="180">
        <v>3574898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778379</v>
      </c>
      <c r="E115" s="180">
        <v>833487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10.13920026466452</v>
      </c>
      <c r="D119" s="197">
        <f>IF(+D121=0,0,(+D120)/(+D121))</f>
        <v>10.712739373789258</v>
      </c>
      <c r="E119" s="197">
        <f>IF(+E121=0,0,(+E120)/(+E121))</f>
        <v>12.854887887710362</v>
      </c>
    </row>
    <row r="120" spans="1:8" ht="24" customHeight="1" x14ac:dyDescent="0.25">
      <c r="A120" s="17">
        <v>21</v>
      </c>
      <c r="B120" s="48" t="s">
        <v>369</v>
      </c>
      <c r="C120" s="180">
        <v>40332380</v>
      </c>
      <c r="D120" s="180">
        <v>42570348</v>
      </c>
      <c r="E120" s="180">
        <v>45954913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3977866</v>
      </c>
      <c r="D121" s="180">
        <v>3973806</v>
      </c>
      <c r="E121" s="180">
        <v>3574898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21629</v>
      </c>
      <c r="D124" s="198">
        <v>20370</v>
      </c>
      <c r="E124" s="198">
        <v>17708</v>
      </c>
    </row>
    <row r="125" spans="1:8" ht="24" customHeight="1" x14ac:dyDescent="0.2">
      <c r="A125" s="44">
        <v>2</v>
      </c>
      <c r="B125" s="48" t="s">
        <v>373</v>
      </c>
      <c r="C125" s="198">
        <v>4935</v>
      </c>
      <c r="D125" s="198">
        <v>4800</v>
      </c>
      <c r="E125" s="198">
        <v>4540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4.3827760891590675</v>
      </c>
      <c r="D126" s="199">
        <f>IF(D125=0,0,D124/D125)</f>
        <v>4.2437500000000004</v>
      </c>
      <c r="E126" s="199">
        <f>IF(E125=0,0,E124/E125)</f>
        <v>3.9004405286343613</v>
      </c>
    </row>
    <row r="127" spans="1:8" ht="24" customHeight="1" x14ac:dyDescent="0.2">
      <c r="A127" s="44">
        <v>4</v>
      </c>
      <c r="B127" s="48" t="s">
        <v>375</v>
      </c>
      <c r="C127" s="198">
        <v>61</v>
      </c>
      <c r="D127" s="198">
        <v>59</v>
      </c>
      <c r="E127" s="198">
        <v>51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118</v>
      </c>
      <c r="E128" s="198">
        <v>118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118</v>
      </c>
      <c r="D129" s="198">
        <v>118</v>
      </c>
      <c r="E129" s="198">
        <v>118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0.97140000000000004</v>
      </c>
      <c r="D130" s="171">
        <v>0.94589999999999996</v>
      </c>
      <c r="E130" s="171">
        <v>0.95120000000000005</v>
      </c>
    </row>
    <row r="131" spans="1:8" ht="24" customHeight="1" x14ac:dyDescent="0.2">
      <c r="A131" s="44">
        <v>7</v>
      </c>
      <c r="B131" s="48" t="s">
        <v>379</v>
      </c>
      <c r="C131" s="171">
        <v>0.50209999999999999</v>
      </c>
      <c r="D131" s="171">
        <v>0.47289999999999999</v>
      </c>
      <c r="E131" s="171">
        <v>0.41110000000000002</v>
      </c>
    </row>
    <row r="132" spans="1:8" ht="24" customHeight="1" x14ac:dyDescent="0.2">
      <c r="A132" s="44">
        <v>8</v>
      </c>
      <c r="B132" s="48" t="s">
        <v>380</v>
      </c>
      <c r="C132" s="199">
        <v>560</v>
      </c>
      <c r="D132" s="199">
        <v>547.9</v>
      </c>
      <c r="E132" s="199">
        <v>524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0.38771721743353876</v>
      </c>
      <c r="D135" s="203">
        <f>IF(D149=0,0,D143/D149)</f>
        <v>0.39817893129594312</v>
      </c>
      <c r="E135" s="203">
        <f>IF(E149=0,0,E143/E149)</f>
        <v>0.40243273115881489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0.50295794425552121</v>
      </c>
      <c r="D136" s="203">
        <f>IF(D149=0,0,D144/D149)</f>
        <v>0.48113710074341987</v>
      </c>
      <c r="E136" s="203">
        <f>IF(E149=0,0,E144/E149)</f>
        <v>0.47975705816790104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7.6976071986049471E-2</v>
      </c>
      <c r="D137" s="203">
        <f>IF(D149=0,0,D145/D149)</f>
        <v>7.0660636482149056E-2</v>
      </c>
      <c r="E137" s="203">
        <f>IF(E149=0,0,E145/E149)</f>
        <v>8.578840738385736E-2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6.2782808751634387E-4</v>
      </c>
      <c r="D138" s="203">
        <f>IF(D149=0,0,D146/D149)</f>
        <v>1.3102846244153549E-2</v>
      </c>
      <c r="E138" s="203">
        <f>IF(E149=0,0,E146/E149)</f>
        <v>2.2982665566290222E-3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3.0497762829280125E-2</v>
      </c>
      <c r="D139" s="203">
        <f>IF(D149=0,0,D147/D149)</f>
        <v>3.5641455577786287E-2</v>
      </c>
      <c r="E139" s="203">
        <f>IF(E149=0,0,E147/E149)</f>
        <v>2.7934790311707595E-2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1.2231754080941027E-3</v>
      </c>
      <c r="D140" s="203">
        <f>IF(D149=0,0,D148/D149)</f>
        <v>1.2790296565481423E-3</v>
      </c>
      <c r="E140" s="203">
        <f>IF(E149=0,0,E148/E149)</f>
        <v>1.7887464210900974E-3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86219684</v>
      </c>
      <c r="D143" s="205">
        <f>+D46-D147</f>
        <v>87256757</v>
      </c>
      <c r="E143" s="205">
        <f>+E46-E147</f>
        <v>82215456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111846658</v>
      </c>
      <c r="D144" s="205">
        <f>+D51</f>
        <v>105436174</v>
      </c>
      <c r="E144" s="205">
        <f>+E51</f>
        <v>98012518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17117766</v>
      </c>
      <c r="D145" s="205">
        <f>+D55</f>
        <v>15484541</v>
      </c>
      <c r="E145" s="205">
        <f>+E55</f>
        <v>17526241</v>
      </c>
    </row>
    <row r="146" spans="1:7" ht="20.100000000000001" customHeight="1" x14ac:dyDescent="0.2">
      <c r="A146" s="202">
        <v>11</v>
      </c>
      <c r="B146" s="201" t="s">
        <v>392</v>
      </c>
      <c r="C146" s="204">
        <v>139615</v>
      </c>
      <c r="D146" s="205">
        <v>2871352</v>
      </c>
      <c r="E146" s="205">
        <v>469527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6782024</v>
      </c>
      <c r="D147" s="205">
        <f>+D47</f>
        <v>7810453</v>
      </c>
      <c r="E147" s="205">
        <f>+E47</f>
        <v>5706970</v>
      </c>
    </row>
    <row r="148" spans="1:7" ht="20.100000000000001" customHeight="1" x14ac:dyDescent="0.2">
      <c r="A148" s="202">
        <v>13</v>
      </c>
      <c r="B148" s="201" t="s">
        <v>394</v>
      </c>
      <c r="C148" s="206">
        <v>272007</v>
      </c>
      <c r="D148" s="205">
        <v>280286</v>
      </c>
      <c r="E148" s="205">
        <v>365434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222377754</v>
      </c>
      <c r="D149" s="205">
        <f>SUM(D143:D148)</f>
        <v>219139563</v>
      </c>
      <c r="E149" s="205">
        <f>SUM(E143:E148)</f>
        <v>204296146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0.48810976633058684</v>
      </c>
      <c r="D152" s="203">
        <f>IF(D166=0,0,D160/D166)</f>
        <v>0.50847405480328234</v>
      </c>
      <c r="E152" s="203">
        <f>IF(E166=0,0,E160/E166)</f>
        <v>0.50153662979215707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0.44284555325165009</v>
      </c>
      <c r="D153" s="203">
        <f>IF(D166=0,0,D161/D166)</f>
        <v>0.43236773529617584</v>
      </c>
      <c r="E153" s="203">
        <f>IF(E166=0,0,E161/E166)</f>
        <v>0.43414175617149714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4.3947054191490226E-2</v>
      </c>
      <c r="D154" s="203">
        <f>IF(D166=0,0,D162/D166)</f>
        <v>4.4666391550387402E-2</v>
      </c>
      <c r="E154" s="203">
        <f>IF(E166=0,0,E162/E166)</f>
        <v>5.7175833758577148E-2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7.963520135769647E-4</v>
      </c>
      <c r="D155" s="203">
        <f>IF(D166=0,0,D163/D166)</f>
        <v>4.1176879989678929E-3</v>
      </c>
      <c r="E155" s="203">
        <f>IF(E166=0,0,E163/E166)</f>
        <v>8.81393686782212E-4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2.2848451917776725E-2</v>
      </c>
      <c r="D156" s="203">
        <f>IF(D166=0,0,D164/D166)</f>
        <v>8.8325007024317656E-3</v>
      </c>
      <c r="E156" s="203">
        <f>IF(E166=0,0,E164/E166)</f>
        <v>4.899505247997738E-3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1.4528222949191762E-3</v>
      </c>
      <c r="D157" s="203">
        <f>IF(D166=0,0,D165/D166)</f>
        <v>1.5416296487547902E-3</v>
      </c>
      <c r="E157" s="203">
        <f>IF(E166=0,0,E165/E166)</f>
        <v>1.364881342988661E-3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37490609</v>
      </c>
      <c r="D160" s="208">
        <f>+D44-D164</f>
        <v>37449766</v>
      </c>
      <c r="E160" s="208">
        <f>+E44-E164</f>
        <v>35138543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34013967</v>
      </c>
      <c r="D161" s="208">
        <f>+D50</f>
        <v>31844438</v>
      </c>
      <c r="E161" s="208">
        <f>+E50</f>
        <v>30416739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3375474</v>
      </c>
      <c r="D162" s="208">
        <f>+D54</f>
        <v>3289737</v>
      </c>
      <c r="E162" s="208">
        <f>+E54</f>
        <v>4005840</v>
      </c>
    </row>
    <row r="163" spans="1:6" ht="20.100000000000001" customHeight="1" x14ac:dyDescent="0.2">
      <c r="A163" s="202">
        <v>11</v>
      </c>
      <c r="B163" s="201" t="s">
        <v>408</v>
      </c>
      <c r="C163" s="207">
        <v>61166</v>
      </c>
      <c r="D163" s="208">
        <v>303273</v>
      </c>
      <c r="E163" s="208">
        <v>61752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1754938</v>
      </c>
      <c r="D164" s="208">
        <f>+D45</f>
        <v>650525</v>
      </c>
      <c r="E164" s="208">
        <f>+E45</f>
        <v>343268</v>
      </c>
    </row>
    <row r="165" spans="1:6" ht="20.100000000000001" customHeight="1" x14ac:dyDescent="0.2">
      <c r="A165" s="202">
        <v>13</v>
      </c>
      <c r="B165" s="201" t="s">
        <v>410</v>
      </c>
      <c r="C165" s="209">
        <v>111588</v>
      </c>
      <c r="D165" s="208">
        <v>113543</v>
      </c>
      <c r="E165" s="208">
        <v>95626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76807742</v>
      </c>
      <c r="D166" s="208">
        <f>SUM(D160:D165)</f>
        <v>73651282</v>
      </c>
      <c r="E166" s="208">
        <f>SUM(E160:E165)</f>
        <v>70061768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1879</v>
      </c>
      <c r="D169" s="198">
        <v>1930</v>
      </c>
      <c r="E169" s="198">
        <v>1753</v>
      </c>
    </row>
    <row r="170" spans="1:6" ht="20.100000000000001" customHeight="1" x14ac:dyDescent="0.2">
      <c r="A170" s="202">
        <v>2</v>
      </c>
      <c r="B170" s="201" t="s">
        <v>414</v>
      </c>
      <c r="C170" s="198">
        <v>2632</v>
      </c>
      <c r="D170" s="198">
        <v>2423</v>
      </c>
      <c r="E170" s="198">
        <v>2362</v>
      </c>
    </row>
    <row r="171" spans="1:6" ht="20.100000000000001" customHeight="1" x14ac:dyDescent="0.2">
      <c r="A171" s="202">
        <v>3</v>
      </c>
      <c r="B171" s="201" t="s">
        <v>415</v>
      </c>
      <c r="C171" s="198">
        <v>416</v>
      </c>
      <c r="D171" s="198">
        <v>444</v>
      </c>
      <c r="E171" s="198">
        <v>413</v>
      </c>
    </row>
    <row r="172" spans="1:6" ht="20.100000000000001" customHeight="1" x14ac:dyDescent="0.2">
      <c r="A172" s="202">
        <v>4</v>
      </c>
      <c r="B172" s="201" t="s">
        <v>416</v>
      </c>
      <c r="C172" s="198">
        <v>414</v>
      </c>
      <c r="D172" s="198">
        <v>417</v>
      </c>
      <c r="E172" s="198">
        <v>406</v>
      </c>
    </row>
    <row r="173" spans="1:6" ht="20.100000000000001" customHeight="1" x14ac:dyDescent="0.2">
      <c r="A173" s="202">
        <v>5</v>
      </c>
      <c r="B173" s="201" t="s">
        <v>417</v>
      </c>
      <c r="C173" s="198">
        <v>2</v>
      </c>
      <c r="D173" s="198">
        <v>27</v>
      </c>
      <c r="E173" s="198">
        <v>7</v>
      </c>
    </row>
    <row r="174" spans="1:6" ht="20.100000000000001" customHeight="1" x14ac:dyDescent="0.2">
      <c r="A174" s="202">
        <v>6</v>
      </c>
      <c r="B174" s="201" t="s">
        <v>418</v>
      </c>
      <c r="C174" s="198">
        <v>8</v>
      </c>
      <c r="D174" s="198">
        <v>3</v>
      </c>
      <c r="E174" s="198">
        <v>12</v>
      </c>
    </row>
    <row r="175" spans="1:6" ht="20.100000000000001" customHeight="1" x14ac:dyDescent="0.2">
      <c r="A175" s="202">
        <v>7</v>
      </c>
      <c r="B175" s="201" t="s">
        <v>419</v>
      </c>
      <c r="C175" s="198">
        <v>116</v>
      </c>
      <c r="D175" s="198">
        <v>99</v>
      </c>
      <c r="E175" s="198">
        <v>79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4935</v>
      </c>
      <c r="D176" s="198">
        <f>+D169+D170+D171+D174</f>
        <v>4800</v>
      </c>
      <c r="E176" s="198">
        <f>+E169+E170+E171+E174</f>
        <v>4540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1.0575000000000001</v>
      </c>
      <c r="D179" s="210">
        <v>1.0646800000000001</v>
      </c>
      <c r="E179" s="210">
        <v>1.13964</v>
      </c>
    </row>
    <row r="180" spans="1:6" ht="20.100000000000001" customHeight="1" x14ac:dyDescent="0.2">
      <c r="A180" s="202">
        <v>2</v>
      </c>
      <c r="B180" s="201" t="s">
        <v>414</v>
      </c>
      <c r="C180" s="210">
        <v>1.4530000000000001</v>
      </c>
      <c r="D180" s="210">
        <v>1.5705</v>
      </c>
      <c r="E180" s="210">
        <v>1.5058</v>
      </c>
    </row>
    <row r="181" spans="1:6" ht="20.100000000000001" customHeight="1" x14ac:dyDescent="0.2">
      <c r="A181" s="202">
        <v>3</v>
      </c>
      <c r="B181" s="201" t="s">
        <v>415</v>
      </c>
      <c r="C181" s="210">
        <v>0.91746300000000003</v>
      </c>
      <c r="D181" s="210">
        <v>0.84579400000000005</v>
      </c>
      <c r="E181" s="210">
        <v>0.90883800000000003</v>
      </c>
    </row>
    <row r="182" spans="1:6" ht="20.100000000000001" customHeight="1" x14ac:dyDescent="0.2">
      <c r="A182" s="202">
        <v>4</v>
      </c>
      <c r="B182" s="201" t="s">
        <v>416</v>
      </c>
      <c r="C182" s="210">
        <v>0.91790000000000005</v>
      </c>
      <c r="D182" s="210">
        <v>0.82345000000000002</v>
      </c>
      <c r="E182" s="210">
        <v>0.90485000000000004</v>
      </c>
    </row>
    <row r="183" spans="1:6" ht="20.100000000000001" customHeight="1" x14ac:dyDescent="0.2">
      <c r="A183" s="202">
        <v>5</v>
      </c>
      <c r="B183" s="201" t="s">
        <v>417</v>
      </c>
      <c r="C183" s="210">
        <v>0.82720000000000005</v>
      </c>
      <c r="D183" s="210">
        <v>1.19089</v>
      </c>
      <c r="E183" s="210">
        <v>1.14018</v>
      </c>
    </row>
    <row r="184" spans="1:6" ht="20.100000000000001" customHeight="1" x14ac:dyDescent="0.2">
      <c r="A184" s="202">
        <v>6</v>
      </c>
      <c r="B184" s="201" t="s">
        <v>418</v>
      </c>
      <c r="C184" s="210">
        <v>0.95987</v>
      </c>
      <c r="D184" s="210">
        <v>0.51895000000000002</v>
      </c>
      <c r="E184" s="210">
        <v>0.71243999999999996</v>
      </c>
    </row>
    <row r="185" spans="1:6" ht="20.100000000000001" customHeight="1" x14ac:dyDescent="0.2">
      <c r="A185" s="202">
        <v>7</v>
      </c>
      <c r="B185" s="201" t="s">
        <v>419</v>
      </c>
      <c r="C185" s="210">
        <v>1.0417000000000001</v>
      </c>
      <c r="D185" s="210">
        <v>1.1172299999999999</v>
      </c>
      <c r="E185" s="210">
        <v>1.0085500000000001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1.25647</v>
      </c>
      <c r="D186" s="210">
        <v>1.2994250000000001</v>
      </c>
      <c r="E186" s="210">
        <v>1.3080149999999999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3138</v>
      </c>
      <c r="D189" s="198">
        <v>3033</v>
      </c>
      <c r="E189" s="198">
        <v>3143</v>
      </c>
    </row>
    <row r="190" spans="1:6" ht="20.100000000000001" customHeight="1" x14ac:dyDescent="0.2">
      <c r="A190" s="202">
        <v>2</v>
      </c>
      <c r="B190" s="201" t="s">
        <v>427</v>
      </c>
      <c r="C190" s="198">
        <v>35844</v>
      </c>
      <c r="D190" s="198">
        <v>36913</v>
      </c>
      <c r="E190" s="198">
        <v>35049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38982</v>
      </c>
      <c r="D191" s="198">
        <f>+D190+D189</f>
        <v>39946</v>
      </c>
      <c r="E191" s="198">
        <f>+E190+E189</f>
        <v>38192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FILING&amp;RMILFORD HOSPITAL</oddHeader>
    <oddFooter>&amp;L&amp;8REPORT 185&amp;C&amp;8PAGE &amp;P of &amp;N&amp;R&amp;D, &amp;T</oddFooter>
  </headerFooter>
  <rowBreaks count="3" manualBreakCount="3">
    <brk id="78" max="4" man="1"/>
    <brk id="115" max="4" man="1"/>
    <brk id="15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A2" sqref="A2:F2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28515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176756</v>
      </c>
      <c r="E14" s="237">
        <f t="shared" ref="E14:E24" si="0">D14-C14</f>
        <v>176756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77556</v>
      </c>
      <c r="E15" s="237">
        <f t="shared" si="0"/>
        <v>77556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116441</v>
      </c>
      <c r="E16" s="237">
        <f t="shared" si="0"/>
        <v>116441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42004</v>
      </c>
      <c r="E17" s="237">
        <f t="shared" si="0"/>
        <v>42004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5</v>
      </c>
      <c r="E18" s="239">
        <f t="shared" si="0"/>
        <v>5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16</v>
      </c>
      <c r="E19" s="239">
        <f t="shared" si="0"/>
        <v>16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30</v>
      </c>
      <c r="E20" s="239">
        <f t="shared" si="0"/>
        <v>30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20</v>
      </c>
      <c r="E21" s="239">
        <f t="shared" si="0"/>
        <v>20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0</v>
      </c>
      <c r="D23" s="243">
        <f>+D14+D16</f>
        <v>293197</v>
      </c>
      <c r="E23" s="243">
        <f t="shared" si="0"/>
        <v>293197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0</v>
      </c>
      <c r="D24" s="243">
        <f>+D15+D17</f>
        <v>119560</v>
      </c>
      <c r="E24" s="243">
        <f t="shared" si="0"/>
        <v>119560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679765</v>
      </c>
      <c r="D40" s="237">
        <v>1287087</v>
      </c>
      <c r="E40" s="237">
        <f t="shared" ref="E40:E50" si="4">D40-C40</f>
        <v>607322</v>
      </c>
      <c r="F40" s="238">
        <f t="shared" ref="F40:F50" si="5">IF(C40=0,0,E40/C40)</f>
        <v>0.89342934690665154</v>
      </c>
    </row>
    <row r="41" spans="1:6" ht="20.25" customHeight="1" x14ac:dyDescent="0.3">
      <c r="A41" s="235">
        <v>2</v>
      </c>
      <c r="B41" s="236" t="s">
        <v>435</v>
      </c>
      <c r="C41" s="237">
        <v>312049</v>
      </c>
      <c r="D41" s="237">
        <v>448466</v>
      </c>
      <c r="E41" s="237">
        <f t="shared" si="4"/>
        <v>136417</v>
      </c>
      <c r="F41" s="238">
        <f t="shared" si="5"/>
        <v>0.43716531698547345</v>
      </c>
    </row>
    <row r="42" spans="1:6" ht="20.25" customHeight="1" x14ac:dyDescent="0.3">
      <c r="A42" s="235">
        <v>3</v>
      </c>
      <c r="B42" s="236" t="s">
        <v>436</v>
      </c>
      <c r="C42" s="237">
        <v>408747</v>
      </c>
      <c r="D42" s="237">
        <v>494298</v>
      </c>
      <c r="E42" s="237">
        <f t="shared" si="4"/>
        <v>85551</v>
      </c>
      <c r="F42" s="238">
        <f t="shared" si="5"/>
        <v>0.20930061872013739</v>
      </c>
    </row>
    <row r="43" spans="1:6" ht="20.25" customHeight="1" x14ac:dyDescent="0.3">
      <c r="A43" s="235">
        <v>4</v>
      </c>
      <c r="B43" s="236" t="s">
        <v>437</v>
      </c>
      <c r="C43" s="237">
        <v>112390</v>
      </c>
      <c r="D43" s="237">
        <v>114912</v>
      </c>
      <c r="E43" s="237">
        <f t="shared" si="4"/>
        <v>2522</v>
      </c>
      <c r="F43" s="238">
        <f t="shared" si="5"/>
        <v>2.2439718836195392E-2</v>
      </c>
    </row>
    <row r="44" spans="1:6" ht="20.25" customHeight="1" x14ac:dyDescent="0.3">
      <c r="A44" s="235">
        <v>5</v>
      </c>
      <c r="B44" s="236" t="s">
        <v>373</v>
      </c>
      <c r="C44" s="239">
        <v>27</v>
      </c>
      <c r="D44" s="239">
        <v>33</v>
      </c>
      <c r="E44" s="239">
        <f t="shared" si="4"/>
        <v>6</v>
      </c>
      <c r="F44" s="238">
        <f t="shared" si="5"/>
        <v>0.22222222222222221</v>
      </c>
    </row>
    <row r="45" spans="1:6" ht="20.25" customHeight="1" x14ac:dyDescent="0.3">
      <c r="A45" s="235">
        <v>6</v>
      </c>
      <c r="B45" s="236" t="s">
        <v>372</v>
      </c>
      <c r="C45" s="239">
        <v>104</v>
      </c>
      <c r="D45" s="239">
        <v>139</v>
      </c>
      <c r="E45" s="239">
        <f t="shared" si="4"/>
        <v>35</v>
      </c>
      <c r="F45" s="238">
        <f t="shared" si="5"/>
        <v>0.33653846153846156</v>
      </c>
    </row>
    <row r="46" spans="1:6" ht="20.25" customHeight="1" x14ac:dyDescent="0.3">
      <c r="A46" s="235">
        <v>7</v>
      </c>
      <c r="B46" s="236" t="s">
        <v>438</v>
      </c>
      <c r="C46" s="239">
        <v>129</v>
      </c>
      <c r="D46" s="239">
        <v>142</v>
      </c>
      <c r="E46" s="239">
        <f t="shared" si="4"/>
        <v>13</v>
      </c>
      <c r="F46" s="238">
        <f t="shared" si="5"/>
        <v>0.10077519379844961</v>
      </c>
    </row>
    <row r="47" spans="1:6" ht="20.25" customHeight="1" x14ac:dyDescent="0.3">
      <c r="A47" s="235">
        <v>8</v>
      </c>
      <c r="B47" s="236" t="s">
        <v>439</v>
      </c>
      <c r="C47" s="239">
        <v>68</v>
      </c>
      <c r="D47" s="239">
        <v>91</v>
      </c>
      <c r="E47" s="239">
        <f t="shared" si="4"/>
        <v>23</v>
      </c>
      <c r="F47" s="238">
        <f t="shared" si="5"/>
        <v>0.33823529411764708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1088512</v>
      </c>
      <c r="D49" s="243">
        <f>+D40+D42</f>
        <v>1781385</v>
      </c>
      <c r="E49" s="243">
        <f t="shared" si="4"/>
        <v>692873</v>
      </c>
      <c r="F49" s="244">
        <f t="shared" si="5"/>
        <v>0.63653225687911574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424439</v>
      </c>
      <c r="D50" s="243">
        <f>+D41+D43</f>
        <v>563378</v>
      </c>
      <c r="E50" s="243">
        <f t="shared" si="4"/>
        <v>138939</v>
      </c>
      <c r="F50" s="244">
        <f t="shared" si="5"/>
        <v>0.32734739267597934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14332609</v>
      </c>
      <c r="D53" s="237">
        <v>14010834</v>
      </c>
      <c r="E53" s="237">
        <f t="shared" ref="E53:E63" si="6">D53-C53</f>
        <v>-321775</v>
      </c>
      <c r="F53" s="238">
        <f t="shared" ref="F53:F63" si="7">IF(C53=0,0,E53/C53)</f>
        <v>-2.2450553140743602E-2</v>
      </c>
    </row>
    <row r="54" spans="1:6" ht="20.25" customHeight="1" x14ac:dyDescent="0.3">
      <c r="A54" s="235">
        <v>2</v>
      </c>
      <c r="B54" s="236" t="s">
        <v>435</v>
      </c>
      <c r="C54" s="237">
        <v>4639506</v>
      </c>
      <c r="D54" s="237">
        <v>4486502</v>
      </c>
      <c r="E54" s="237">
        <f t="shared" si="6"/>
        <v>-153004</v>
      </c>
      <c r="F54" s="238">
        <f t="shared" si="7"/>
        <v>-3.2978511074239367E-2</v>
      </c>
    </row>
    <row r="55" spans="1:6" ht="20.25" customHeight="1" x14ac:dyDescent="0.3">
      <c r="A55" s="235">
        <v>3</v>
      </c>
      <c r="B55" s="236" t="s">
        <v>436</v>
      </c>
      <c r="C55" s="237">
        <v>5981771</v>
      </c>
      <c r="D55" s="237">
        <v>6087394</v>
      </c>
      <c r="E55" s="237">
        <f t="shared" si="6"/>
        <v>105623</v>
      </c>
      <c r="F55" s="238">
        <f t="shared" si="7"/>
        <v>1.7657479699573923E-2</v>
      </c>
    </row>
    <row r="56" spans="1:6" ht="20.25" customHeight="1" x14ac:dyDescent="0.3">
      <c r="A56" s="235">
        <v>4</v>
      </c>
      <c r="B56" s="236" t="s">
        <v>437</v>
      </c>
      <c r="C56" s="237">
        <v>1327508</v>
      </c>
      <c r="D56" s="237">
        <v>1451260</v>
      </c>
      <c r="E56" s="237">
        <f t="shared" si="6"/>
        <v>123752</v>
      </c>
      <c r="F56" s="238">
        <f t="shared" si="7"/>
        <v>9.3221283788873593E-2</v>
      </c>
    </row>
    <row r="57" spans="1:6" ht="20.25" customHeight="1" x14ac:dyDescent="0.3">
      <c r="A57" s="235">
        <v>5</v>
      </c>
      <c r="B57" s="236" t="s">
        <v>373</v>
      </c>
      <c r="C57" s="239">
        <v>452</v>
      </c>
      <c r="D57" s="239">
        <v>492</v>
      </c>
      <c r="E57" s="239">
        <f t="shared" si="6"/>
        <v>40</v>
      </c>
      <c r="F57" s="238">
        <f t="shared" si="7"/>
        <v>8.8495575221238937E-2</v>
      </c>
    </row>
    <row r="58" spans="1:6" ht="20.25" customHeight="1" x14ac:dyDescent="0.3">
      <c r="A58" s="235">
        <v>6</v>
      </c>
      <c r="B58" s="236" t="s">
        <v>372</v>
      </c>
      <c r="C58" s="239">
        <v>2102</v>
      </c>
      <c r="D58" s="239">
        <v>2072</v>
      </c>
      <c r="E58" s="239">
        <f t="shared" si="6"/>
        <v>-30</v>
      </c>
      <c r="F58" s="238">
        <f t="shared" si="7"/>
        <v>-1.4272121788772598E-2</v>
      </c>
    </row>
    <row r="59" spans="1:6" ht="20.25" customHeight="1" x14ac:dyDescent="0.3">
      <c r="A59" s="235">
        <v>7</v>
      </c>
      <c r="B59" s="236" t="s">
        <v>438</v>
      </c>
      <c r="C59" s="239">
        <v>4370</v>
      </c>
      <c r="D59" s="239">
        <v>4316</v>
      </c>
      <c r="E59" s="239">
        <f t="shared" si="6"/>
        <v>-54</v>
      </c>
      <c r="F59" s="238">
        <f t="shared" si="7"/>
        <v>-1.2356979405034324E-2</v>
      </c>
    </row>
    <row r="60" spans="1:6" ht="20.25" customHeight="1" x14ac:dyDescent="0.3">
      <c r="A60" s="235">
        <v>8</v>
      </c>
      <c r="B60" s="236" t="s">
        <v>439</v>
      </c>
      <c r="C60" s="239">
        <v>989</v>
      </c>
      <c r="D60" s="239">
        <v>996</v>
      </c>
      <c r="E60" s="239">
        <f t="shared" si="6"/>
        <v>7</v>
      </c>
      <c r="F60" s="238">
        <f t="shared" si="7"/>
        <v>7.0778564206268957E-3</v>
      </c>
    </row>
    <row r="61" spans="1:6" ht="20.25" customHeight="1" x14ac:dyDescent="0.3">
      <c r="A61" s="235">
        <v>9</v>
      </c>
      <c r="B61" s="236" t="s">
        <v>440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20314380</v>
      </c>
      <c r="D62" s="243">
        <f>+D53+D55</f>
        <v>20098228</v>
      </c>
      <c r="E62" s="243">
        <f t="shared" si="6"/>
        <v>-216152</v>
      </c>
      <c r="F62" s="244">
        <f t="shared" si="7"/>
        <v>-1.0640344425968206E-2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5967014</v>
      </c>
      <c r="D63" s="243">
        <f>+D54+D56</f>
        <v>5937762</v>
      </c>
      <c r="E63" s="243">
        <f t="shared" si="6"/>
        <v>-29252</v>
      </c>
      <c r="F63" s="244">
        <f t="shared" si="7"/>
        <v>-4.9022844591951687E-3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1979921</v>
      </c>
      <c r="D66" s="237">
        <v>1180174</v>
      </c>
      <c r="E66" s="237">
        <f t="shared" ref="E66:E76" si="8">D66-C66</f>
        <v>-799747</v>
      </c>
      <c r="F66" s="238">
        <f t="shared" ref="F66:F76" si="9">IF(C66=0,0,E66/C66)</f>
        <v>-0.40392874261144762</v>
      </c>
    </row>
    <row r="67" spans="1:6" ht="20.25" customHeight="1" x14ac:dyDescent="0.3">
      <c r="A67" s="235">
        <v>2</v>
      </c>
      <c r="B67" s="236" t="s">
        <v>435</v>
      </c>
      <c r="C67" s="237">
        <v>570795</v>
      </c>
      <c r="D67" s="237">
        <v>355126</v>
      </c>
      <c r="E67" s="237">
        <f t="shared" si="8"/>
        <v>-215669</v>
      </c>
      <c r="F67" s="238">
        <f t="shared" si="9"/>
        <v>-0.37783967974491717</v>
      </c>
    </row>
    <row r="68" spans="1:6" ht="20.25" customHeight="1" x14ac:dyDescent="0.3">
      <c r="A68" s="235">
        <v>3</v>
      </c>
      <c r="B68" s="236" t="s">
        <v>436</v>
      </c>
      <c r="C68" s="237">
        <v>762320</v>
      </c>
      <c r="D68" s="237">
        <v>517875</v>
      </c>
      <c r="E68" s="237">
        <f t="shared" si="8"/>
        <v>-244445</v>
      </c>
      <c r="F68" s="238">
        <f t="shared" si="9"/>
        <v>-0.32065930317976704</v>
      </c>
    </row>
    <row r="69" spans="1:6" ht="20.25" customHeight="1" x14ac:dyDescent="0.3">
      <c r="A69" s="235">
        <v>4</v>
      </c>
      <c r="B69" s="236" t="s">
        <v>437</v>
      </c>
      <c r="C69" s="237">
        <v>178035</v>
      </c>
      <c r="D69" s="237">
        <v>118061</v>
      </c>
      <c r="E69" s="237">
        <f t="shared" si="8"/>
        <v>-59974</v>
      </c>
      <c r="F69" s="238">
        <f t="shared" si="9"/>
        <v>-0.33686634650490072</v>
      </c>
    </row>
    <row r="70" spans="1:6" ht="20.25" customHeight="1" x14ac:dyDescent="0.3">
      <c r="A70" s="235">
        <v>5</v>
      </c>
      <c r="B70" s="236" t="s">
        <v>373</v>
      </c>
      <c r="C70" s="239">
        <v>62</v>
      </c>
      <c r="D70" s="239">
        <v>34</v>
      </c>
      <c r="E70" s="239">
        <f t="shared" si="8"/>
        <v>-28</v>
      </c>
      <c r="F70" s="238">
        <f t="shared" si="9"/>
        <v>-0.45161290322580644</v>
      </c>
    </row>
    <row r="71" spans="1:6" ht="20.25" customHeight="1" x14ac:dyDescent="0.3">
      <c r="A71" s="235">
        <v>6</v>
      </c>
      <c r="B71" s="236" t="s">
        <v>372</v>
      </c>
      <c r="C71" s="239">
        <v>295</v>
      </c>
      <c r="D71" s="239">
        <v>180</v>
      </c>
      <c r="E71" s="239">
        <f t="shared" si="8"/>
        <v>-115</v>
      </c>
      <c r="F71" s="238">
        <f t="shared" si="9"/>
        <v>-0.38983050847457629</v>
      </c>
    </row>
    <row r="72" spans="1:6" ht="20.25" customHeight="1" x14ac:dyDescent="0.3">
      <c r="A72" s="235">
        <v>7</v>
      </c>
      <c r="B72" s="236" t="s">
        <v>438</v>
      </c>
      <c r="C72" s="239">
        <v>222</v>
      </c>
      <c r="D72" s="239">
        <v>130</v>
      </c>
      <c r="E72" s="239">
        <f t="shared" si="8"/>
        <v>-92</v>
      </c>
      <c r="F72" s="238">
        <f t="shared" si="9"/>
        <v>-0.4144144144144144</v>
      </c>
    </row>
    <row r="73" spans="1:6" ht="20.25" customHeight="1" x14ac:dyDescent="0.3">
      <c r="A73" s="235">
        <v>8</v>
      </c>
      <c r="B73" s="236" t="s">
        <v>439</v>
      </c>
      <c r="C73" s="239">
        <v>185</v>
      </c>
      <c r="D73" s="239">
        <v>132</v>
      </c>
      <c r="E73" s="239">
        <f t="shared" si="8"/>
        <v>-53</v>
      </c>
      <c r="F73" s="238">
        <f t="shared" si="9"/>
        <v>-0.2864864864864865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2742241</v>
      </c>
      <c r="D75" s="243">
        <f>+D66+D68</f>
        <v>1698049</v>
      </c>
      <c r="E75" s="243">
        <f t="shared" si="8"/>
        <v>-1044192</v>
      </c>
      <c r="F75" s="244">
        <f t="shared" si="9"/>
        <v>-0.38078053679454138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748830</v>
      </c>
      <c r="D76" s="243">
        <f>+D67+D69</f>
        <v>473187</v>
      </c>
      <c r="E76" s="243">
        <f t="shared" si="8"/>
        <v>-275643</v>
      </c>
      <c r="F76" s="244">
        <f t="shared" si="9"/>
        <v>-0.36809823324386043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683386</v>
      </c>
      <c r="D79" s="237">
        <v>1087681</v>
      </c>
      <c r="E79" s="237">
        <f t="shared" ref="E79:E89" si="10">D79-C79</f>
        <v>404295</v>
      </c>
      <c r="F79" s="238">
        <f t="shared" ref="F79:F89" si="11">IF(C79=0,0,E79/C79)</f>
        <v>0.59160562259103933</v>
      </c>
    </row>
    <row r="80" spans="1:6" ht="20.25" customHeight="1" x14ac:dyDescent="0.3">
      <c r="A80" s="235">
        <v>2</v>
      </c>
      <c r="B80" s="236" t="s">
        <v>435</v>
      </c>
      <c r="C80" s="237">
        <v>102197</v>
      </c>
      <c r="D80" s="237">
        <v>247774</v>
      </c>
      <c r="E80" s="237">
        <f t="shared" si="10"/>
        <v>145577</v>
      </c>
      <c r="F80" s="238">
        <f t="shared" si="11"/>
        <v>1.4244742996369757</v>
      </c>
    </row>
    <row r="81" spans="1:6" ht="20.25" customHeight="1" x14ac:dyDescent="0.3">
      <c r="A81" s="235">
        <v>3</v>
      </c>
      <c r="B81" s="236" t="s">
        <v>436</v>
      </c>
      <c r="C81" s="237">
        <v>349657</v>
      </c>
      <c r="D81" s="237">
        <v>477556</v>
      </c>
      <c r="E81" s="237">
        <f t="shared" si="10"/>
        <v>127899</v>
      </c>
      <c r="F81" s="238">
        <f t="shared" si="11"/>
        <v>0.36578418278484343</v>
      </c>
    </row>
    <row r="82" spans="1:6" ht="20.25" customHeight="1" x14ac:dyDescent="0.3">
      <c r="A82" s="235">
        <v>4</v>
      </c>
      <c r="B82" s="236" t="s">
        <v>437</v>
      </c>
      <c r="C82" s="237">
        <v>231781</v>
      </c>
      <c r="D82" s="237">
        <v>224952</v>
      </c>
      <c r="E82" s="237">
        <f t="shared" si="10"/>
        <v>-6829</v>
      </c>
      <c r="F82" s="238">
        <f t="shared" si="11"/>
        <v>-2.9463157031853343E-2</v>
      </c>
    </row>
    <row r="83" spans="1:6" ht="20.25" customHeight="1" x14ac:dyDescent="0.3">
      <c r="A83" s="235">
        <v>5</v>
      </c>
      <c r="B83" s="236" t="s">
        <v>373</v>
      </c>
      <c r="C83" s="239">
        <v>21</v>
      </c>
      <c r="D83" s="239">
        <v>35</v>
      </c>
      <c r="E83" s="239">
        <f t="shared" si="10"/>
        <v>14</v>
      </c>
      <c r="F83" s="238">
        <f t="shared" si="11"/>
        <v>0.66666666666666663</v>
      </c>
    </row>
    <row r="84" spans="1:6" ht="20.25" customHeight="1" x14ac:dyDescent="0.3">
      <c r="A84" s="235">
        <v>6</v>
      </c>
      <c r="B84" s="236" t="s">
        <v>372</v>
      </c>
      <c r="C84" s="239">
        <v>114</v>
      </c>
      <c r="D84" s="239">
        <v>169</v>
      </c>
      <c r="E84" s="239">
        <f t="shared" si="10"/>
        <v>55</v>
      </c>
      <c r="F84" s="238">
        <f t="shared" si="11"/>
        <v>0.48245614035087719</v>
      </c>
    </row>
    <row r="85" spans="1:6" ht="20.25" customHeight="1" x14ac:dyDescent="0.3">
      <c r="A85" s="235">
        <v>7</v>
      </c>
      <c r="B85" s="236" t="s">
        <v>438</v>
      </c>
      <c r="C85" s="239">
        <v>106</v>
      </c>
      <c r="D85" s="239">
        <v>148</v>
      </c>
      <c r="E85" s="239">
        <f t="shared" si="10"/>
        <v>42</v>
      </c>
      <c r="F85" s="238">
        <f t="shared" si="11"/>
        <v>0.39622641509433965</v>
      </c>
    </row>
    <row r="86" spans="1:6" ht="20.25" customHeight="1" x14ac:dyDescent="0.3">
      <c r="A86" s="235">
        <v>8</v>
      </c>
      <c r="B86" s="236" t="s">
        <v>439</v>
      </c>
      <c r="C86" s="239">
        <v>54</v>
      </c>
      <c r="D86" s="239">
        <v>79</v>
      </c>
      <c r="E86" s="239">
        <f t="shared" si="10"/>
        <v>25</v>
      </c>
      <c r="F86" s="238">
        <f t="shared" si="11"/>
        <v>0.46296296296296297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1033043</v>
      </c>
      <c r="D88" s="243">
        <f>+D79+D81</f>
        <v>1565237</v>
      </c>
      <c r="E88" s="243">
        <f t="shared" si="10"/>
        <v>532194</v>
      </c>
      <c r="F88" s="244">
        <f t="shared" si="11"/>
        <v>0.51517119810114387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333978</v>
      </c>
      <c r="D89" s="243">
        <f>+D80+D82</f>
        <v>472726</v>
      </c>
      <c r="E89" s="243">
        <f t="shared" si="10"/>
        <v>138748</v>
      </c>
      <c r="F89" s="244">
        <f t="shared" si="11"/>
        <v>0.41544053799950897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37008</v>
      </c>
      <c r="E105" s="237">
        <f t="shared" ref="E105:E115" si="14">D105-C105</f>
        <v>37008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9560</v>
      </c>
      <c r="E106" s="237">
        <f t="shared" si="14"/>
        <v>9560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12799</v>
      </c>
      <c r="E107" s="237">
        <f t="shared" si="14"/>
        <v>12799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2900</v>
      </c>
      <c r="E108" s="237">
        <f t="shared" si="14"/>
        <v>2900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1</v>
      </c>
      <c r="E109" s="239">
        <f t="shared" si="14"/>
        <v>1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5</v>
      </c>
      <c r="E110" s="239">
        <f t="shared" si="14"/>
        <v>5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4</v>
      </c>
      <c r="E111" s="239">
        <f t="shared" si="14"/>
        <v>4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4</v>
      </c>
      <c r="E112" s="239">
        <f t="shared" si="14"/>
        <v>4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49807</v>
      </c>
      <c r="E114" s="243">
        <f t="shared" si="14"/>
        <v>49807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12460</v>
      </c>
      <c r="E115" s="243">
        <f t="shared" si="14"/>
        <v>12460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247648</v>
      </c>
      <c r="E118" s="237">
        <f t="shared" ref="E118:E128" si="16">D118-C118</f>
        <v>247648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109056</v>
      </c>
      <c r="E119" s="237">
        <f t="shared" si="16"/>
        <v>109056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122355</v>
      </c>
      <c r="E120" s="237">
        <f t="shared" si="16"/>
        <v>122355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66819</v>
      </c>
      <c r="E121" s="237">
        <f t="shared" si="16"/>
        <v>66819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7</v>
      </c>
      <c r="E122" s="239">
        <f t="shared" si="16"/>
        <v>7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24</v>
      </c>
      <c r="E123" s="239">
        <f t="shared" si="16"/>
        <v>24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43</v>
      </c>
      <c r="E124" s="239">
        <f t="shared" si="16"/>
        <v>43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11</v>
      </c>
      <c r="E125" s="239">
        <f t="shared" si="16"/>
        <v>11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370003</v>
      </c>
      <c r="E127" s="243">
        <f t="shared" si="16"/>
        <v>370003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175875</v>
      </c>
      <c r="E128" s="243">
        <f t="shared" si="16"/>
        <v>175875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65341</v>
      </c>
      <c r="E131" s="237">
        <f t="shared" ref="E131:E141" si="18">D131-C131</f>
        <v>65341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18102</v>
      </c>
      <c r="E132" s="237">
        <f t="shared" si="18"/>
        <v>18102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17593</v>
      </c>
      <c r="E133" s="237">
        <f t="shared" si="18"/>
        <v>17593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2606</v>
      </c>
      <c r="E134" s="237">
        <f t="shared" si="18"/>
        <v>2606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5</v>
      </c>
      <c r="E135" s="239">
        <f t="shared" si="18"/>
        <v>5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5</v>
      </c>
      <c r="E136" s="239">
        <f t="shared" si="18"/>
        <v>5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3</v>
      </c>
      <c r="E137" s="239">
        <f t="shared" si="18"/>
        <v>3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5</v>
      </c>
      <c r="E138" s="239">
        <f t="shared" si="18"/>
        <v>5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82934</v>
      </c>
      <c r="E140" s="243">
        <f t="shared" si="18"/>
        <v>82934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20708</v>
      </c>
      <c r="E141" s="243">
        <f t="shared" si="18"/>
        <v>20708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112047</v>
      </c>
      <c r="E183" s="237">
        <f t="shared" ref="E183:E193" si="26">D183-C183</f>
        <v>112047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64096</v>
      </c>
      <c r="E184" s="237">
        <f t="shared" si="26"/>
        <v>64096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58353</v>
      </c>
      <c r="E185" s="237">
        <f t="shared" si="26"/>
        <v>58353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22684</v>
      </c>
      <c r="E186" s="237">
        <f t="shared" si="26"/>
        <v>22684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3</v>
      </c>
      <c r="E187" s="239">
        <f t="shared" si="26"/>
        <v>3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22</v>
      </c>
      <c r="E188" s="239">
        <f t="shared" si="26"/>
        <v>22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9</v>
      </c>
      <c r="E189" s="239">
        <f t="shared" si="26"/>
        <v>9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17</v>
      </c>
      <c r="E190" s="239">
        <f t="shared" si="26"/>
        <v>17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170400</v>
      </c>
      <c r="E192" s="243">
        <f t="shared" si="26"/>
        <v>170400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86780</v>
      </c>
      <c r="E193" s="243">
        <f t="shared" si="26"/>
        <v>86780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17675681</v>
      </c>
      <c r="D198" s="243">
        <f t="shared" si="28"/>
        <v>18204576</v>
      </c>
      <c r="E198" s="243">
        <f t="shared" ref="E198:E208" si="29">D198-C198</f>
        <v>528895</v>
      </c>
      <c r="F198" s="251">
        <f t="shared" ref="F198:F208" si="30">IF(C198=0,0,E198/C198)</f>
        <v>2.9922185176344832E-2</v>
      </c>
    </row>
    <row r="199" spans="1:9" ht="20.25" customHeight="1" x14ac:dyDescent="0.3">
      <c r="A199" s="249"/>
      <c r="B199" s="250" t="s">
        <v>461</v>
      </c>
      <c r="C199" s="243">
        <f t="shared" si="28"/>
        <v>5624547</v>
      </c>
      <c r="D199" s="243">
        <f t="shared" si="28"/>
        <v>5816238</v>
      </c>
      <c r="E199" s="243">
        <f t="shared" si="29"/>
        <v>191691</v>
      </c>
      <c r="F199" s="251">
        <f t="shared" si="30"/>
        <v>3.4081144668183946E-2</v>
      </c>
    </row>
    <row r="200" spans="1:9" ht="20.25" customHeight="1" x14ac:dyDescent="0.3">
      <c r="A200" s="249"/>
      <c r="B200" s="250" t="s">
        <v>462</v>
      </c>
      <c r="C200" s="243">
        <f t="shared" si="28"/>
        <v>7502495</v>
      </c>
      <c r="D200" s="243">
        <f t="shared" si="28"/>
        <v>7904664</v>
      </c>
      <c r="E200" s="243">
        <f t="shared" si="29"/>
        <v>402169</v>
      </c>
      <c r="F200" s="251">
        <f t="shared" si="30"/>
        <v>5.3604700836188492E-2</v>
      </c>
    </row>
    <row r="201" spans="1:9" ht="20.25" customHeight="1" x14ac:dyDescent="0.3">
      <c r="A201" s="249"/>
      <c r="B201" s="250" t="s">
        <v>463</v>
      </c>
      <c r="C201" s="243">
        <f t="shared" si="28"/>
        <v>1849714</v>
      </c>
      <c r="D201" s="243">
        <f t="shared" si="28"/>
        <v>2046198</v>
      </c>
      <c r="E201" s="243">
        <f t="shared" si="29"/>
        <v>196484</v>
      </c>
      <c r="F201" s="251">
        <f t="shared" si="30"/>
        <v>0.10622398922211758</v>
      </c>
    </row>
    <row r="202" spans="1:9" ht="20.25" customHeight="1" x14ac:dyDescent="0.3">
      <c r="A202" s="249"/>
      <c r="B202" s="250" t="s">
        <v>464</v>
      </c>
      <c r="C202" s="252">
        <f t="shared" si="28"/>
        <v>562</v>
      </c>
      <c r="D202" s="252">
        <f t="shared" si="28"/>
        <v>615</v>
      </c>
      <c r="E202" s="252">
        <f t="shared" si="29"/>
        <v>53</v>
      </c>
      <c r="F202" s="251">
        <f t="shared" si="30"/>
        <v>9.4306049822064059E-2</v>
      </c>
    </row>
    <row r="203" spans="1:9" ht="20.25" customHeight="1" x14ac:dyDescent="0.3">
      <c r="A203" s="249"/>
      <c r="B203" s="250" t="s">
        <v>465</v>
      </c>
      <c r="C203" s="252">
        <f t="shared" si="28"/>
        <v>2615</v>
      </c>
      <c r="D203" s="252">
        <f t="shared" si="28"/>
        <v>2632</v>
      </c>
      <c r="E203" s="252">
        <f t="shared" si="29"/>
        <v>17</v>
      </c>
      <c r="F203" s="251">
        <f t="shared" si="30"/>
        <v>6.5009560229445503E-3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4827</v>
      </c>
      <c r="D204" s="252">
        <f t="shared" si="28"/>
        <v>4825</v>
      </c>
      <c r="E204" s="252">
        <f t="shared" si="29"/>
        <v>-2</v>
      </c>
      <c r="F204" s="251">
        <f t="shared" si="30"/>
        <v>-4.1433602651750571E-4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1296</v>
      </c>
      <c r="D205" s="252">
        <f t="shared" si="28"/>
        <v>1355</v>
      </c>
      <c r="E205" s="252">
        <f t="shared" si="29"/>
        <v>59</v>
      </c>
      <c r="F205" s="251">
        <f t="shared" si="30"/>
        <v>4.5524691358024692E-2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469</v>
      </c>
      <c r="C207" s="243">
        <f>+C198+C200</f>
        <v>25178176</v>
      </c>
      <c r="D207" s="243">
        <f>+D198+D200</f>
        <v>26109240</v>
      </c>
      <c r="E207" s="243">
        <f t="shared" si="29"/>
        <v>931064</v>
      </c>
      <c r="F207" s="251">
        <f t="shared" si="30"/>
        <v>3.6979009122821288E-2</v>
      </c>
    </row>
    <row r="208" spans="1:9" ht="20.25" customHeight="1" x14ac:dyDescent="0.3">
      <c r="A208" s="249"/>
      <c r="B208" s="242" t="s">
        <v>470</v>
      </c>
      <c r="C208" s="243">
        <f>+C199+C201</f>
        <v>7474261</v>
      </c>
      <c r="D208" s="243">
        <f>+D199+D201</f>
        <v>7862436</v>
      </c>
      <c r="E208" s="243">
        <f t="shared" si="29"/>
        <v>388175</v>
      </c>
      <c r="F208" s="251">
        <f t="shared" si="30"/>
        <v>5.1934900319911229E-2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1589061</v>
      </c>
      <c r="D26" s="237">
        <v>1389132</v>
      </c>
      <c r="E26" s="237">
        <f t="shared" ref="E26:E36" si="2">D26-C26</f>
        <v>-199929</v>
      </c>
      <c r="F26" s="238">
        <f t="shared" ref="F26:F36" si="3">IF(C26=0,0,E26/C26)</f>
        <v>-0.12581581197952754</v>
      </c>
    </row>
    <row r="27" spans="1:6" ht="20.25" customHeight="1" x14ac:dyDescent="0.3">
      <c r="A27" s="235">
        <v>2</v>
      </c>
      <c r="B27" s="236" t="s">
        <v>435</v>
      </c>
      <c r="C27" s="237">
        <v>588129</v>
      </c>
      <c r="D27" s="237">
        <v>471589</v>
      </c>
      <c r="E27" s="237">
        <f t="shared" si="2"/>
        <v>-116540</v>
      </c>
      <c r="F27" s="238">
        <f t="shared" si="3"/>
        <v>-0.19815380639281518</v>
      </c>
    </row>
    <row r="28" spans="1:6" ht="20.25" customHeight="1" x14ac:dyDescent="0.3">
      <c r="A28" s="235">
        <v>3</v>
      </c>
      <c r="B28" s="236" t="s">
        <v>436</v>
      </c>
      <c r="C28" s="237">
        <v>2921695</v>
      </c>
      <c r="D28" s="237">
        <v>3857420</v>
      </c>
      <c r="E28" s="237">
        <f t="shared" si="2"/>
        <v>935725</v>
      </c>
      <c r="F28" s="238">
        <f t="shared" si="3"/>
        <v>0.32026785821244175</v>
      </c>
    </row>
    <row r="29" spans="1:6" ht="20.25" customHeight="1" x14ac:dyDescent="0.3">
      <c r="A29" s="235">
        <v>4</v>
      </c>
      <c r="B29" s="236" t="s">
        <v>437</v>
      </c>
      <c r="C29" s="237">
        <v>813617</v>
      </c>
      <c r="D29" s="237">
        <v>1152597</v>
      </c>
      <c r="E29" s="237">
        <f t="shared" si="2"/>
        <v>338980</v>
      </c>
      <c r="F29" s="238">
        <f t="shared" si="3"/>
        <v>0.41663337909606118</v>
      </c>
    </row>
    <row r="30" spans="1:6" ht="20.25" customHeight="1" x14ac:dyDescent="0.3">
      <c r="A30" s="235">
        <v>5</v>
      </c>
      <c r="B30" s="236" t="s">
        <v>373</v>
      </c>
      <c r="C30" s="239">
        <v>191</v>
      </c>
      <c r="D30" s="239">
        <v>156</v>
      </c>
      <c r="E30" s="239">
        <f t="shared" si="2"/>
        <v>-35</v>
      </c>
      <c r="F30" s="238">
        <f t="shared" si="3"/>
        <v>-0.18324607329842932</v>
      </c>
    </row>
    <row r="31" spans="1:6" ht="20.25" customHeight="1" x14ac:dyDescent="0.3">
      <c r="A31" s="235">
        <v>6</v>
      </c>
      <c r="B31" s="236" t="s">
        <v>372</v>
      </c>
      <c r="C31" s="239">
        <v>545</v>
      </c>
      <c r="D31" s="239">
        <v>432</v>
      </c>
      <c r="E31" s="239">
        <f t="shared" si="2"/>
        <v>-113</v>
      </c>
      <c r="F31" s="238">
        <f t="shared" si="3"/>
        <v>-0.20733944954128442</v>
      </c>
    </row>
    <row r="32" spans="1:6" ht="20.25" customHeight="1" x14ac:dyDescent="0.3">
      <c r="A32" s="235">
        <v>7</v>
      </c>
      <c r="B32" s="236" t="s">
        <v>438</v>
      </c>
      <c r="C32" s="239">
        <v>733</v>
      </c>
      <c r="D32" s="239">
        <v>898</v>
      </c>
      <c r="E32" s="239">
        <f t="shared" si="2"/>
        <v>165</v>
      </c>
      <c r="F32" s="238">
        <f t="shared" si="3"/>
        <v>0.22510231923601637</v>
      </c>
    </row>
    <row r="33" spans="1:6" ht="20.25" customHeight="1" x14ac:dyDescent="0.3">
      <c r="A33" s="235">
        <v>8</v>
      </c>
      <c r="B33" s="236" t="s">
        <v>439</v>
      </c>
      <c r="C33" s="239">
        <v>2142</v>
      </c>
      <c r="D33" s="239">
        <v>2690</v>
      </c>
      <c r="E33" s="239">
        <f t="shared" si="2"/>
        <v>548</v>
      </c>
      <c r="F33" s="238">
        <f t="shared" si="3"/>
        <v>0.25583566760037346</v>
      </c>
    </row>
    <row r="34" spans="1:6" ht="20.25" customHeight="1" x14ac:dyDescent="0.3">
      <c r="A34" s="235">
        <v>9</v>
      </c>
      <c r="B34" s="236" t="s">
        <v>440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4510756</v>
      </c>
      <c r="D35" s="243">
        <f>+D26+D28</f>
        <v>5246552</v>
      </c>
      <c r="E35" s="243">
        <f t="shared" si="2"/>
        <v>735796</v>
      </c>
      <c r="F35" s="244">
        <f t="shared" si="3"/>
        <v>0.16312032838841206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1401746</v>
      </c>
      <c r="D36" s="243">
        <f>+D27+D29</f>
        <v>1624186</v>
      </c>
      <c r="E36" s="243">
        <f t="shared" si="2"/>
        <v>222440</v>
      </c>
      <c r="F36" s="244">
        <f t="shared" si="3"/>
        <v>0.15868780791955175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738992</v>
      </c>
      <c r="D50" s="237">
        <v>361397</v>
      </c>
      <c r="E50" s="237">
        <f t="shared" ref="E50:E60" si="6">D50-C50</f>
        <v>-377595</v>
      </c>
      <c r="F50" s="238">
        <f t="shared" ref="F50:F60" si="7">IF(C50=0,0,E50/C50)</f>
        <v>-0.51095952324247085</v>
      </c>
    </row>
    <row r="51" spans="1:6" ht="20.25" customHeight="1" x14ac:dyDescent="0.3">
      <c r="A51" s="235">
        <v>2</v>
      </c>
      <c r="B51" s="236" t="s">
        <v>435</v>
      </c>
      <c r="C51" s="237">
        <v>172893</v>
      </c>
      <c r="D51" s="237">
        <v>102163</v>
      </c>
      <c r="E51" s="237">
        <f t="shared" si="6"/>
        <v>-70730</v>
      </c>
      <c r="F51" s="238">
        <f t="shared" si="7"/>
        <v>-0.40909695592071399</v>
      </c>
    </row>
    <row r="52" spans="1:6" ht="20.25" customHeight="1" x14ac:dyDescent="0.3">
      <c r="A52" s="235">
        <v>3</v>
      </c>
      <c r="B52" s="236" t="s">
        <v>436</v>
      </c>
      <c r="C52" s="237">
        <v>1544678</v>
      </c>
      <c r="D52" s="237">
        <v>954285</v>
      </c>
      <c r="E52" s="237">
        <f t="shared" si="6"/>
        <v>-590393</v>
      </c>
      <c r="F52" s="238">
        <f t="shared" si="7"/>
        <v>-0.3822110498110286</v>
      </c>
    </row>
    <row r="53" spans="1:6" ht="20.25" customHeight="1" x14ac:dyDescent="0.3">
      <c r="A53" s="235">
        <v>4</v>
      </c>
      <c r="B53" s="236" t="s">
        <v>437</v>
      </c>
      <c r="C53" s="237">
        <v>368716</v>
      </c>
      <c r="D53" s="237">
        <v>236880</v>
      </c>
      <c r="E53" s="237">
        <f t="shared" si="6"/>
        <v>-131836</v>
      </c>
      <c r="F53" s="238">
        <f t="shared" si="7"/>
        <v>-0.35755432365289275</v>
      </c>
    </row>
    <row r="54" spans="1:6" ht="20.25" customHeight="1" x14ac:dyDescent="0.3">
      <c r="A54" s="235">
        <v>5</v>
      </c>
      <c r="B54" s="236" t="s">
        <v>373</v>
      </c>
      <c r="C54" s="239">
        <v>63</v>
      </c>
      <c r="D54" s="239">
        <v>40</v>
      </c>
      <c r="E54" s="239">
        <f t="shared" si="6"/>
        <v>-23</v>
      </c>
      <c r="F54" s="238">
        <f t="shared" si="7"/>
        <v>-0.36507936507936506</v>
      </c>
    </row>
    <row r="55" spans="1:6" ht="20.25" customHeight="1" x14ac:dyDescent="0.3">
      <c r="A55" s="235">
        <v>6</v>
      </c>
      <c r="B55" s="236" t="s">
        <v>372</v>
      </c>
      <c r="C55" s="239">
        <v>199</v>
      </c>
      <c r="D55" s="239">
        <v>106</v>
      </c>
      <c r="E55" s="239">
        <f t="shared" si="6"/>
        <v>-93</v>
      </c>
      <c r="F55" s="238">
        <f t="shared" si="7"/>
        <v>-0.46733668341708545</v>
      </c>
    </row>
    <row r="56" spans="1:6" ht="20.25" customHeight="1" x14ac:dyDescent="0.3">
      <c r="A56" s="235">
        <v>7</v>
      </c>
      <c r="B56" s="236" t="s">
        <v>438</v>
      </c>
      <c r="C56" s="239">
        <v>385</v>
      </c>
      <c r="D56" s="239">
        <v>267</v>
      </c>
      <c r="E56" s="239">
        <f t="shared" si="6"/>
        <v>-118</v>
      </c>
      <c r="F56" s="238">
        <f t="shared" si="7"/>
        <v>-0.30649350649350648</v>
      </c>
    </row>
    <row r="57" spans="1:6" ht="20.25" customHeight="1" x14ac:dyDescent="0.3">
      <c r="A57" s="235">
        <v>8</v>
      </c>
      <c r="B57" s="236" t="s">
        <v>439</v>
      </c>
      <c r="C57" s="239">
        <v>1097</v>
      </c>
      <c r="D57" s="239">
        <v>658</v>
      </c>
      <c r="E57" s="239">
        <f t="shared" si="6"/>
        <v>-439</v>
      </c>
      <c r="F57" s="238">
        <f t="shared" si="7"/>
        <v>-0.4001823154056518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2283670</v>
      </c>
      <c r="D59" s="243">
        <f>+D50+D52</f>
        <v>1315682</v>
      </c>
      <c r="E59" s="243">
        <f t="shared" si="6"/>
        <v>-967988</v>
      </c>
      <c r="F59" s="244">
        <f t="shared" si="7"/>
        <v>-0.42387385217654039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541609</v>
      </c>
      <c r="D60" s="243">
        <f>+D51+D53</f>
        <v>339043</v>
      </c>
      <c r="E60" s="243">
        <f t="shared" si="6"/>
        <v>-202566</v>
      </c>
      <c r="F60" s="244">
        <f t="shared" si="7"/>
        <v>-0.37400781744764211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1163018</v>
      </c>
      <c r="D98" s="237">
        <v>963915</v>
      </c>
      <c r="E98" s="237">
        <f t="shared" ref="E98:E108" si="14">D98-C98</f>
        <v>-199103</v>
      </c>
      <c r="F98" s="238">
        <f t="shared" ref="F98:F108" si="15">IF(C98=0,0,E98/C98)</f>
        <v>-0.17119511477896301</v>
      </c>
    </row>
    <row r="99" spans="1:7" ht="20.25" customHeight="1" x14ac:dyDescent="0.3">
      <c r="A99" s="235">
        <v>2</v>
      </c>
      <c r="B99" s="236" t="s">
        <v>435</v>
      </c>
      <c r="C99" s="237">
        <v>152651</v>
      </c>
      <c r="D99" s="237">
        <v>233259</v>
      </c>
      <c r="E99" s="237">
        <f t="shared" si="14"/>
        <v>80608</v>
      </c>
      <c r="F99" s="238">
        <f t="shared" si="15"/>
        <v>0.52805418896699008</v>
      </c>
    </row>
    <row r="100" spans="1:7" ht="20.25" customHeight="1" x14ac:dyDescent="0.3">
      <c r="A100" s="235">
        <v>3</v>
      </c>
      <c r="B100" s="236" t="s">
        <v>436</v>
      </c>
      <c r="C100" s="237">
        <v>1626524</v>
      </c>
      <c r="D100" s="237">
        <v>2314823</v>
      </c>
      <c r="E100" s="237">
        <f t="shared" si="14"/>
        <v>688299</v>
      </c>
      <c r="F100" s="238">
        <f t="shared" si="15"/>
        <v>0.42317174539078428</v>
      </c>
    </row>
    <row r="101" spans="1:7" ht="20.25" customHeight="1" x14ac:dyDescent="0.3">
      <c r="A101" s="235">
        <v>4</v>
      </c>
      <c r="B101" s="236" t="s">
        <v>437</v>
      </c>
      <c r="C101" s="237">
        <v>424729</v>
      </c>
      <c r="D101" s="237">
        <v>597146</v>
      </c>
      <c r="E101" s="237">
        <f t="shared" si="14"/>
        <v>172417</v>
      </c>
      <c r="F101" s="238">
        <f t="shared" si="15"/>
        <v>0.40594590903846922</v>
      </c>
    </row>
    <row r="102" spans="1:7" ht="20.25" customHeight="1" x14ac:dyDescent="0.3">
      <c r="A102" s="235">
        <v>5</v>
      </c>
      <c r="B102" s="236" t="s">
        <v>373</v>
      </c>
      <c r="C102" s="239">
        <v>56</v>
      </c>
      <c r="D102" s="239">
        <v>76</v>
      </c>
      <c r="E102" s="239">
        <f t="shared" si="14"/>
        <v>20</v>
      </c>
      <c r="F102" s="238">
        <f t="shared" si="15"/>
        <v>0.35714285714285715</v>
      </c>
    </row>
    <row r="103" spans="1:7" ht="20.25" customHeight="1" x14ac:dyDescent="0.3">
      <c r="A103" s="235">
        <v>6</v>
      </c>
      <c r="B103" s="236" t="s">
        <v>372</v>
      </c>
      <c r="C103" s="239">
        <v>221</v>
      </c>
      <c r="D103" s="239">
        <v>231</v>
      </c>
      <c r="E103" s="239">
        <f t="shared" si="14"/>
        <v>10</v>
      </c>
      <c r="F103" s="238">
        <f t="shared" si="15"/>
        <v>4.5248868778280542E-2</v>
      </c>
    </row>
    <row r="104" spans="1:7" ht="20.25" customHeight="1" x14ac:dyDescent="0.3">
      <c r="A104" s="235">
        <v>7</v>
      </c>
      <c r="B104" s="236" t="s">
        <v>438</v>
      </c>
      <c r="C104" s="239">
        <v>241</v>
      </c>
      <c r="D104" s="239">
        <v>728</v>
      </c>
      <c r="E104" s="239">
        <f t="shared" si="14"/>
        <v>487</v>
      </c>
      <c r="F104" s="238">
        <f t="shared" si="15"/>
        <v>2.0207468879668049</v>
      </c>
    </row>
    <row r="105" spans="1:7" ht="20.25" customHeight="1" x14ac:dyDescent="0.3">
      <c r="A105" s="235">
        <v>8</v>
      </c>
      <c r="B105" s="236" t="s">
        <v>439</v>
      </c>
      <c r="C105" s="239">
        <v>1242</v>
      </c>
      <c r="D105" s="239">
        <v>1563</v>
      </c>
      <c r="E105" s="239">
        <f t="shared" si="14"/>
        <v>321</v>
      </c>
      <c r="F105" s="238">
        <f t="shared" si="15"/>
        <v>0.25845410628019322</v>
      </c>
    </row>
    <row r="106" spans="1:7" ht="20.25" customHeight="1" x14ac:dyDescent="0.3">
      <c r="A106" s="235">
        <v>9</v>
      </c>
      <c r="B106" s="236" t="s">
        <v>440</v>
      </c>
      <c r="C106" s="239">
        <v>0</v>
      </c>
      <c r="D106" s="239">
        <v>0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2789542</v>
      </c>
      <c r="D107" s="243">
        <f>+D98+D100</f>
        <v>3278738</v>
      </c>
      <c r="E107" s="243">
        <f t="shared" si="14"/>
        <v>489196</v>
      </c>
      <c r="F107" s="244">
        <f t="shared" si="15"/>
        <v>0.17536785608533587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577380</v>
      </c>
      <c r="D108" s="243">
        <f>+D99+D101</f>
        <v>830405</v>
      </c>
      <c r="E108" s="243">
        <f t="shared" si="14"/>
        <v>253025</v>
      </c>
      <c r="F108" s="244">
        <f t="shared" si="15"/>
        <v>0.4382295888323115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3491071</v>
      </c>
      <c r="D112" s="243">
        <f t="shared" si="16"/>
        <v>2714444</v>
      </c>
      <c r="E112" s="243">
        <f t="shared" ref="E112:E122" si="17">D112-C112</f>
        <v>-776627</v>
      </c>
      <c r="F112" s="244">
        <f t="shared" ref="F112:F122" si="18">IF(C112=0,0,E112/C112)</f>
        <v>-0.22246095825607673</v>
      </c>
    </row>
    <row r="113" spans="1:6" ht="20.25" customHeight="1" x14ac:dyDescent="0.3">
      <c r="A113" s="249"/>
      <c r="B113" s="250" t="s">
        <v>461</v>
      </c>
      <c r="C113" s="243">
        <f t="shared" si="16"/>
        <v>913673</v>
      </c>
      <c r="D113" s="243">
        <f t="shared" si="16"/>
        <v>807011</v>
      </c>
      <c r="E113" s="243">
        <f t="shared" si="17"/>
        <v>-106662</v>
      </c>
      <c r="F113" s="244">
        <f t="shared" si="18"/>
        <v>-0.11673979640418398</v>
      </c>
    </row>
    <row r="114" spans="1:6" ht="20.25" customHeight="1" x14ac:dyDescent="0.3">
      <c r="A114" s="249"/>
      <c r="B114" s="250" t="s">
        <v>462</v>
      </c>
      <c r="C114" s="243">
        <f t="shared" si="16"/>
        <v>6092897</v>
      </c>
      <c r="D114" s="243">
        <f t="shared" si="16"/>
        <v>7126528</v>
      </c>
      <c r="E114" s="243">
        <f t="shared" si="17"/>
        <v>1033631</v>
      </c>
      <c r="F114" s="244">
        <f t="shared" si="18"/>
        <v>0.16964524429019562</v>
      </c>
    </row>
    <row r="115" spans="1:6" ht="20.25" customHeight="1" x14ac:dyDescent="0.3">
      <c r="A115" s="249"/>
      <c r="B115" s="250" t="s">
        <v>463</v>
      </c>
      <c r="C115" s="243">
        <f t="shared" si="16"/>
        <v>1607062</v>
      </c>
      <c r="D115" s="243">
        <f t="shared" si="16"/>
        <v>1986623</v>
      </c>
      <c r="E115" s="243">
        <f t="shared" si="17"/>
        <v>379561</v>
      </c>
      <c r="F115" s="244">
        <f t="shared" si="18"/>
        <v>0.23618317152667415</v>
      </c>
    </row>
    <row r="116" spans="1:6" ht="20.25" customHeight="1" x14ac:dyDescent="0.3">
      <c r="A116" s="249"/>
      <c r="B116" s="250" t="s">
        <v>464</v>
      </c>
      <c r="C116" s="252">
        <f t="shared" si="16"/>
        <v>310</v>
      </c>
      <c r="D116" s="252">
        <f t="shared" si="16"/>
        <v>272</v>
      </c>
      <c r="E116" s="252">
        <f t="shared" si="17"/>
        <v>-38</v>
      </c>
      <c r="F116" s="244">
        <f t="shared" si="18"/>
        <v>-0.12258064516129032</v>
      </c>
    </row>
    <row r="117" spans="1:6" ht="20.25" customHeight="1" x14ac:dyDescent="0.3">
      <c r="A117" s="249"/>
      <c r="B117" s="250" t="s">
        <v>465</v>
      </c>
      <c r="C117" s="252">
        <f t="shared" si="16"/>
        <v>965</v>
      </c>
      <c r="D117" s="252">
        <f t="shared" si="16"/>
        <v>769</v>
      </c>
      <c r="E117" s="252">
        <f t="shared" si="17"/>
        <v>-196</v>
      </c>
      <c r="F117" s="244">
        <f t="shared" si="18"/>
        <v>-0.20310880829015543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1359</v>
      </c>
      <c r="D118" s="252">
        <f t="shared" si="16"/>
        <v>1893</v>
      </c>
      <c r="E118" s="252">
        <f t="shared" si="17"/>
        <v>534</v>
      </c>
      <c r="F118" s="244">
        <f t="shared" si="18"/>
        <v>0.39293598233995586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4481</v>
      </c>
      <c r="D119" s="252">
        <f t="shared" si="16"/>
        <v>4911</v>
      </c>
      <c r="E119" s="252">
        <f t="shared" si="17"/>
        <v>430</v>
      </c>
      <c r="F119" s="244">
        <f t="shared" si="18"/>
        <v>9.5960723052889982E-2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0</v>
      </c>
      <c r="D120" s="252">
        <f t="shared" si="16"/>
        <v>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441</v>
      </c>
      <c r="C121" s="243">
        <f>+C112+C114</f>
        <v>9583968</v>
      </c>
      <c r="D121" s="243">
        <f>+D112+D114</f>
        <v>9840972</v>
      </c>
      <c r="E121" s="243">
        <f t="shared" si="17"/>
        <v>257004</v>
      </c>
      <c r="F121" s="244">
        <f t="shared" si="18"/>
        <v>2.6816032774733805E-2</v>
      </c>
    </row>
    <row r="122" spans="1:6" ht="39.950000000000003" customHeight="1" x14ac:dyDescent="0.3">
      <c r="A122" s="249"/>
      <c r="B122" s="242" t="s">
        <v>470</v>
      </c>
      <c r="C122" s="243">
        <f>+C113+C115</f>
        <v>2520735</v>
      </c>
      <c r="D122" s="243">
        <f>+D113+D115</f>
        <v>2793634</v>
      </c>
      <c r="E122" s="243">
        <f t="shared" si="17"/>
        <v>272899</v>
      </c>
      <c r="F122" s="244">
        <f t="shared" si="18"/>
        <v>0.10826167764560733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8" fitToHeight="2" orientation="portrait" horizontalDpi="1200" verticalDpi="1200" r:id="rId1"/>
  <headerFooter>
    <oddHeader>&amp;LOFFICE OF HEALTH CARE ACCESS&amp;CTWELVE MONTHS ACTUAL FILING&amp;RMILFORD HOSPITAL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2724153</v>
      </c>
      <c r="D13" s="23">
        <v>2195638</v>
      </c>
      <c r="E13" s="23">
        <f t="shared" ref="E13:E22" si="0">D13-C13</f>
        <v>-528515</v>
      </c>
      <c r="F13" s="24">
        <f t="shared" ref="F13:F22" si="1">IF(C13=0,0,E13/C13)</f>
        <v>-0.19401076224426456</v>
      </c>
    </row>
    <row r="14" spans="1:8" ht="24" customHeight="1" x14ac:dyDescent="0.2">
      <c r="A14" s="21">
        <v>2</v>
      </c>
      <c r="B14" s="22" t="s">
        <v>17</v>
      </c>
      <c r="C14" s="23">
        <v>223553</v>
      </c>
      <c r="D14" s="23">
        <v>224820</v>
      </c>
      <c r="E14" s="23">
        <f t="shared" si="0"/>
        <v>1267</v>
      </c>
      <c r="F14" s="24">
        <f t="shared" si="1"/>
        <v>5.667559818029729E-3</v>
      </c>
    </row>
    <row r="15" spans="1:8" ht="35.1" customHeight="1" x14ac:dyDescent="0.2">
      <c r="A15" s="21">
        <v>3</v>
      </c>
      <c r="B15" s="22" t="s">
        <v>18</v>
      </c>
      <c r="C15" s="23">
        <v>14042585</v>
      </c>
      <c r="D15" s="23">
        <v>12871074</v>
      </c>
      <c r="E15" s="23">
        <f t="shared" si="0"/>
        <v>-1171511</v>
      </c>
      <c r="F15" s="24">
        <f t="shared" si="1"/>
        <v>-8.3425594361721866E-2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778225</v>
      </c>
      <c r="D19" s="23">
        <v>748785</v>
      </c>
      <c r="E19" s="23">
        <f t="shared" si="0"/>
        <v>-29440</v>
      </c>
      <c r="F19" s="24">
        <f t="shared" si="1"/>
        <v>-3.7829676507436794E-2</v>
      </c>
    </row>
    <row r="20" spans="1:11" ht="24" customHeight="1" x14ac:dyDescent="0.2">
      <c r="A20" s="21">
        <v>8</v>
      </c>
      <c r="B20" s="22" t="s">
        <v>23</v>
      </c>
      <c r="C20" s="23">
        <v>662081</v>
      </c>
      <c r="D20" s="23">
        <v>669748</v>
      </c>
      <c r="E20" s="23">
        <f t="shared" si="0"/>
        <v>7667</v>
      </c>
      <c r="F20" s="24">
        <f t="shared" si="1"/>
        <v>1.1580154089907427E-2</v>
      </c>
    </row>
    <row r="21" spans="1:11" ht="24" customHeight="1" x14ac:dyDescent="0.2">
      <c r="A21" s="21">
        <v>9</v>
      </c>
      <c r="B21" s="22" t="s">
        <v>24</v>
      </c>
      <c r="C21" s="23">
        <v>807960</v>
      </c>
      <c r="D21" s="23">
        <v>755181</v>
      </c>
      <c r="E21" s="23">
        <f t="shared" si="0"/>
        <v>-52779</v>
      </c>
      <c r="F21" s="24">
        <f t="shared" si="1"/>
        <v>-6.5323778404871524E-2</v>
      </c>
    </row>
    <row r="22" spans="1:11" ht="24" customHeight="1" x14ac:dyDescent="0.25">
      <c r="A22" s="25"/>
      <c r="B22" s="26" t="s">
        <v>25</v>
      </c>
      <c r="C22" s="27">
        <f>SUM(C13:C21)</f>
        <v>19238557</v>
      </c>
      <c r="D22" s="27">
        <f>SUM(D13:D21)</f>
        <v>17465246</v>
      </c>
      <c r="E22" s="27">
        <f t="shared" si="0"/>
        <v>-1773311</v>
      </c>
      <c r="F22" s="28">
        <f t="shared" si="1"/>
        <v>-9.2174844506269366E-2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682345</v>
      </c>
      <c r="D25" s="23">
        <v>722904</v>
      </c>
      <c r="E25" s="23">
        <f>D25-C25</f>
        <v>40559</v>
      </c>
      <c r="F25" s="24">
        <f>IF(C25=0,0,E25/C25)</f>
        <v>5.9440605558771592E-2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1060894</v>
      </c>
      <c r="D28" s="23">
        <v>1076481</v>
      </c>
      <c r="E28" s="23">
        <f>D28-C28</f>
        <v>15587</v>
      </c>
      <c r="F28" s="24">
        <f>IF(C28=0,0,E28/C28)</f>
        <v>1.4692325529223466E-2</v>
      </c>
    </row>
    <row r="29" spans="1:11" ht="35.1" customHeight="1" x14ac:dyDescent="0.25">
      <c r="A29" s="25"/>
      <c r="B29" s="26" t="s">
        <v>32</v>
      </c>
      <c r="C29" s="27">
        <f>SUM(C25:C28)</f>
        <v>1743239</v>
      </c>
      <c r="D29" s="27">
        <f>SUM(D25:D28)</f>
        <v>1799385</v>
      </c>
      <c r="E29" s="27">
        <f>D29-C29</f>
        <v>56146</v>
      </c>
      <c r="F29" s="28">
        <f>IF(C29=0,0,E29/C29)</f>
        <v>3.2207861343166368E-2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30095058</v>
      </c>
      <c r="D32" s="23">
        <v>28261217</v>
      </c>
      <c r="E32" s="23">
        <f>D32-C32</f>
        <v>-1833841</v>
      </c>
      <c r="F32" s="24">
        <f>IF(C32=0,0,E32/C32)</f>
        <v>-6.093495483544175E-2</v>
      </c>
    </row>
    <row r="33" spans="1:8" ht="24" customHeight="1" x14ac:dyDescent="0.2">
      <c r="A33" s="21">
        <v>7</v>
      </c>
      <c r="B33" s="22" t="s">
        <v>35</v>
      </c>
      <c r="C33" s="23">
        <v>738469</v>
      </c>
      <c r="D33" s="23">
        <v>1030708</v>
      </c>
      <c r="E33" s="23">
        <f>D33-C33</f>
        <v>292239</v>
      </c>
      <c r="F33" s="24">
        <f>IF(C33=0,0,E33/C33)</f>
        <v>0.39573631391432817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81442041</v>
      </c>
      <c r="D36" s="23">
        <v>82395451</v>
      </c>
      <c r="E36" s="23">
        <f>D36-C36</f>
        <v>953410</v>
      </c>
      <c r="F36" s="24">
        <f>IF(C36=0,0,E36/C36)</f>
        <v>1.1706607401943672E-2</v>
      </c>
    </row>
    <row r="37" spans="1:8" ht="24" customHeight="1" x14ac:dyDescent="0.2">
      <c r="A37" s="21">
        <v>2</v>
      </c>
      <c r="B37" s="22" t="s">
        <v>39</v>
      </c>
      <c r="C37" s="23">
        <v>43438546</v>
      </c>
      <c r="D37" s="23">
        <v>47013853</v>
      </c>
      <c r="E37" s="23">
        <f>D37-C37</f>
        <v>3575307</v>
      </c>
      <c r="F37" s="23">
        <f>IF(C37=0,0,E37/C37)</f>
        <v>8.2307243893476545E-2</v>
      </c>
    </row>
    <row r="38" spans="1:8" ht="24" customHeight="1" x14ac:dyDescent="0.25">
      <c r="A38" s="25"/>
      <c r="B38" s="26" t="s">
        <v>40</v>
      </c>
      <c r="C38" s="27">
        <f>C36-C37</f>
        <v>38003495</v>
      </c>
      <c r="D38" s="27">
        <f>D36-D37</f>
        <v>35381598</v>
      </c>
      <c r="E38" s="27">
        <f>D38-C38</f>
        <v>-2621897</v>
      </c>
      <c r="F38" s="28">
        <f>IF(C38=0,0,E38/C38)</f>
        <v>-6.8990944122376108E-2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984240</v>
      </c>
      <c r="D40" s="23">
        <v>4823678</v>
      </c>
      <c r="E40" s="23">
        <f>D40-C40</f>
        <v>3839438</v>
      </c>
      <c r="F40" s="24">
        <f>IF(C40=0,0,E40/C40)</f>
        <v>3.9009164431439487</v>
      </c>
    </row>
    <row r="41" spans="1:8" ht="24" customHeight="1" x14ac:dyDescent="0.25">
      <c r="A41" s="25"/>
      <c r="B41" s="26" t="s">
        <v>42</v>
      </c>
      <c r="C41" s="27">
        <f>+C38+C40</f>
        <v>38987735</v>
      </c>
      <c r="D41" s="27">
        <f>+D38+D40</f>
        <v>40205276</v>
      </c>
      <c r="E41" s="27">
        <f>D41-C41</f>
        <v>1217541</v>
      </c>
      <c r="F41" s="28">
        <f>IF(C41=0,0,E41/C41)</f>
        <v>3.1228821063855081E-2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90803058</v>
      </c>
      <c r="D43" s="27">
        <f>D22+D29+D31+D32+D33+D41</f>
        <v>88761832</v>
      </c>
      <c r="E43" s="27">
        <f>D43-C43</f>
        <v>-2041226</v>
      </c>
      <c r="F43" s="28">
        <f>IF(C43=0,0,E43/C43)</f>
        <v>-2.247970547423634E-2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4428033</v>
      </c>
      <c r="D49" s="23">
        <v>4615591</v>
      </c>
      <c r="E49" s="23">
        <f t="shared" ref="E49:E56" si="2">D49-C49</f>
        <v>187558</v>
      </c>
      <c r="F49" s="24">
        <f t="shared" ref="F49:F56" si="3">IF(C49=0,0,E49/C49)</f>
        <v>4.235695623767935E-2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6529676</v>
      </c>
      <c r="D50" s="23">
        <v>6091816</v>
      </c>
      <c r="E50" s="23">
        <f t="shared" si="2"/>
        <v>-437860</v>
      </c>
      <c r="F50" s="24">
        <f t="shared" si="3"/>
        <v>-6.70569259485463E-2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2496124</v>
      </c>
      <c r="D51" s="23">
        <v>1977820</v>
      </c>
      <c r="E51" s="23">
        <f t="shared" si="2"/>
        <v>-518304</v>
      </c>
      <c r="F51" s="24">
        <f t="shared" si="3"/>
        <v>-0.20764353052973331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922016</v>
      </c>
      <c r="D54" s="23">
        <v>892497</v>
      </c>
      <c r="E54" s="23">
        <f t="shared" si="2"/>
        <v>-29519</v>
      </c>
      <c r="F54" s="24">
        <f t="shared" si="3"/>
        <v>-3.2015713393259988E-2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3019603</v>
      </c>
      <c r="D55" s="23">
        <v>3191714</v>
      </c>
      <c r="E55" s="23">
        <f t="shared" si="2"/>
        <v>172111</v>
      </c>
      <c r="F55" s="24">
        <f t="shared" si="3"/>
        <v>5.6997890119992595E-2</v>
      </c>
    </row>
    <row r="56" spans="1:6" ht="24" customHeight="1" x14ac:dyDescent="0.25">
      <c r="A56" s="25"/>
      <c r="B56" s="26" t="s">
        <v>54</v>
      </c>
      <c r="C56" s="27">
        <f>SUM(C49:C55)</f>
        <v>17395452</v>
      </c>
      <c r="D56" s="27">
        <f>SUM(D49:D55)</f>
        <v>16769438</v>
      </c>
      <c r="E56" s="27">
        <f t="shared" si="2"/>
        <v>-626014</v>
      </c>
      <c r="F56" s="28">
        <f t="shared" si="3"/>
        <v>-3.5987222407328073E-2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4988931</v>
      </c>
      <c r="D60" s="23">
        <v>7257480</v>
      </c>
      <c r="E60" s="23">
        <f>D60-C60</f>
        <v>2268549</v>
      </c>
      <c r="F60" s="24">
        <f>IF(C60=0,0,E60/C60)</f>
        <v>0.45471645127984334</v>
      </c>
    </row>
    <row r="61" spans="1:6" ht="24" customHeight="1" x14ac:dyDescent="0.25">
      <c r="A61" s="25"/>
      <c r="B61" s="26" t="s">
        <v>58</v>
      </c>
      <c r="C61" s="27">
        <f>SUM(C59:C60)</f>
        <v>4988931</v>
      </c>
      <c r="D61" s="27">
        <f>SUM(D59:D60)</f>
        <v>7257480</v>
      </c>
      <c r="E61" s="27">
        <f>D61-C61</f>
        <v>2268549</v>
      </c>
      <c r="F61" s="28">
        <f>IF(C61=0,0,E61/C61)</f>
        <v>0.45471645127984334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20708832</v>
      </c>
      <c r="D63" s="23">
        <v>26780814</v>
      </c>
      <c r="E63" s="23">
        <f>D63-C63</f>
        <v>6071982</v>
      </c>
      <c r="F63" s="24">
        <f>IF(C63=0,0,E63/C63)</f>
        <v>0.29320736196034619</v>
      </c>
    </row>
    <row r="64" spans="1:6" ht="24" customHeight="1" x14ac:dyDescent="0.2">
      <c r="A64" s="21">
        <v>4</v>
      </c>
      <c r="B64" s="22" t="s">
        <v>60</v>
      </c>
      <c r="C64" s="23">
        <v>1150469</v>
      </c>
      <c r="D64" s="23">
        <v>1139396</v>
      </c>
      <c r="E64" s="23">
        <f>D64-C64</f>
        <v>-11073</v>
      </c>
      <c r="F64" s="24">
        <f>IF(C64=0,0,E64/C64)</f>
        <v>-9.6247704197157859E-3</v>
      </c>
    </row>
    <row r="65" spans="1:6" ht="24" customHeight="1" x14ac:dyDescent="0.25">
      <c r="A65" s="25"/>
      <c r="B65" s="26" t="s">
        <v>61</v>
      </c>
      <c r="C65" s="27">
        <f>SUM(C61:C64)</f>
        <v>26848232</v>
      </c>
      <c r="D65" s="27">
        <f>SUM(D61:D64)</f>
        <v>35177690</v>
      </c>
      <c r="E65" s="27">
        <f>D65-C65</f>
        <v>8329458</v>
      </c>
      <c r="F65" s="28">
        <f>IF(C65=0,0,E65/C65)</f>
        <v>0.31024232806093155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45266281</v>
      </c>
      <c r="D70" s="23">
        <v>35488206</v>
      </c>
      <c r="E70" s="23">
        <f>D70-C70</f>
        <v>-9778075</v>
      </c>
      <c r="F70" s="24">
        <f>IF(C70=0,0,E70/C70)</f>
        <v>-0.21601233377223988</v>
      </c>
    </row>
    <row r="71" spans="1:6" ht="24" customHeight="1" x14ac:dyDescent="0.2">
      <c r="A71" s="21">
        <v>2</v>
      </c>
      <c r="B71" s="22" t="s">
        <v>65</v>
      </c>
      <c r="C71" s="23">
        <v>689851</v>
      </c>
      <c r="D71" s="23">
        <v>716206</v>
      </c>
      <c r="E71" s="23">
        <f>D71-C71</f>
        <v>26355</v>
      </c>
      <c r="F71" s="24">
        <f>IF(C71=0,0,E71/C71)</f>
        <v>3.8203902002026523E-2</v>
      </c>
    </row>
    <row r="72" spans="1:6" ht="24" customHeight="1" x14ac:dyDescent="0.2">
      <c r="A72" s="21">
        <v>3</v>
      </c>
      <c r="B72" s="22" t="s">
        <v>66</v>
      </c>
      <c r="C72" s="23">
        <v>603242</v>
      </c>
      <c r="D72" s="23">
        <v>610292</v>
      </c>
      <c r="E72" s="23">
        <f>D72-C72</f>
        <v>7050</v>
      </c>
      <c r="F72" s="24">
        <f>IF(C72=0,0,E72/C72)</f>
        <v>1.1686852042795428E-2</v>
      </c>
    </row>
    <row r="73" spans="1:6" ht="24" customHeight="1" x14ac:dyDescent="0.25">
      <c r="A73" s="21"/>
      <c r="B73" s="26" t="s">
        <v>67</v>
      </c>
      <c r="C73" s="27">
        <f>SUM(C70:C72)</f>
        <v>46559374</v>
      </c>
      <c r="D73" s="27">
        <f>SUM(D70:D72)</f>
        <v>36814704</v>
      </c>
      <c r="E73" s="27">
        <f>D73-C73</f>
        <v>-9744670</v>
      </c>
      <c r="F73" s="28">
        <f>IF(C73=0,0,E73/C73)</f>
        <v>-0.20929555453215501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90803058</v>
      </c>
      <c r="D75" s="27">
        <f>D56+D65+D67+D73</f>
        <v>88761832</v>
      </c>
      <c r="E75" s="27">
        <f>D75-C75</f>
        <v>-2041226</v>
      </c>
      <c r="F75" s="28">
        <f>IF(C75=0,0,E75/C75)</f>
        <v>-2.247970547423634E-2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FILING&amp;RMILFORD HEALTH &amp;AMP; MEDICAL,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226745692</v>
      </c>
      <c r="D12" s="51">
        <v>211623155</v>
      </c>
      <c r="E12" s="51">
        <f t="shared" ref="E12:E19" si="0">D12-C12</f>
        <v>-15122537</v>
      </c>
      <c r="F12" s="70">
        <f t="shared" ref="F12:F19" si="1">IF(C12=0,0,E12/C12)</f>
        <v>-6.669382278716017E-2</v>
      </c>
    </row>
    <row r="13" spans="1:8" ht="23.1" customHeight="1" x14ac:dyDescent="0.2">
      <c r="A13" s="25">
        <v>2</v>
      </c>
      <c r="B13" s="48" t="s">
        <v>72</v>
      </c>
      <c r="C13" s="51">
        <v>138856924</v>
      </c>
      <c r="D13" s="51">
        <v>127529663</v>
      </c>
      <c r="E13" s="51">
        <f t="shared" si="0"/>
        <v>-11327261</v>
      </c>
      <c r="F13" s="70">
        <f t="shared" si="1"/>
        <v>-8.1575053470146E-2</v>
      </c>
    </row>
    <row r="14" spans="1:8" ht="23.1" customHeight="1" x14ac:dyDescent="0.2">
      <c r="A14" s="25">
        <v>3</v>
      </c>
      <c r="B14" s="48" t="s">
        <v>73</v>
      </c>
      <c r="C14" s="51">
        <v>122057</v>
      </c>
      <c r="D14" s="51">
        <v>299029</v>
      </c>
      <c r="E14" s="51">
        <f t="shared" si="0"/>
        <v>176972</v>
      </c>
      <c r="F14" s="70">
        <f t="shared" si="1"/>
        <v>1.4499127456843934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87766711</v>
      </c>
      <c r="D16" s="27">
        <f>D12-D13-D14-D15</f>
        <v>83794463</v>
      </c>
      <c r="E16" s="27">
        <f t="shared" si="0"/>
        <v>-3972248</v>
      </c>
      <c r="F16" s="28">
        <f t="shared" si="1"/>
        <v>-4.5259164377254607E-2</v>
      </c>
    </row>
    <row r="17" spans="1:7" ht="23.1" customHeight="1" x14ac:dyDescent="0.2">
      <c r="A17" s="25">
        <v>5</v>
      </c>
      <c r="B17" s="48" t="s">
        <v>76</v>
      </c>
      <c r="C17" s="51">
        <v>1545977</v>
      </c>
      <c r="D17" s="51">
        <v>1669876</v>
      </c>
      <c r="E17" s="51">
        <f t="shared" si="0"/>
        <v>123899</v>
      </c>
      <c r="F17" s="70">
        <f t="shared" si="1"/>
        <v>8.0142848179500736E-2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89312688</v>
      </c>
      <c r="D19" s="27">
        <f>SUM(D16:D18)</f>
        <v>85464339</v>
      </c>
      <c r="E19" s="27">
        <f t="shared" si="0"/>
        <v>-3848349</v>
      </c>
      <c r="F19" s="28">
        <f t="shared" si="1"/>
        <v>-4.3088491525414621E-2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41201570</v>
      </c>
      <c r="D22" s="51">
        <v>41093039</v>
      </c>
      <c r="E22" s="51">
        <f t="shared" ref="E22:E31" si="2">D22-C22</f>
        <v>-108531</v>
      </c>
      <c r="F22" s="70">
        <f t="shared" ref="F22:F31" si="3">IF(C22=0,0,E22/C22)</f>
        <v>-2.6341471939054749E-3</v>
      </c>
    </row>
    <row r="23" spans="1:7" ht="23.1" customHeight="1" x14ac:dyDescent="0.2">
      <c r="A23" s="25">
        <v>2</v>
      </c>
      <c r="B23" s="48" t="s">
        <v>81</v>
      </c>
      <c r="C23" s="51">
        <v>14820373</v>
      </c>
      <c r="D23" s="51">
        <v>15388786</v>
      </c>
      <c r="E23" s="51">
        <f t="shared" si="2"/>
        <v>568413</v>
      </c>
      <c r="F23" s="70">
        <f t="shared" si="3"/>
        <v>3.8353488134205527E-2</v>
      </c>
    </row>
    <row r="24" spans="1:7" ht="23.1" customHeight="1" x14ac:dyDescent="0.2">
      <c r="A24" s="25">
        <v>3</v>
      </c>
      <c r="B24" s="48" t="s">
        <v>82</v>
      </c>
      <c r="C24" s="51">
        <v>621077</v>
      </c>
      <c r="D24" s="51">
        <v>262888</v>
      </c>
      <c r="E24" s="51">
        <f t="shared" si="2"/>
        <v>-358189</v>
      </c>
      <c r="F24" s="70">
        <f t="shared" si="3"/>
        <v>-0.57672237097815571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12542961</v>
      </c>
      <c r="D25" s="51">
        <v>11011697</v>
      </c>
      <c r="E25" s="51">
        <f t="shared" si="2"/>
        <v>-1531264</v>
      </c>
      <c r="F25" s="70">
        <f t="shared" si="3"/>
        <v>-0.12208154039544571</v>
      </c>
    </row>
    <row r="26" spans="1:7" ht="23.1" customHeight="1" x14ac:dyDescent="0.2">
      <c r="A26" s="25">
        <v>5</v>
      </c>
      <c r="B26" s="48" t="s">
        <v>84</v>
      </c>
      <c r="C26" s="51">
        <v>4163603</v>
      </c>
      <c r="D26" s="51">
        <v>3771551</v>
      </c>
      <c r="E26" s="51">
        <f t="shared" si="2"/>
        <v>-392052</v>
      </c>
      <c r="F26" s="70">
        <f t="shared" si="3"/>
        <v>-9.4161715225971346E-2</v>
      </c>
    </row>
    <row r="27" spans="1:7" ht="23.1" customHeight="1" x14ac:dyDescent="0.2">
      <c r="A27" s="25">
        <v>6</v>
      </c>
      <c r="B27" s="48" t="s">
        <v>85</v>
      </c>
      <c r="C27" s="51">
        <v>8267261</v>
      </c>
      <c r="D27" s="51">
        <v>7969130</v>
      </c>
      <c r="E27" s="51">
        <f t="shared" si="2"/>
        <v>-298131</v>
      </c>
      <c r="F27" s="70">
        <f t="shared" si="3"/>
        <v>-3.6061641213456307E-2</v>
      </c>
    </row>
    <row r="28" spans="1:7" ht="23.1" customHeight="1" x14ac:dyDescent="0.2">
      <c r="A28" s="25">
        <v>7</v>
      </c>
      <c r="B28" s="48" t="s">
        <v>86</v>
      </c>
      <c r="C28" s="51">
        <v>418291</v>
      </c>
      <c r="D28" s="51">
        <v>321450</v>
      </c>
      <c r="E28" s="51">
        <f t="shared" si="2"/>
        <v>-96841</v>
      </c>
      <c r="F28" s="70">
        <f t="shared" si="3"/>
        <v>-0.23151585857692372</v>
      </c>
    </row>
    <row r="29" spans="1:7" ht="23.1" customHeight="1" x14ac:dyDescent="0.2">
      <c r="A29" s="25">
        <v>8</v>
      </c>
      <c r="B29" s="48" t="s">
        <v>87</v>
      </c>
      <c r="C29" s="51">
        <v>1524271</v>
      </c>
      <c r="D29" s="51">
        <v>1306068</v>
      </c>
      <c r="E29" s="51">
        <f t="shared" si="2"/>
        <v>-218203</v>
      </c>
      <c r="F29" s="70">
        <f t="shared" si="3"/>
        <v>-0.14315236595067413</v>
      </c>
    </row>
    <row r="30" spans="1:7" ht="23.1" customHeight="1" x14ac:dyDescent="0.2">
      <c r="A30" s="25">
        <v>9</v>
      </c>
      <c r="B30" s="48" t="s">
        <v>88</v>
      </c>
      <c r="C30" s="51">
        <v>12655620</v>
      </c>
      <c r="D30" s="51">
        <v>12285975</v>
      </c>
      <c r="E30" s="51">
        <f t="shared" si="2"/>
        <v>-369645</v>
      </c>
      <c r="F30" s="70">
        <f t="shared" si="3"/>
        <v>-2.9207972426479302E-2</v>
      </c>
    </row>
    <row r="31" spans="1:7" ht="23.1" customHeight="1" x14ac:dyDescent="0.25">
      <c r="A31" s="29"/>
      <c r="B31" s="71" t="s">
        <v>89</v>
      </c>
      <c r="C31" s="27">
        <f>SUM(C22:C30)</f>
        <v>96215027</v>
      </c>
      <c r="D31" s="27">
        <f>SUM(D22:D30)</f>
        <v>93410584</v>
      </c>
      <c r="E31" s="27">
        <f t="shared" si="2"/>
        <v>-2804443</v>
      </c>
      <c r="F31" s="28">
        <f t="shared" si="3"/>
        <v>-2.9147661102875335E-2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-6902339</v>
      </c>
      <c r="D33" s="27">
        <f>+D19-D31</f>
        <v>-7946245</v>
      </c>
      <c r="E33" s="27">
        <f>D33-C33</f>
        <v>-1043906</v>
      </c>
      <c r="F33" s="28">
        <f>IF(C33=0,0,E33/C33)</f>
        <v>0.15123945665375171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-1692932</v>
      </c>
      <c r="D36" s="51">
        <v>2341183</v>
      </c>
      <c r="E36" s="51">
        <f>D36-C36</f>
        <v>4034115</v>
      </c>
      <c r="F36" s="70">
        <f>IF(C36=0,0,E36/C36)</f>
        <v>-2.3829161478429142</v>
      </c>
    </row>
    <row r="37" spans="1:6" ht="23.1" customHeight="1" x14ac:dyDescent="0.2">
      <c r="A37" s="44">
        <v>2</v>
      </c>
      <c r="B37" s="48" t="s">
        <v>93</v>
      </c>
      <c r="C37" s="51">
        <v>355631</v>
      </c>
      <c r="D37" s="51">
        <v>266708</v>
      </c>
      <c r="E37" s="51">
        <f>D37-C37</f>
        <v>-88923</v>
      </c>
      <c r="F37" s="70">
        <f>IF(C37=0,0,E37/C37)</f>
        <v>-0.25004288152607618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-1337301</v>
      </c>
      <c r="D39" s="27">
        <f>SUM(D36:D38)</f>
        <v>2607891</v>
      </c>
      <c r="E39" s="27">
        <f>D39-C39</f>
        <v>3945192</v>
      </c>
      <c r="F39" s="28">
        <f>IF(C39=0,0,E39/C39)</f>
        <v>-2.9501151947093436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-8239640</v>
      </c>
      <c r="D41" s="27">
        <f>D33+D39</f>
        <v>-5338354</v>
      </c>
      <c r="E41" s="27">
        <f>D41-C41</f>
        <v>2901286</v>
      </c>
      <c r="F41" s="28">
        <f>IF(C41=0,0,E41/C41)</f>
        <v>-0.35211319912034994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3551963</v>
      </c>
      <c r="D44" s="51">
        <v>1110476</v>
      </c>
      <c r="E44" s="51">
        <f>D44-C44</f>
        <v>-2441487</v>
      </c>
      <c r="F44" s="70">
        <f>IF(C44=0,0,E44/C44)</f>
        <v>-0.68736273435280715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3551963</v>
      </c>
      <c r="D46" s="27">
        <f>SUM(D44:D45)</f>
        <v>1110476</v>
      </c>
      <c r="E46" s="27">
        <f>D46-C46</f>
        <v>-2441487</v>
      </c>
      <c r="F46" s="28">
        <f>IF(C46=0,0,E46/C46)</f>
        <v>-0.68736273435280715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-4687677</v>
      </c>
      <c r="D48" s="27">
        <f>D41+D46</f>
        <v>-4227878</v>
      </c>
      <c r="E48" s="27">
        <f>D48-C48</f>
        <v>459799</v>
      </c>
      <c r="F48" s="28">
        <f>IF(C48=0,0,E48/C48)</f>
        <v>-9.8086749577669274E-2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FILING&amp;R&amp;8MILFORD HEALTH &amp;AMP; MEDICAL,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2007-12-14T18:49:33Z</cp:lastPrinted>
  <dcterms:created xsi:type="dcterms:W3CDTF">2006-08-03T13:49:12Z</dcterms:created>
  <dcterms:modified xsi:type="dcterms:W3CDTF">2011-08-08T18:04:23Z</dcterms:modified>
</cp:coreProperties>
</file>