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E74" i="18"/>
  <c r="C74" i="18"/>
  <c r="D73" i="18"/>
  <c r="C73" i="18"/>
  <c r="E73" i="18"/>
  <c r="D72" i="18"/>
  <c r="E72" i="18"/>
  <c r="C72" i="18"/>
  <c r="C71" i="18"/>
  <c r="C76" i="18"/>
  <c r="D70" i="18"/>
  <c r="E70" i="18"/>
  <c r="C70" i="18"/>
  <c r="D69" i="18"/>
  <c r="C69" i="18"/>
  <c r="C65" i="18"/>
  <c r="C66" i="18"/>
  <c r="E64" i="18"/>
  <c r="E63" i="18"/>
  <c r="E62" i="18"/>
  <c r="E61" i="18"/>
  <c r="D60" i="18"/>
  <c r="D289" i="18"/>
  <c r="E289" i="18"/>
  <c r="C60" i="18"/>
  <c r="C289" i="18"/>
  <c r="E59" i="18"/>
  <c r="E58" i="18"/>
  <c r="C55" i="18"/>
  <c r="D54" i="18"/>
  <c r="D55" i="18"/>
  <c r="E55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C37" i="18"/>
  <c r="C43" i="18"/>
  <c r="D36" i="18"/>
  <c r="D44" i="18"/>
  <c r="C36" i="18"/>
  <c r="C44" i="18"/>
  <c r="C33" i="18"/>
  <c r="D32" i="18"/>
  <c r="D33" i="18"/>
  <c r="C32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F179" i="17"/>
  <c r="D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C145" i="17"/>
  <c r="D144" i="17"/>
  <c r="D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C110" i="17"/>
  <c r="E110" i="17"/>
  <c r="D109" i="17"/>
  <c r="D111" i="17"/>
  <c r="E111" i="17"/>
  <c r="C109" i="17"/>
  <c r="C111" i="17"/>
  <c r="D101" i="17"/>
  <c r="D102" i="17"/>
  <c r="C101" i="17"/>
  <c r="C102" i="17"/>
  <c r="D100" i="17"/>
  <c r="C100" i="17"/>
  <c r="E100" i="17"/>
  <c r="E99" i="17"/>
  <c r="F99" i="17"/>
  <c r="E98" i="17"/>
  <c r="F98" i="17"/>
  <c r="D95" i="17"/>
  <c r="C95" i="17"/>
  <c r="E95" i="17"/>
  <c r="D94" i="17"/>
  <c r="C94" i="17"/>
  <c r="E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C66" i="17"/>
  <c r="C68" i="17"/>
  <c r="D59" i="17"/>
  <c r="D60" i="17"/>
  <c r="C59" i="17"/>
  <c r="C60" i="17"/>
  <c r="D58" i="17"/>
  <c r="E58" i="17"/>
  <c r="F58" i="17"/>
  <c r="C58" i="17"/>
  <c r="F57" i="17"/>
  <c r="E57" i="17"/>
  <c r="F56" i="17"/>
  <c r="E56" i="17"/>
  <c r="D53" i="17"/>
  <c r="E53" i="17"/>
  <c r="F53" i="17"/>
  <c r="C53" i="17"/>
  <c r="D52" i="17"/>
  <c r="E52" i="17"/>
  <c r="F52" i="17"/>
  <c r="C52" i="17"/>
  <c r="F51" i="17"/>
  <c r="E51" i="17"/>
  <c r="D47" i="17"/>
  <c r="D48" i="17"/>
  <c r="C47" i="17"/>
  <c r="C48" i="17"/>
  <c r="F46" i="17"/>
  <c r="E46" i="17"/>
  <c r="F45" i="17"/>
  <c r="E45" i="17"/>
  <c r="D44" i="17"/>
  <c r="E44" i="17"/>
  <c r="F44" i="17"/>
  <c r="C44" i="17"/>
  <c r="F43" i="17"/>
  <c r="E43" i="17"/>
  <c r="F42" i="17"/>
  <c r="E42" i="17"/>
  <c r="D36" i="17"/>
  <c r="E36" i="17"/>
  <c r="F36" i="17"/>
  <c r="C36" i="17"/>
  <c r="D35" i="17"/>
  <c r="D37" i="17"/>
  <c r="C35" i="17"/>
  <c r="D30" i="17"/>
  <c r="E30" i="17"/>
  <c r="F30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5" i="16"/>
  <c r="E25" i="16"/>
  <c r="F25" i="16"/>
  <c r="C25" i="16"/>
  <c r="F24" i="16"/>
  <c r="E24" i="16"/>
  <c r="F23" i="16"/>
  <c r="E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C107" i="15"/>
  <c r="E106" i="15"/>
  <c r="F106" i="15"/>
  <c r="E105" i="15"/>
  <c r="F105" i="15"/>
  <c r="E104" i="15"/>
  <c r="F104" i="15"/>
  <c r="D100" i="15"/>
  <c r="C100" i="15"/>
  <c r="E99" i="15"/>
  <c r="F99" i="15"/>
  <c r="F98" i="15"/>
  <c r="E98" i="15"/>
  <c r="E97" i="15"/>
  <c r="F97" i="15"/>
  <c r="E96" i="15"/>
  <c r="F96" i="15"/>
  <c r="E95" i="15"/>
  <c r="F95" i="15"/>
  <c r="D92" i="15"/>
  <c r="C92" i="15"/>
  <c r="E91" i="15"/>
  <c r="F91" i="15"/>
  <c r="F90" i="15"/>
  <c r="E90" i="15"/>
  <c r="F89" i="15"/>
  <c r="E89" i="15"/>
  <c r="F88" i="15"/>
  <c r="E88" i="15"/>
  <c r="F87" i="15"/>
  <c r="E87" i="15"/>
  <c r="E86" i="15"/>
  <c r="F86" i="15"/>
  <c r="E85" i="15"/>
  <c r="F85" i="15"/>
  <c r="F84" i="15"/>
  <c r="E84" i="15"/>
  <c r="F83" i="15"/>
  <c r="E83" i="15"/>
  <c r="F82" i="15"/>
  <c r="E82" i="15"/>
  <c r="E81" i="15"/>
  <c r="F81" i="15"/>
  <c r="F80" i="15"/>
  <c r="E80" i="15"/>
  <c r="F79" i="15"/>
  <c r="E79" i="15"/>
  <c r="D75" i="15"/>
  <c r="C75" i="15"/>
  <c r="E74" i="15"/>
  <c r="F74" i="15"/>
  <c r="E73" i="15"/>
  <c r="F73" i="15"/>
  <c r="D70" i="15"/>
  <c r="C70" i="15"/>
  <c r="E69" i="15"/>
  <c r="F69" i="15"/>
  <c r="E68" i="15"/>
  <c r="F68" i="15"/>
  <c r="D65" i="15"/>
  <c r="C65" i="15"/>
  <c r="E64" i="15"/>
  <c r="F64" i="15"/>
  <c r="E63" i="15"/>
  <c r="F63" i="15"/>
  <c r="D60" i="15"/>
  <c r="C60" i="15"/>
  <c r="F60" i="15"/>
  <c r="F59" i="15"/>
  <c r="E59" i="15"/>
  <c r="F58" i="15"/>
  <c r="E58" i="15"/>
  <c r="E60" i="15"/>
  <c r="D55" i="15"/>
  <c r="C55" i="15"/>
  <c r="F55" i="15"/>
  <c r="F54" i="15"/>
  <c r="E54" i="15"/>
  <c r="F53" i="15"/>
  <c r="E53" i="15"/>
  <c r="D50" i="15"/>
  <c r="C50" i="15"/>
  <c r="E49" i="15"/>
  <c r="F49" i="15"/>
  <c r="E48" i="15"/>
  <c r="F48" i="15"/>
  <c r="D45" i="15"/>
  <c r="C45" i="15"/>
  <c r="E44" i="15"/>
  <c r="F44" i="15"/>
  <c r="E43" i="15"/>
  <c r="F43" i="15"/>
  <c r="D37" i="15"/>
  <c r="C37" i="15"/>
  <c r="F36" i="15"/>
  <c r="E36" i="15"/>
  <c r="F35" i="15"/>
  <c r="E35" i="15"/>
  <c r="E34" i="15"/>
  <c r="F34" i="15"/>
  <c r="E33" i="15"/>
  <c r="F33" i="15"/>
  <c r="D30" i="15"/>
  <c r="E30" i="15"/>
  <c r="C30" i="15"/>
  <c r="F30" i="15"/>
  <c r="F29" i="15"/>
  <c r="E29" i="15"/>
  <c r="F28" i="15"/>
  <c r="E28" i="15"/>
  <c r="E27" i="15"/>
  <c r="F27" i="15"/>
  <c r="F26" i="15"/>
  <c r="E26" i="15"/>
  <c r="D23" i="15"/>
  <c r="E23" i="15"/>
  <c r="C23" i="15"/>
  <c r="F22" i="15"/>
  <c r="E22" i="15"/>
  <c r="E21" i="15"/>
  <c r="F21" i="15"/>
  <c r="E20" i="15"/>
  <c r="F20" i="15"/>
  <c r="E19" i="15"/>
  <c r="F19" i="15"/>
  <c r="D16" i="15"/>
  <c r="E16" i="15"/>
  <c r="C16" i="15"/>
  <c r="F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D119" i="10"/>
  <c r="E119" i="10"/>
  <c r="C119" i="10"/>
  <c r="F119" i="10"/>
  <c r="D118" i="10"/>
  <c r="E118" i="10"/>
  <c r="C118" i="10"/>
  <c r="F118" i="10"/>
  <c r="D117" i="10"/>
  <c r="E117" i="10"/>
  <c r="C117" i="10"/>
  <c r="F117" i="10"/>
  <c r="D116" i="10"/>
  <c r="E116" i="10"/>
  <c r="C116" i="10"/>
  <c r="F116" i="10"/>
  <c r="D115" i="10"/>
  <c r="E115" i="10"/>
  <c r="C115" i="10"/>
  <c r="F115" i="10"/>
  <c r="D114" i="10"/>
  <c r="E114" i="10"/>
  <c r="C114" i="10"/>
  <c r="F114" i="10"/>
  <c r="D113" i="10"/>
  <c r="D122" i="10"/>
  <c r="C113" i="10"/>
  <c r="F113" i="10"/>
  <c r="D112" i="10"/>
  <c r="D121" i="10"/>
  <c r="C112" i="10"/>
  <c r="F112" i="10"/>
  <c r="D108" i="10"/>
  <c r="E108" i="10"/>
  <c r="C108" i="10"/>
  <c r="F108" i="10"/>
  <c r="D107" i="10"/>
  <c r="E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C205" i="9"/>
  <c r="D204" i="9"/>
  <c r="E204" i="9"/>
  <c r="C204" i="9"/>
  <c r="D203" i="9"/>
  <c r="E203" i="9"/>
  <c r="C203" i="9"/>
  <c r="D202" i="9"/>
  <c r="E202" i="9"/>
  <c r="C202" i="9"/>
  <c r="D201" i="9"/>
  <c r="E201" i="9"/>
  <c r="C201" i="9"/>
  <c r="D200" i="9"/>
  <c r="E200" i="9"/>
  <c r="C200" i="9"/>
  <c r="D199" i="9"/>
  <c r="D208" i="9"/>
  <c r="C199" i="9"/>
  <c r="D198" i="9"/>
  <c r="D207" i="9"/>
  <c r="C198" i="9"/>
  <c r="D193" i="9"/>
  <c r="E193" i="9"/>
  <c r="C193" i="9"/>
  <c r="F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28" i="9"/>
  <c r="D128" i="9"/>
  <c r="E128" i="9"/>
  <c r="C128" i="9"/>
  <c r="F127" i="9"/>
  <c r="D127" i="9"/>
  <c r="E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C73" i="4"/>
  <c r="E72" i="4"/>
  <c r="F72" i="4"/>
  <c r="E71" i="4"/>
  <c r="F71" i="4"/>
  <c r="E70" i="4"/>
  <c r="F70" i="4"/>
  <c r="F67" i="4"/>
  <c r="E67" i="4"/>
  <c r="E64" i="4"/>
  <c r="F64" i="4"/>
  <c r="E63" i="4"/>
  <c r="F63" i="4"/>
  <c r="D61" i="4"/>
  <c r="D65" i="4"/>
  <c r="C61" i="4"/>
  <c r="E60" i="4"/>
  <c r="F60" i="4"/>
  <c r="E59" i="4"/>
  <c r="F59" i="4"/>
  <c r="D56" i="4"/>
  <c r="D75" i="4"/>
  <c r="C56" i="4"/>
  <c r="E55" i="4"/>
  <c r="F55" i="4"/>
  <c r="F54" i="4"/>
  <c r="E54" i="4"/>
  <c r="E53" i="4"/>
  <c r="F53" i="4"/>
  <c r="F52" i="4"/>
  <c r="E52" i="4"/>
  <c r="F51" i="4"/>
  <c r="E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E32" i="4"/>
  <c r="F32" i="4"/>
  <c r="F31" i="4"/>
  <c r="E31" i="4"/>
  <c r="D29" i="4"/>
  <c r="C29" i="4"/>
  <c r="E28" i="4"/>
  <c r="F28" i="4"/>
  <c r="F27" i="4"/>
  <c r="E27" i="4"/>
  <c r="E26" i="4"/>
  <c r="F26" i="4"/>
  <c r="E25" i="4"/>
  <c r="F25" i="4"/>
  <c r="D22" i="4"/>
  <c r="D43" i="4"/>
  <c r="C22" i="4"/>
  <c r="E21" i="4"/>
  <c r="F21" i="4"/>
  <c r="E20" i="4"/>
  <c r="F20" i="4"/>
  <c r="E19" i="4"/>
  <c r="F19" i="4"/>
  <c r="E18" i="4"/>
  <c r="F18" i="4"/>
  <c r="F17" i="4"/>
  <c r="E17" i="4"/>
  <c r="E16" i="4"/>
  <c r="F16" i="4"/>
  <c r="E15" i="4"/>
  <c r="F15" i="4"/>
  <c r="E14" i="4"/>
  <c r="F14" i="4"/>
  <c r="E13" i="4"/>
  <c r="F13" i="4"/>
  <c r="D108" i="22"/>
  <c r="D109" i="22"/>
  <c r="C109" i="22"/>
  <c r="C108" i="22"/>
  <c r="E109" i="22"/>
  <c r="E108" i="22"/>
  <c r="D22" i="22"/>
  <c r="C23" i="22"/>
  <c r="E2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C22" i="19"/>
  <c r="D258" i="18"/>
  <c r="D101" i="18"/>
  <c r="E101" i="18"/>
  <c r="D99" i="18"/>
  <c r="D97" i="18"/>
  <c r="E97" i="18"/>
  <c r="D95" i="18"/>
  <c r="D88" i="18"/>
  <c r="E88" i="18"/>
  <c r="D86" i="18"/>
  <c r="D84" i="18"/>
  <c r="D100" i="18"/>
  <c r="D98" i="18"/>
  <c r="E98" i="18"/>
  <c r="D96" i="18"/>
  <c r="D89" i="18"/>
  <c r="E89" i="18"/>
  <c r="D87" i="18"/>
  <c r="D85" i="18"/>
  <c r="E85" i="18"/>
  <c r="D83" i="18"/>
  <c r="E44" i="18"/>
  <c r="E43" i="18"/>
  <c r="E33" i="18"/>
  <c r="C258" i="18"/>
  <c r="C100" i="18"/>
  <c r="C98" i="18"/>
  <c r="C96" i="18"/>
  <c r="C102" i="18"/>
  <c r="C89" i="18"/>
  <c r="C87" i="18"/>
  <c r="C85" i="18"/>
  <c r="C83" i="18"/>
  <c r="C91" i="18"/>
  <c r="C101" i="18"/>
  <c r="C99" i="18"/>
  <c r="C97" i="18"/>
  <c r="C95" i="18"/>
  <c r="C103" i="18"/>
  <c r="C88" i="18"/>
  <c r="C86" i="18"/>
  <c r="C84" i="18"/>
  <c r="C90" i="18"/>
  <c r="C259" i="18"/>
  <c r="C263" i="18"/>
  <c r="E85" i="17"/>
  <c r="E129" i="17"/>
  <c r="E130" i="17"/>
  <c r="F130" i="17"/>
  <c r="E135" i="17"/>
  <c r="E145" i="17"/>
  <c r="F145" i="17"/>
  <c r="E294" i="17"/>
  <c r="E295" i="17"/>
  <c r="F295" i="17"/>
  <c r="E296" i="17"/>
  <c r="E297" i="17"/>
  <c r="F297" i="17"/>
  <c r="E298" i="17"/>
  <c r="E299" i="17"/>
  <c r="F299" i="17"/>
  <c r="D283" i="18"/>
  <c r="E283" i="18"/>
  <c r="C22" i="18"/>
  <c r="C284" i="18"/>
  <c r="C294" i="18"/>
  <c r="E32" i="18"/>
  <c r="E36" i="18"/>
  <c r="E54" i="18"/>
  <c r="E60" i="18"/>
  <c r="D65" i="18"/>
  <c r="D71" i="18"/>
  <c r="E71" i="18"/>
  <c r="E175" i="18"/>
  <c r="E21" i="18"/>
  <c r="D284" i="18"/>
  <c r="E284" i="18"/>
  <c r="D294" i="18"/>
  <c r="C295" i="18"/>
  <c r="E37" i="18"/>
  <c r="C77" i="18"/>
  <c r="E69" i="18"/>
  <c r="D76" i="18"/>
  <c r="E76" i="18"/>
  <c r="D157" i="18"/>
  <c r="E157" i="18"/>
  <c r="E156" i="18"/>
  <c r="C144" i="18"/>
  <c r="E144" i="18"/>
  <c r="D145" i="18"/>
  <c r="E151" i="18"/>
  <c r="D163" i="18"/>
  <c r="E163" i="18"/>
  <c r="C175" i="18"/>
  <c r="D180" i="18"/>
  <c r="C261" i="18"/>
  <c r="C189" i="18"/>
  <c r="E189" i="18"/>
  <c r="E188" i="18"/>
  <c r="E260" i="18"/>
  <c r="E229" i="18"/>
  <c r="D241" i="18"/>
  <c r="E242" i="18"/>
  <c r="E243" i="18"/>
  <c r="E244" i="18"/>
  <c r="E245" i="18"/>
  <c r="D252" i="18"/>
  <c r="E252" i="18"/>
  <c r="D253" i="18"/>
  <c r="D254" i="18"/>
  <c r="E302" i="18"/>
  <c r="C303" i="18"/>
  <c r="C306" i="18"/>
  <c r="C310" i="18"/>
  <c r="E139" i="18"/>
  <c r="E261" i="18"/>
  <c r="D234" i="18"/>
  <c r="C253" i="18"/>
  <c r="E303" i="18"/>
  <c r="D306" i="18"/>
  <c r="D320" i="18"/>
  <c r="E320" i="18"/>
  <c r="E316" i="18"/>
  <c r="E326" i="18"/>
  <c r="D330" i="18"/>
  <c r="E330" i="18"/>
  <c r="E195" i="18"/>
  <c r="C210" i="18"/>
  <c r="E210" i="18"/>
  <c r="D211" i="18"/>
  <c r="E215" i="18"/>
  <c r="C217" i="18"/>
  <c r="C241" i="18"/>
  <c r="E217" i="18"/>
  <c r="E219" i="18"/>
  <c r="E221" i="18"/>
  <c r="D222" i="18"/>
  <c r="C252" i="18"/>
  <c r="C254" i="18"/>
  <c r="E265" i="18"/>
  <c r="E314" i="18"/>
  <c r="E205" i="18"/>
  <c r="E216" i="18"/>
  <c r="E218" i="18"/>
  <c r="E220" i="18"/>
  <c r="C222" i="18"/>
  <c r="C246" i="18"/>
  <c r="D223" i="18"/>
  <c r="E233" i="18"/>
  <c r="E251" i="18"/>
  <c r="E301" i="18"/>
  <c r="E324" i="18"/>
  <c r="D90" i="17"/>
  <c r="E48" i="17"/>
  <c r="D61" i="17"/>
  <c r="E60" i="17"/>
  <c r="F60" i="17"/>
  <c r="E68" i="17"/>
  <c r="F68" i="17"/>
  <c r="E77" i="17"/>
  <c r="E89" i="17"/>
  <c r="F89" i="17"/>
  <c r="C103" i="17"/>
  <c r="F111" i="17"/>
  <c r="E137" i="17"/>
  <c r="D138" i="17"/>
  <c r="E146" i="17"/>
  <c r="F146" i="17"/>
  <c r="C32" i="17"/>
  <c r="C160" i="17"/>
  <c r="C90" i="17"/>
  <c r="F48" i="17"/>
  <c r="C61" i="17"/>
  <c r="E102" i="17"/>
  <c r="F102" i="17"/>
  <c r="D103" i="17"/>
  <c r="E103" i="17"/>
  <c r="C207" i="17"/>
  <c r="C138" i="17"/>
  <c r="F137" i="17"/>
  <c r="D31" i="17"/>
  <c r="C266" i="17"/>
  <c r="C21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4" i="17"/>
  <c r="F95" i="17"/>
  <c r="F100" i="17"/>
  <c r="F110" i="17"/>
  <c r="F120" i="17"/>
  <c r="D192" i="17"/>
  <c r="D193" i="17"/>
  <c r="D124" i="17"/>
  <c r="F129" i="17"/>
  <c r="F135" i="17"/>
  <c r="F172" i="17"/>
  <c r="D181" i="17"/>
  <c r="E181" i="17"/>
  <c r="E179" i="17"/>
  <c r="E227" i="17"/>
  <c r="E239" i="17"/>
  <c r="D21" i="17"/>
  <c r="E88" i="17"/>
  <c r="F88" i="17"/>
  <c r="E101" i="17"/>
  <c r="F101" i="17"/>
  <c r="E109" i="17"/>
  <c r="F109" i="17"/>
  <c r="C193" i="17"/>
  <c r="C192" i="17"/>
  <c r="E123" i="17"/>
  <c r="F123" i="17"/>
  <c r="C124" i="17"/>
  <c r="C125" i="17"/>
  <c r="E136" i="17"/>
  <c r="F136" i="17"/>
  <c r="E144" i="17"/>
  <c r="F144" i="17"/>
  <c r="D159" i="17"/>
  <c r="E159" i="17"/>
  <c r="D172" i="17"/>
  <c r="D207" i="17"/>
  <c r="F227" i="17"/>
  <c r="F239" i="17"/>
  <c r="C287" i="17"/>
  <c r="C284" i="17"/>
  <c r="C279" i="17"/>
  <c r="E188" i="17"/>
  <c r="F188" i="17"/>
  <c r="C288" i="17"/>
  <c r="E189" i="17"/>
  <c r="F189" i="17"/>
  <c r="C190" i="17"/>
  <c r="E191" i="17"/>
  <c r="F191" i="17"/>
  <c r="C290" i="17"/>
  <c r="C274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E277" i="17"/>
  <c r="F277" i="17"/>
  <c r="D279" i="17"/>
  <c r="E279" i="17"/>
  <c r="E278" i="17"/>
  <c r="F278" i="17"/>
  <c r="D190" i="17"/>
  <c r="E190" i="17"/>
  <c r="E280" i="17"/>
  <c r="F280" i="17"/>
  <c r="D290" i="17"/>
  <c r="E290" i="17"/>
  <c r="D274" i="17"/>
  <c r="D199" i="17"/>
  <c r="E199" i="17"/>
  <c r="D200" i="17"/>
  <c r="D283" i="17"/>
  <c r="D267" i="17"/>
  <c r="D285" i="17"/>
  <c r="E285" i="17"/>
  <c r="F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6" i="17"/>
  <c r="F298" i="17"/>
  <c r="F23" i="15"/>
  <c r="F70" i="15"/>
  <c r="F92" i="15"/>
  <c r="E37" i="15"/>
  <c r="F37" i="15"/>
  <c r="E45" i="15"/>
  <c r="F45" i="15"/>
  <c r="E50" i="15"/>
  <c r="F50" i="15"/>
  <c r="E55" i="15"/>
  <c r="E65" i="15"/>
  <c r="F65" i="15"/>
  <c r="E70" i="15"/>
  <c r="E75" i="15"/>
  <c r="F75" i="15"/>
  <c r="E92" i="15"/>
  <c r="E100" i="15"/>
  <c r="F100" i="15"/>
  <c r="E107" i="15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12" i="10"/>
  <c r="E113" i="10"/>
  <c r="C121" i="10"/>
  <c r="F121" i="10"/>
  <c r="C122" i="10"/>
  <c r="F122" i="10"/>
  <c r="F198" i="9"/>
  <c r="F200" i="9"/>
  <c r="F201" i="9"/>
  <c r="F202" i="9"/>
  <c r="F203" i="9"/>
  <c r="F204" i="9"/>
  <c r="F205" i="9"/>
  <c r="F206" i="9"/>
  <c r="E198" i="9"/>
  <c r="E199" i="9"/>
  <c r="F199" i="9"/>
  <c r="C207" i="9"/>
  <c r="C208" i="9"/>
  <c r="D21" i="8"/>
  <c r="C20" i="8"/>
  <c r="C21" i="8"/>
  <c r="C140" i="8"/>
  <c r="C138" i="8"/>
  <c r="C136" i="8"/>
  <c r="C139" i="8"/>
  <c r="C137" i="8"/>
  <c r="C135" i="8"/>
  <c r="C141" i="8"/>
  <c r="E157" i="8"/>
  <c r="E155" i="8"/>
  <c r="E153" i="8"/>
  <c r="E156" i="8"/>
  <c r="E154" i="8"/>
  <c r="E152" i="8"/>
  <c r="E158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E188" i="7"/>
  <c r="E90" i="7"/>
  <c r="F90" i="7"/>
  <c r="E183" i="7"/>
  <c r="F183" i="7"/>
  <c r="C188" i="7"/>
  <c r="F52" i="6"/>
  <c r="E95" i="6"/>
  <c r="F95" i="6"/>
  <c r="E41" i="6"/>
  <c r="F41" i="6"/>
  <c r="E84" i="6"/>
  <c r="F84" i="6"/>
  <c r="D21" i="5"/>
  <c r="E18" i="5"/>
  <c r="F18" i="5"/>
  <c r="C21" i="5"/>
  <c r="E16" i="5"/>
  <c r="F16" i="5"/>
  <c r="F73" i="4"/>
  <c r="F61" i="4"/>
  <c r="E22" i="4"/>
  <c r="F22" i="4"/>
  <c r="E29" i="4"/>
  <c r="F29" i="4"/>
  <c r="E38" i="4"/>
  <c r="F38" i="4"/>
  <c r="C41" i="4"/>
  <c r="E56" i="4"/>
  <c r="F56" i="4"/>
  <c r="E61" i="4"/>
  <c r="C65" i="4"/>
  <c r="E73" i="4"/>
  <c r="C75" i="4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222" i="18"/>
  <c r="D246" i="18"/>
  <c r="E246" i="18"/>
  <c r="D235" i="18"/>
  <c r="C211" i="18"/>
  <c r="C235" i="18"/>
  <c r="C234" i="18"/>
  <c r="E306" i="18"/>
  <c r="D310" i="18"/>
  <c r="E310" i="18"/>
  <c r="E234" i="18"/>
  <c r="E253" i="18"/>
  <c r="E241" i="18"/>
  <c r="E294" i="18"/>
  <c r="D66" i="18"/>
  <c r="E65" i="18"/>
  <c r="C264" i="18"/>
  <c r="C266" i="18"/>
  <c r="C267" i="18"/>
  <c r="D259" i="18"/>
  <c r="E83" i="18"/>
  <c r="E87" i="18"/>
  <c r="E96" i="18"/>
  <c r="D102" i="18"/>
  <c r="E102" i="18"/>
  <c r="E100" i="18"/>
  <c r="E86" i="18"/>
  <c r="D103" i="18"/>
  <c r="E103" i="18"/>
  <c r="E95" i="18"/>
  <c r="E99" i="18"/>
  <c r="E258" i="18"/>
  <c r="C223" i="18"/>
  <c r="C247" i="18"/>
  <c r="E254" i="18"/>
  <c r="D181" i="18"/>
  <c r="D169" i="18"/>
  <c r="C180" i="18"/>
  <c r="E180" i="18"/>
  <c r="C145" i="18"/>
  <c r="C168" i="18"/>
  <c r="E168" i="18"/>
  <c r="C127" i="18"/>
  <c r="C125" i="18"/>
  <c r="C123" i="18"/>
  <c r="C121" i="18"/>
  <c r="C114" i="18"/>
  <c r="C112" i="18"/>
  <c r="C110" i="18"/>
  <c r="C126" i="18"/>
  <c r="C124" i="18"/>
  <c r="C122" i="18"/>
  <c r="C128" i="18"/>
  <c r="C115" i="18"/>
  <c r="C113" i="18"/>
  <c r="C111" i="18"/>
  <c r="C109" i="18"/>
  <c r="D77" i="18"/>
  <c r="C105" i="18"/>
  <c r="D90" i="18"/>
  <c r="E90" i="18"/>
  <c r="E84" i="18"/>
  <c r="E22" i="18"/>
  <c r="D194" i="17"/>
  <c r="E193" i="17"/>
  <c r="D266" i="17"/>
  <c r="E266" i="17"/>
  <c r="D282" i="17"/>
  <c r="D208" i="17"/>
  <c r="E207" i="17"/>
  <c r="D254" i="17"/>
  <c r="D216" i="17"/>
  <c r="E216" i="17"/>
  <c r="E214" i="17"/>
  <c r="E283" i="17"/>
  <c r="F283" i="17"/>
  <c r="D286" i="17"/>
  <c r="E286" i="17"/>
  <c r="D284" i="17"/>
  <c r="E284" i="17"/>
  <c r="C270" i="17"/>
  <c r="C272" i="17"/>
  <c r="F214" i="17"/>
  <c r="C216" i="17"/>
  <c r="D300" i="17"/>
  <c r="D265" i="17"/>
  <c r="E264" i="17"/>
  <c r="F264" i="17"/>
  <c r="D271" i="17"/>
  <c r="D268" i="17"/>
  <c r="E268" i="17"/>
  <c r="D263" i="17"/>
  <c r="E261" i="17"/>
  <c r="D255" i="17"/>
  <c r="E255" i="17"/>
  <c r="F255" i="17"/>
  <c r="E215" i="17"/>
  <c r="F215" i="17"/>
  <c r="D270" i="17"/>
  <c r="E267" i="17"/>
  <c r="F267" i="17"/>
  <c r="E200" i="17"/>
  <c r="F200" i="17"/>
  <c r="E274" i="17"/>
  <c r="D288" i="17"/>
  <c r="E288" i="17"/>
  <c r="F288" i="17"/>
  <c r="D287" i="17"/>
  <c r="F269" i="17"/>
  <c r="C300" i="17"/>
  <c r="C265" i="17"/>
  <c r="C271" i="17"/>
  <c r="F261" i="17"/>
  <c r="C268" i="17"/>
  <c r="C263" i="17"/>
  <c r="F206" i="17"/>
  <c r="F286" i="17"/>
  <c r="F199" i="17"/>
  <c r="F290" i="17"/>
  <c r="F190" i="17"/>
  <c r="F279" i="17"/>
  <c r="C291" i="17"/>
  <c r="C289" i="17"/>
  <c r="F193" i="17"/>
  <c r="C194" i="17"/>
  <c r="D196" i="17"/>
  <c r="D161" i="17"/>
  <c r="D49" i="17"/>
  <c r="D126" i="17"/>
  <c r="D91" i="17"/>
  <c r="E21" i="17"/>
  <c r="F21" i="17"/>
  <c r="E124" i="17"/>
  <c r="C196" i="17"/>
  <c r="C161" i="17"/>
  <c r="C126" i="17"/>
  <c r="C91" i="17"/>
  <c r="C49" i="17"/>
  <c r="C282" i="17"/>
  <c r="C209" i="17"/>
  <c r="C174" i="17"/>
  <c r="C139" i="17"/>
  <c r="C104" i="17"/>
  <c r="E138" i="17"/>
  <c r="F138" i="17"/>
  <c r="F103" i="17"/>
  <c r="D125" i="17"/>
  <c r="E125" i="17"/>
  <c r="F125" i="17"/>
  <c r="D272" i="17"/>
  <c r="E272" i="17"/>
  <c r="E262" i="17"/>
  <c r="F262" i="17"/>
  <c r="F205" i="17"/>
  <c r="F274" i="17"/>
  <c r="F284" i="17"/>
  <c r="E172" i="17"/>
  <c r="D173" i="17"/>
  <c r="E173" i="17"/>
  <c r="F124" i="17"/>
  <c r="E192" i="17"/>
  <c r="F192" i="17"/>
  <c r="C304" i="17"/>
  <c r="F266" i="17"/>
  <c r="E31" i="17"/>
  <c r="F31" i="17"/>
  <c r="D32" i="17"/>
  <c r="F207" i="17"/>
  <c r="C208" i="17"/>
  <c r="C210" i="17"/>
  <c r="C175" i="17"/>
  <c r="C140" i="17"/>
  <c r="C105" i="17"/>
  <c r="C62" i="17"/>
  <c r="D209" i="17"/>
  <c r="E209" i="17"/>
  <c r="D139" i="17"/>
  <c r="E139" i="17"/>
  <c r="D104" i="17"/>
  <c r="E104" i="17"/>
  <c r="E61" i="17"/>
  <c r="F61" i="17"/>
  <c r="E90" i="17"/>
  <c r="F90" i="17"/>
  <c r="D160" i="17"/>
  <c r="E160" i="17"/>
  <c r="F160" i="17"/>
  <c r="E37" i="17"/>
  <c r="F37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E121" i="10"/>
  <c r="E122" i="10"/>
  <c r="F208" i="9"/>
  <c r="E208" i="9"/>
  <c r="F207" i="9"/>
  <c r="E207" i="9"/>
  <c r="D24" i="8"/>
  <c r="D20" i="8"/>
  <c r="D17" i="8"/>
  <c r="C112" i="8"/>
  <c r="C111" i="8"/>
  <c r="C28" i="8"/>
  <c r="C158" i="8"/>
  <c r="E141" i="8"/>
  <c r="D158" i="8"/>
  <c r="E112" i="8"/>
  <c r="E111" i="8"/>
  <c r="E28" i="8"/>
  <c r="D141" i="8"/>
  <c r="F188" i="7"/>
  <c r="D35" i="5"/>
  <c r="E21" i="5"/>
  <c r="F21" i="5"/>
  <c r="C35" i="5"/>
  <c r="F65" i="4"/>
  <c r="E41" i="4"/>
  <c r="F41" i="4"/>
  <c r="E75" i="4"/>
  <c r="F75" i="4"/>
  <c r="C43" i="4"/>
  <c r="E65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174" i="17"/>
  <c r="E174" i="17"/>
  <c r="F174" i="17"/>
  <c r="C269" i="18"/>
  <c r="C268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C116" i="18"/>
  <c r="C169" i="18"/>
  <c r="C181" i="18"/>
  <c r="E169" i="18"/>
  <c r="E181" i="18"/>
  <c r="E235" i="18"/>
  <c r="E223" i="18"/>
  <c r="C117" i="18"/>
  <c r="C131" i="18"/>
  <c r="C129" i="18"/>
  <c r="E145" i="18"/>
  <c r="D91" i="18"/>
  <c r="D263" i="18"/>
  <c r="E259" i="18"/>
  <c r="E66" i="18"/>
  <c r="D295" i="18"/>
  <c r="E295" i="18"/>
  <c r="E211" i="18"/>
  <c r="D247" i="18"/>
  <c r="E247" i="18"/>
  <c r="C63" i="17"/>
  <c r="C141" i="17"/>
  <c r="F139" i="17"/>
  <c r="C281" i="17"/>
  <c r="C50" i="17"/>
  <c r="E126" i="17"/>
  <c r="F126" i="17"/>
  <c r="D127" i="17"/>
  <c r="C106" i="17"/>
  <c r="C176" i="17"/>
  <c r="F176" i="17"/>
  <c r="D210" i="17"/>
  <c r="D175" i="17"/>
  <c r="D62" i="17"/>
  <c r="D140" i="17"/>
  <c r="D105" i="17"/>
  <c r="E32" i="17"/>
  <c r="F32" i="17"/>
  <c r="F104" i="17"/>
  <c r="C92" i="17"/>
  <c r="C162" i="17"/>
  <c r="E91" i="17"/>
  <c r="F91" i="17"/>
  <c r="D92" i="17"/>
  <c r="D50" i="17"/>
  <c r="E49" i="17"/>
  <c r="F49" i="17"/>
  <c r="D197" i="17"/>
  <c r="E196" i="17"/>
  <c r="F196" i="17"/>
  <c r="F268" i="17"/>
  <c r="C273" i="17"/>
  <c r="E270" i="17"/>
  <c r="E263" i="17"/>
  <c r="F263" i="17"/>
  <c r="E271" i="17"/>
  <c r="F271" i="17"/>
  <c r="D304" i="17"/>
  <c r="D273" i="17"/>
  <c r="E273" i="17"/>
  <c r="E265" i="17"/>
  <c r="F265" i="17"/>
  <c r="F216" i="17"/>
  <c r="F272" i="17"/>
  <c r="E254" i="17"/>
  <c r="F254" i="17"/>
  <c r="E208" i="17"/>
  <c r="F208" i="17"/>
  <c r="E194" i="17"/>
  <c r="F194" i="17"/>
  <c r="D195" i="17"/>
  <c r="F209" i="17"/>
  <c r="C127" i="17"/>
  <c r="E161" i="17"/>
  <c r="F161" i="17"/>
  <c r="D162" i="17"/>
  <c r="C195" i="17"/>
  <c r="C305" i="17"/>
  <c r="E287" i="17"/>
  <c r="F287" i="17"/>
  <c r="D291" i="17"/>
  <c r="D289" i="17"/>
  <c r="E289" i="17"/>
  <c r="F289" i="17"/>
  <c r="E300" i="17"/>
  <c r="F300" i="17"/>
  <c r="F270" i="17"/>
  <c r="E282" i="17"/>
  <c r="F282" i="17"/>
  <c r="D281" i="17"/>
  <c r="E281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E43" i="4"/>
  <c r="F43" i="4"/>
  <c r="E91" i="18"/>
  <c r="D105" i="18"/>
  <c r="E105" i="18"/>
  <c r="E110" i="18"/>
  <c r="D116" i="18"/>
  <c r="E116" i="18"/>
  <c r="C271" i="18"/>
  <c r="E263" i="18"/>
  <c r="D264" i="18"/>
  <c r="E121" i="18"/>
  <c r="D129" i="18"/>
  <c r="E129" i="18"/>
  <c r="D117" i="18"/>
  <c r="E109" i="18"/>
  <c r="D128" i="18"/>
  <c r="E128" i="18"/>
  <c r="E122" i="18"/>
  <c r="E162" i="17"/>
  <c r="E195" i="17"/>
  <c r="F195" i="17"/>
  <c r="F273" i="17"/>
  <c r="E197" i="17"/>
  <c r="E50" i="17"/>
  <c r="C323" i="17"/>
  <c r="F323" i="17"/>
  <c r="C183" i="17"/>
  <c r="F183" i="17"/>
  <c r="F162" i="17"/>
  <c r="C324" i="17"/>
  <c r="C113" i="17"/>
  <c r="E105" i="17"/>
  <c r="F105" i="17"/>
  <c r="D106" i="17"/>
  <c r="E106" i="17"/>
  <c r="E291" i="17"/>
  <c r="F291" i="17"/>
  <c r="D305" i="17"/>
  <c r="C309" i="17"/>
  <c r="C197" i="17"/>
  <c r="C148" i="17"/>
  <c r="E304" i="17"/>
  <c r="F304" i="17"/>
  <c r="E92" i="17"/>
  <c r="F92" i="17"/>
  <c r="E140" i="17"/>
  <c r="F140" i="17"/>
  <c r="D141" i="17"/>
  <c r="E175" i="17"/>
  <c r="F175" i="17"/>
  <c r="D176" i="17"/>
  <c r="E176" i="17"/>
  <c r="F106" i="17"/>
  <c r="F50" i="17"/>
  <c r="C70" i="17"/>
  <c r="F281" i="17"/>
  <c r="F63" i="17"/>
  <c r="D63" i="17"/>
  <c r="E63" i="17"/>
  <c r="E62" i="17"/>
  <c r="F62" i="17"/>
  <c r="D211" i="17"/>
  <c r="E210" i="17"/>
  <c r="F210" i="17"/>
  <c r="E127" i="17"/>
  <c r="F127" i="17"/>
  <c r="D148" i="17"/>
  <c r="E148" i="17"/>
  <c r="C322" i="17"/>
  <c r="C211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D131" i="18"/>
  <c r="E131" i="18"/>
  <c r="E117" i="18"/>
  <c r="E264" i="18"/>
  <c r="D266" i="18"/>
  <c r="F148" i="17"/>
  <c r="E211" i="17"/>
  <c r="D322" i="17"/>
  <c r="E322" i="17"/>
  <c r="F322" i="17"/>
  <c r="E141" i="17"/>
  <c r="F141" i="17"/>
  <c r="D113" i="17"/>
  <c r="E113" i="17"/>
  <c r="F113" i="17"/>
  <c r="D324" i="17"/>
  <c r="F197" i="17"/>
  <c r="C310" i="17"/>
  <c r="D70" i="17"/>
  <c r="E70" i="17"/>
  <c r="F70" i="17"/>
  <c r="D323" i="17"/>
  <c r="E323" i="17"/>
  <c r="F211" i="17"/>
  <c r="D309" i="17"/>
  <c r="E305" i="17"/>
  <c r="F305" i="17"/>
  <c r="C325" i="17"/>
  <c r="D183" i="17"/>
  <c r="E183" i="17"/>
  <c r="F49" i="12"/>
  <c r="F50" i="5"/>
  <c r="E266" i="18"/>
  <c r="D267" i="18"/>
  <c r="C312" i="17"/>
  <c r="E309" i="17"/>
  <c r="F309" i="17"/>
  <c r="D310" i="17"/>
  <c r="D325" i="17"/>
  <c r="E325" i="17"/>
  <c r="F325" i="17"/>
  <c r="E324" i="17"/>
  <c r="F324" i="17"/>
  <c r="D269" i="18"/>
  <c r="E269" i="18"/>
  <c r="E267" i="18"/>
  <c r="D268" i="18"/>
  <c r="D312" i="17"/>
  <c r="E310" i="17"/>
  <c r="F310" i="17"/>
  <c r="C313" i="17"/>
  <c r="D271" i="18"/>
  <c r="E271" i="18"/>
  <c r="E268" i="18"/>
  <c r="C314" i="17"/>
  <c r="C251" i="17"/>
  <c r="C256" i="17"/>
  <c r="C315" i="17"/>
  <c r="E312" i="17"/>
  <c r="F312" i="17"/>
  <c r="D313" i="17"/>
  <c r="D315" i="17"/>
  <c r="E315" i="17"/>
  <c r="F315" i="17"/>
  <c r="D314" i="17"/>
  <c r="E313" i="17"/>
  <c r="F313" i="17"/>
  <c r="D251" i="17"/>
  <c r="E251" i="17"/>
  <c r="D256" i="17"/>
  <c r="F251" i="17"/>
  <c r="C257" i="17"/>
  <c r="C318" i="17"/>
  <c r="D257" i="17"/>
  <c r="E257" i="17"/>
  <c r="F257" i="17"/>
  <c r="E256" i="17"/>
  <c r="F256" i="17"/>
  <c r="D318" i="17"/>
  <c r="E318" i="17"/>
  <c r="F318" i="17"/>
  <c r="E314" i="17"/>
  <c r="F314" i="17"/>
</calcChain>
</file>

<file path=xl/sharedStrings.xml><?xml version="1.0" encoding="utf-8"?>
<sst xmlns="http://schemas.openxmlformats.org/spreadsheetml/2006/main" count="2337" uniqueCount="1013">
  <si>
    <t>MIDDLESEX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</si>
  <si>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</si>
  <si>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</si>
  <si>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</si>
  <si>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</si>
  <si>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</si>
  <si>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</si>
  <si>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</si>
  <si>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</si>
  <si>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</si>
  <si>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</si>
  <si>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</si>
  <si>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</si>
  <si>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</si>
  <si>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</si>
  <si>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</si>
  <si>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</si>
  <si>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</si>
  <si>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</si>
  <si>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</si>
  <si>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</si>
  <si>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</si>
  <si>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</si>
  <si>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</si>
  <si>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</si>
  <si>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</si>
  <si>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</si>
  <si>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</si>
  <si>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</si>
  <si>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</si>
  <si>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</si>
  <si>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</si>
  <si>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</si>
  <si>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</si>
  <si>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</si>
  <si>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</si>
  <si>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</si>
  <si>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</si>
  <si>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</si>
  <si>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</si>
  <si>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</si>
  <si>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</si>
  <si>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</si>
  <si>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</si>
  <si>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</si>
  <si>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</si>
  <si>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</si>
  <si>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</si>
  <si>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</si>
  <si>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</si>
  <si>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</si>
  <si>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</si>
  <si>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</si>
  <si>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</si>
  <si>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</si>
  <si>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</si>
  <si>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</si>
  <si>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</si>
  <si>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</si>
  <si>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</si>
  <si>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</si>
  <si>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</si>
  <si>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</si>
  <si>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</si>
  <si>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</si>
  <si>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</si>
  <si>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</si>
  <si>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</si>
  <si>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</si>
  <si>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</si>
  <si>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</si>
  <si>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</si>
  <si>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</si>
  <si>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</si>
  <si>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</si>
  <si>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</si>
  <si>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</si>
  <si>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</si>
  <si>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</si>
  <si>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</si>
  <si>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</si>
  <si>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</si>
  <si>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</si>
  <si>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</si>
  <si>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</si>
  <si>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</si>
  <si>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</si>
  <si>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</si>
  <si>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</si>
  <si>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</si>
  <si>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</si>
  <si>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</si>
  <si>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</si>
  <si>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</si>
  <si>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</si>
  <si>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</si>
  <si>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</si>
  <si>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</si>
  <si>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</si>
  <si>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</si>
  <si>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</si>
  <si>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</si>
  <si>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</si>
  <si>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</si>
  <si>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</si>
  <si>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</si>
  <si>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</si>
  <si>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</si>
  <si>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</si>
  <si>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</si>
  <si>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</si>
  <si>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</si>
  <si>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</si>
  <si>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</si>
  <si>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</si>
  <si>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</si>
  <si>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</si>
  <si>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</si>
  <si>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</si>
  <si>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</si>
  <si>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</si>
  <si>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</si>
  <si>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</si>
  <si>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</si>
  <si>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</si>
  <si>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</si>
  <si>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</si>
  <si>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</si>
  <si>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</si>
  <si>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</si>
  <si>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</si>
  <si>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</si>
  <si>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</si>
  <si>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</si>
  <si>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</si>
  <si>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</si>
  <si>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</si>
  <si>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</si>
  <si>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</si>
  <si>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</si>
  <si>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</si>
  <si>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</si>
  <si>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</si>
  <si>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</si>
  <si>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</si>
  <si>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</si>
  <si>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</si>
  <si>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</si>
  <si>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</si>
  <si>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</si>
  <si>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</si>
  <si>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</si>
  <si>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</si>
  <si>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</si>
  <si>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</si>
  <si>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</si>
  <si>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</si>
  <si>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</si>
  <si>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</si>
  <si>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</si>
  <si>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</si>
  <si>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</si>
  <si>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</si>
  <si>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</si>
  <si>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</si>
  <si>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</si>
  <si>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</si>
  <si>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</si>
  <si>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</si>
  <si>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</si>
  <si>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</si>
  <si>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</si>
  <si>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</si>
  <si>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</si>
  <si>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</si>
  <si>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</si>
  <si>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</si>
  <si>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</si>
  <si>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</si>
  <si>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</si>
  <si>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</si>
  <si>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</si>
  <si>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</si>
  <si>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</si>
  <si>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</si>
  <si>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</si>
  <si>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</si>
  <si>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</si>
  <si>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</si>
  <si>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</si>
  <si>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</si>
  <si>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</si>
  <si>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</si>
  <si>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</si>
  <si>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</si>
  <si>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</si>
  <si>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</si>
  <si>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</si>
  <si>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</si>
  <si>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</si>
  <si>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</si>
  <si>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</si>
  <si>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</si>
  <si>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</si>
  <si>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</si>
  <si>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</si>
  <si>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</si>
  <si>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</si>
  <si>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</si>
  <si>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</si>
  <si>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</si>
  <si>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</si>
  <si>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</si>
  <si>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</si>
  <si>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</si>
  <si>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</si>
  <si>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</si>
  <si>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</si>
  <si>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</si>
  <si>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</si>
  <si>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</si>
  <si>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</si>
  <si>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</si>
  <si>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</si>
  <si>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</si>
  <si>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</si>
  <si>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</si>
  <si>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</si>
  <si>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</si>
  <si>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</si>
  <si>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</si>
  <si>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</si>
  <si>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</si>
  <si>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</si>
  <si>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</si>
  <si>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</si>
  <si>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</si>
  <si>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</si>
  <si>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</si>
  <si>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</si>
  <si>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</si>
  <si>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</si>
  <si>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</si>
  <si>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</si>
  <si>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</si>
  <si>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</si>
  <si>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</si>
  <si>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</si>
  <si>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</si>
  <si>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</si>
  <si>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</si>
  <si>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</si>
  <si>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</si>
  <si>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</si>
  <si>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</si>
  <si>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</si>
  <si>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</si>
  <si>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</si>
  <si>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</si>
  <si>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</si>
  <si>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</si>
  <si>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</si>
  <si>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</si>
  <si>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</si>
  <si>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</si>
  <si>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</si>
  <si>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</si>
  <si>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</si>
  <si>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</si>
  <si>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</si>
  <si>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</si>
  <si>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</si>
  <si>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</si>
  <si>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</si>
  <si>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</si>
  <si>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</si>
  <si>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</si>
  <si>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</si>
  <si>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</si>
  <si>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</si>
  <si>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</si>
  <si>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</si>
  <si>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</si>
  <si>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</si>
  <si>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</si>
  <si>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</si>
  <si>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</si>
  <si>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</si>
  <si>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</si>
  <si>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</si>
  <si>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</si>
  <si>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</si>
  <si>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</si>
  <si>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</si>
  <si>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</si>
  <si>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</si>
  <si>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</si>
  <si>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</si>
  <si>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</si>
  <si>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</si>
  <si>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</si>
  <si>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</si>
  <si>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</si>
  <si>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</si>
  <si>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</si>
  <si>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</si>
  <si>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</si>
  <si>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</si>
  <si>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</si>
  <si>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</si>
  <si>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</si>
  <si>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</si>
  <si>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</si>
  <si>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</si>
  <si>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</si>
  <si>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</si>
  <si>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</si>
  <si>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</si>
  <si>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</si>
  <si>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</si>
  <si>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</si>
  <si>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</si>
  <si>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</si>
  <si>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</si>
  <si>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</si>
  <si>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</si>
  <si>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</si>
  <si>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</si>
  <si>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</si>
  <si>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</si>
  <si>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</si>
  <si>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</si>
  <si>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</si>
  <si>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</si>
  <si>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</si>
  <si>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</si>
  <si>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</si>
  <si>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</si>
  <si>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</si>
  <si>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</si>
  <si>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</si>
  <si>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</si>
  <si>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</si>
  <si>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</si>
  <si>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</si>
  <si>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</si>
  <si>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</si>
  <si>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</si>
  <si>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</si>
  <si>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</si>
  <si>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</si>
  <si>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</si>
  <si>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</si>
  <si>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</si>
  <si>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</si>
  <si>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</si>
  <si>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</si>
  <si>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</si>
  <si>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</si>
  <si>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</si>
  <si>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</si>
  <si>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</si>
  <si>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</si>
  <si>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</si>
  <si>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</si>
  <si>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</si>
  <si>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</si>
  <si>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</si>
  <si>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</si>
  <si>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</si>
  <si>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</si>
  <si>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</si>
  <si>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</si>
  <si>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</si>
  <si>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</si>
  <si>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</si>
  <si>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</si>
  <si>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</si>
  <si>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</si>
  <si>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</si>
  <si>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</si>
  <si>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</si>
  <si>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</si>
  <si>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</si>
  <si>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</si>
  <si>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</si>
  <si>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</si>
  <si>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</si>
  <si>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</si>
  <si>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</si>
  <si>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</si>
  <si>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</si>
  <si>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</si>
  <si>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</si>
  <si>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</si>
  <si>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</si>
  <si>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</si>
  <si>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</si>
  <si>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</si>
  <si>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</si>
  <si>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</si>
  <si>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</si>
  <si>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</si>
  <si>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</si>
  <si>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</si>
  <si>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</si>
  <si>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</si>
  <si>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</si>
  <si>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</si>
  <si>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</si>
  <si>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</si>
  <si>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</si>
  <si>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</si>
  <si>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</si>
  <si>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</si>
  <si>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</si>
  <si>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</si>
  <si>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</si>
  <si>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</si>
  <si>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</si>
  <si>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</si>
  <si>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</si>
  <si>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</si>
  <si>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</si>
  <si>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</si>
  <si>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</si>
  <si>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</si>
  <si>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</si>
  <si>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</si>
  <si>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</si>
  <si>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</si>
  <si>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</si>
  <si>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</si>
  <si>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</si>
  <si>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</si>
  <si>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</si>
  <si>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</si>
  <si>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</si>
  <si>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</si>
  <si>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</si>
  <si>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</si>
  <si>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</si>
  <si>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</si>
  <si>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</si>
  <si>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</si>
  <si>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</si>
  <si>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</si>
  <si>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</si>
  <si>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</si>
  <si>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</si>
  <si>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</si>
  <si>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</si>
  <si>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</si>
  <si>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</si>
  <si>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</si>
  <si>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</si>
  <si>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</si>
  <si>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</si>
  <si>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</si>
  <si>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</si>
  <si>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</si>
  <si>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</si>
  <si>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</si>
  <si>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</si>
  <si>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</si>
  <si>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</si>
  <si>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</si>
  <si>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</si>
  <si>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</si>
  <si>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</si>
  <si>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</si>
  <si>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</si>
  <si>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</si>
  <si>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</si>
  <si>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</si>
  <si>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</si>
  <si>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</si>
  <si>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</si>
  <si>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</si>
  <si>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</si>
  <si>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</si>
  <si>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</si>
  <si>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</si>
  <si>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</si>
  <si>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</si>
  <si>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</si>
  <si>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</si>
  <si>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</si>
  <si>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</si>
  <si>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</si>
  <si>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</si>
  <si>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</si>
  <si>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</si>
  <si>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</si>
  <si>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</si>
  <si>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</si>
  <si>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</si>
  <si>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</si>
  <si>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</si>
  <si>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</si>
  <si>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MIDDLESEX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</si>
  <si>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</si>
  <si>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</si>
  <si>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</si>
  <si>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</si>
  <si>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</si>
  <si>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</si>
  <si>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</si>
  <si>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</si>
  <si>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</si>
  <si>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</si>
  <si>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</si>
  <si>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</si>
  <si>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</si>
  <si>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</si>
  <si>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</si>
  <si>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</si>
  <si>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</si>
  <si>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</si>
  <si>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</si>
  <si>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</si>
  <si>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</si>
  <si>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</si>
  <si>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</si>
  <si>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</si>
  <si>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</si>
  <si>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</si>
  <si>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</si>
  <si>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</si>
  <si>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</si>
  <si>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</si>
  <si>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</si>
  <si>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</si>
  <si>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</si>
  <si>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</si>
  <si>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</si>
  <si>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</si>
  <si>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</si>
  <si>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</si>
  <si>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</si>
  <si>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</si>
  <si>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</si>
  <si>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</si>
  <si>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</si>
  <si>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</si>
  <si>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</si>
  <si>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</si>
  <si>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</si>
  <si>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</si>
  <si>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</si>
  <si>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</si>
  <si>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</si>
  <si>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</si>
  <si>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</si>
  <si>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</si>
  <si>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</si>
  <si>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</si>
  <si>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</si>
  <si>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</si>
  <si>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</si>
  <si>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</si>
  <si>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</si>
  <si>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</si>
  <si>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</si>
  <si>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</si>
  <si>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</si>
  <si>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</si>
  <si>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</si>
  <si>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</si>
  <si>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</si>
  <si>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</si>
  <si>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</si>
  <si>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</si>
  <si>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</si>
  <si>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</si>
  <si>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</si>
  <si>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</si>
  <si>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</si>
  <si>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</si>
  <si>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</si>
  <si>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</si>
  <si>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</si>
  <si>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</si>
  <si>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</si>
  <si>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</si>
  <si>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</si>
  <si>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</si>
  <si>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</si>
  <si>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</si>
  <si>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</si>
  <si>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</si>
  <si>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</si>
  <si>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</si>
  <si>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</si>
  <si>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</si>
  <si>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</si>
  <si>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</si>
  <si>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</si>
  <si>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</si>
  <si>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</si>
  <si>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</si>
  <si>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</si>
  <si>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</si>
  <si>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</si>
  <si>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</si>
  <si>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</si>
  <si>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</si>
  <si>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</si>
  <si>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</si>
  <si>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</si>
  <si>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</si>
  <si>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</si>
  <si>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</si>
  <si>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</si>
  <si>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</si>
  <si>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</si>
  <si>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</si>
  <si>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</si>
  <si>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</si>
  <si>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</si>
  <si>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</si>
  <si>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</si>
  <si>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</si>
  <si>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>Total Outpatient Surgical Procedures(A)</t>
  </si>
  <si>
    <t>MH Shoreline Oscopy Room</t>
  </si>
  <si>
    <t>Total Outpatient Endoscopy Procedures(B)</t>
  </si>
  <si>
    <t>Outpatient Hospital Emergency Room Visits</t>
  </si>
  <si>
    <t>MH Marlborough ED</t>
  </si>
  <si>
    <t>MH Shoreline ED</t>
  </si>
  <si>
    <t>Middlesex Hospital ED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</si>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</sst>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39387000</v>
      </c>
      <c r="D13" s="22">
        <v>36581000</v>
      </c>
      <c r="E13" s="22">
        <f t="shared" ref="E13:E22" si="0">D13-C13</f>
        <v>-2806000</v>
      </c>
      <c r="F13" s="23">
        <f t="shared" ref="F13:F22" si="1">IF(C13=0,0,E13/C13)</f>
        <v>-7.1241780282834441E-2</v>
      </c>
    </row>
    <row r="14" spans="1:8" ht="24" customHeight="1" x14ac:dyDescent="0.2">
      <c r="A14" s="20">
        <v>2</v>
      </c>
      <c r="B14" s="21" t="s">
        <v>17</v>
      </c>
      <c r="C14" s="22">
        <v>20741000</v>
      </c>
      <c r="D14" s="22">
        <v>21491000</v>
      </c>
      <c r="E14" s="22">
        <f t="shared" si="0"/>
        <v>750000</v>
      </c>
      <c r="F14" s="23">
        <f t="shared" si="1"/>
        <v>3.6160262282435754E-2</v>
      </c>
    </row>
    <row r="15" spans="1:8" ht="24" customHeight="1" x14ac:dyDescent="0.2">
      <c r="A15" s="20">
        <v>3</v>
      </c>
      <c r="B15" s="21" t="s">
        <v>18</v>
      </c>
      <c r="C15" s="22">
        <v>44032000</v>
      </c>
      <c r="D15" s="22">
        <v>43502000</v>
      </c>
      <c r="E15" s="22">
        <f t="shared" si="0"/>
        <v>-530000</v>
      </c>
      <c r="F15" s="23">
        <f t="shared" si="1"/>
        <v>-1.2036700581395349E-2</v>
      </c>
    </row>
    <row r="16" spans="1:8" ht="24" customHeight="1" x14ac:dyDescent="0.2">
      <c r="A16" s="20">
        <v>4</v>
      </c>
      <c r="B16" s="21" t="s">
        <v>19</v>
      </c>
      <c r="C16" s="22">
        <v>4091000</v>
      </c>
      <c r="D16" s="22">
        <v>4281000</v>
      </c>
      <c r="E16" s="22">
        <f t="shared" si="0"/>
        <v>190000</v>
      </c>
      <c r="F16" s="23">
        <f t="shared" si="1"/>
        <v>4.6443412368614032E-2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2914000</v>
      </c>
      <c r="D18" s="22">
        <v>808000</v>
      </c>
      <c r="E18" s="22">
        <f t="shared" si="0"/>
        <v>-2106000</v>
      </c>
      <c r="F18" s="23">
        <f t="shared" si="1"/>
        <v>-0.7227179135209334</v>
      </c>
    </row>
    <row r="19" spans="1:11" ht="24" customHeight="1" x14ac:dyDescent="0.2">
      <c r="A19" s="20">
        <v>7</v>
      </c>
      <c r="B19" s="21" t="s">
        <v>22</v>
      </c>
      <c r="C19" s="22">
        <v>1251000</v>
      </c>
      <c r="D19" s="22">
        <v>1161000</v>
      </c>
      <c r="E19" s="22">
        <f t="shared" si="0"/>
        <v>-90000</v>
      </c>
      <c r="F19" s="23">
        <f t="shared" si="1"/>
        <v>-7.1942446043165464E-2</v>
      </c>
    </row>
    <row r="20" spans="1:11" ht="24" customHeight="1" x14ac:dyDescent="0.2">
      <c r="A20" s="20">
        <v>8</v>
      </c>
      <c r="B20" s="21" t="s">
        <v>23</v>
      </c>
      <c r="C20" s="22">
        <v>2331000</v>
      </c>
      <c r="D20" s="22">
        <v>2329000</v>
      </c>
      <c r="E20" s="22">
        <f t="shared" si="0"/>
        <v>-2000</v>
      </c>
      <c r="F20" s="23">
        <f t="shared" si="1"/>
        <v>-8.5800085800085801E-4</v>
      </c>
    </row>
    <row r="21" spans="1:11" ht="24" customHeight="1" x14ac:dyDescent="0.2">
      <c r="A21" s="20">
        <v>9</v>
      </c>
      <c r="B21" s="21" t="s">
        <v>24</v>
      </c>
      <c r="C21" s="22">
        <v>3686000</v>
      </c>
      <c r="D21" s="22">
        <v>3214000</v>
      </c>
      <c r="E21" s="22">
        <f t="shared" si="0"/>
        <v>-472000</v>
      </c>
      <c r="F21" s="23">
        <f t="shared" si="1"/>
        <v>-0.12805208898534998</v>
      </c>
    </row>
    <row r="22" spans="1:11" ht="24" customHeight="1" x14ac:dyDescent="0.25">
      <c r="A22" s="24"/>
      <c r="B22" s="25" t="s">
        <v>25</v>
      </c>
      <c r="C22" s="26">
        <f>SUM(C13:C21)</f>
        <v>118433000</v>
      </c>
      <c r="D22" s="26">
        <f>SUM(D13:D21)</f>
        <v>113367000</v>
      </c>
      <c r="E22" s="26">
        <f t="shared" si="0"/>
        <v>-5066000</v>
      </c>
      <c r="F22" s="27">
        <f t="shared" si="1"/>
        <v>-4.277524000911908E-2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9212000</v>
      </c>
      <c r="D25" s="22">
        <v>10442000</v>
      </c>
      <c r="E25" s="22">
        <f>D25-C25</f>
        <v>1230000</v>
      </c>
      <c r="F25" s="23">
        <f>IF(C25=0,0,E25/C25)</f>
        <v>0.13352149370386451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109616000</v>
      </c>
      <c r="D26" s="22">
        <v>119802000</v>
      </c>
      <c r="E26" s="22">
        <f>D26-C26</f>
        <v>10186000</v>
      </c>
      <c r="F26" s="23">
        <f>IF(C26=0,0,E26/C26)</f>
        <v>9.2924390599912421E-2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15131000</v>
      </c>
      <c r="D28" s="22">
        <v>15947000</v>
      </c>
      <c r="E28" s="22">
        <f>D28-C28</f>
        <v>816000</v>
      </c>
      <c r="F28" s="23">
        <f>IF(C28=0,0,E28/C28)</f>
        <v>5.3929019892935033E-2</v>
      </c>
    </row>
    <row r="29" spans="1:11" ht="24" customHeight="1" x14ac:dyDescent="0.25">
      <c r="A29" s="24"/>
      <c r="B29" s="25" t="s">
        <v>32</v>
      </c>
      <c r="C29" s="26">
        <f>SUM(C25:C28)</f>
        <v>133959000</v>
      </c>
      <c r="D29" s="26">
        <f>SUM(D25:D28)</f>
        <v>146191000</v>
      </c>
      <c r="E29" s="26">
        <f>D29-C29</f>
        <v>12232000</v>
      </c>
      <c r="F29" s="27">
        <f>IF(C29=0,0,E29/C29)</f>
        <v>9.1311520689166092E-2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15090000</v>
      </c>
      <c r="D32" s="22">
        <v>23461000</v>
      </c>
      <c r="E32" s="22">
        <f>D32-C32</f>
        <v>8371000</v>
      </c>
      <c r="F32" s="23">
        <f>IF(C32=0,0,E32/C32)</f>
        <v>0.55473823724320748</v>
      </c>
    </row>
    <row r="33" spans="1:8" ht="24" customHeight="1" x14ac:dyDescent="0.2">
      <c r="A33" s="20">
        <v>7</v>
      </c>
      <c r="B33" s="21" t="s">
        <v>35</v>
      </c>
      <c r="C33" s="22">
        <v>6516000</v>
      </c>
      <c r="D33" s="22">
        <v>8380000</v>
      </c>
      <c r="E33" s="22">
        <f>D33-C33</f>
        <v>1864000</v>
      </c>
      <c r="F33" s="23">
        <f>IF(C33=0,0,E33/C33)</f>
        <v>0.28606507059545733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397991000</v>
      </c>
      <c r="D36" s="22">
        <v>436930000</v>
      </c>
      <c r="E36" s="22">
        <f>D36-C36</f>
        <v>38939000</v>
      </c>
      <c r="F36" s="23">
        <f>IF(C36=0,0,E36/C36)</f>
        <v>9.783889585442887E-2</v>
      </c>
    </row>
    <row r="37" spans="1:8" ht="24" customHeight="1" x14ac:dyDescent="0.2">
      <c r="A37" s="20">
        <v>2</v>
      </c>
      <c r="B37" s="21" t="s">
        <v>39</v>
      </c>
      <c r="C37" s="22">
        <v>230191000</v>
      </c>
      <c r="D37" s="22">
        <v>252473000</v>
      </c>
      <c r="E37" s="22">
        <f>D37-C37</f>
        <v>22282000</v>
      </c>
      <c r="F37" s="23">
        <f>IF(C37=0,0,E37/C37)</f>
        <v>9.6797876545998751E-2</v>
      </c>
    </row>
    <row r="38" spans="1:8" ht="24" customHeight="1" x14ac:dyDescent="0.25">
      <c r="A38" s="24"/>
      <c r="B38" s="25" t="s">
        <v>40</v>
      </c>
      <c r="C38" s="26">
        <f>C36-C37</f>
        <v>167800000</v>
      </c>
      <c r="D38" s="26">
        <f>D36-D37</f>
        <v>184457000</v>
      </c>
      <c r="E38" s="26">
        <f>D38-C38</f>
        <v>16657000</v>
      </c>
      <c r="F38" s="27">
        <f>IF(C38=0,0,E38/C38)</f>
        <v>9.9266984505363531E-2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18513000</v>
      </c>
      <c r="D40" s="22">
        <v>7955000</v>
      </c>
      <c r="E40" s="22">
        <f>D40-C40</f>
        <v>-10558000</v>
      </c>
      <c r="F40" s="23">
        <f>IF(C40=0,0,E40/C40)</f>
        <v>-0.5703019499810944</v>
      </c>
    </row>
    <row r="41" spans="1:8" ht="24" customHeight="1" x14ac:dyDescent="0.25">
      <c r="A41" s="24"/>
      <c r="B41" s="25" t="s">
        <v>42</v>
      </c>
      <c r="C41" s="26">
        <f>+C38+C40</f>
        <v>186313000</v>
      </c>
      <c r="D41" s="26">
        <f>+D38+D40</f>
        <v>192412000</v>
      </c>
      <c r="E41" s="26">
        <f>D41-C41</f>
        <v>6099000</v>
      </c>
      <c r="F41" s="27">
        <f>IF(C41=0,0,E41/C41)</f>
        <v>3.2735235866525686E-2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460311000</v>
      </c>
      <c r="D43" s="26">
        <f>D22+D29+D31+D32+D33+D41</f>
        <v>483811000</v>
      </c>
      <c r="E43" s="26">
        <f>D43-C43</f>
        <v>23500000</v>
      </c>
      <c r="F43" s="27">
        <f>IF(C43=0,0,E43/C43)</f>
        <v>5.1052440632528874E-2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16703000</v>
      </c>
      <c r="D49" s="22">
        <v>21523000</v>
      </c>
      <c r="E49" s="22">
        <f t="shared" ref="E49:E56" si="2">D49-C49</f>
        <v>4820000</v>
      </c>
      <c r="F49" s="23">
        <f t="shared" ref="F49:F56" si="3">IF(C49=0,0,E49/C49)</f>
        <v>0.28857091540441837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31544000</v>
      </c>
      <c r="D50" s="22">
        <v>32945000</v>
      </c>
      <c r="E50" s="22">
        <f t="shared" si="2"/>
        <v>1401000</v>
      </c>
      <c r="F50" s="23">
        <f t="shared" si="3"/>
        <v>4.44141516611717E-2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3135000</v>
      </c>
      <c r="D53" s="22">
        <v>3255000</v>
      </c>
      <c r="E53" s="22">
        <f t="shared" si="2"/>
        <v>120000</v>
      </c>
      <c r="F53" s="23">
        <f t="shared" si="3"/>
        <v>3.8277511961722487E-2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21000</v>
      </c>
      <c r="D54" s="22">
        <v>21000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6228000</v>
      </c>
      <c r="D55" s="22">
        <v>6360000</v>
      </c>
      <c r="E55" s="22">
        <f t="shared" si="2"/>
        <v>132000</v>
      </c>
      <c r="F55" s="23">
        <f t="shared" si="3"/>
        <v>2.119460500963391E-2</v>
      </c>
    </row>
    <row r="56" spans="1:6" ht="24" customHeight="1" x14ac:dyDescent="0.25">
      <c r="A56" s="24"/>
      <c r="B56" s="25" t="s">
        <v>54</v>
      </c>
      <c r="C56" s="26">
        <f>SUM(C49:C55)</f>
        <v>57631000</v>
      </c>
      <c r="D56" s="26">
        <f>SUM(D49:D55)</f>
        <v>64104000</v>
      </c>
      <c r="E56" s="26">
        <f t="shared" si="2"/>
        <v>6473000</v>
      </c>
      <c r="F56" s="27">
        <f t="shared" si="3"/>
        <v>0.11231802328607868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60045000</v>
      </c>
      <c r="D59" s="22">
        <v>56684000</v>
      </c>
      <c r="E59" s="22">
        <f>D59-C59</f>
        <v>-3361000</v>
      </c>
      <c r="F59" s="23">
        <f>IF(C59=0,0,E59/C59)</f>
        <v>-5.5974685652427345E-2</v>
      </c>
    </row>
    <row r="60" spans="1:6" ht="24" customHeight="1" x14ac:dyDescent="0.2">
      <c r="A60" s="20">
        <v>2</v>
      </c>
      <c r="B60" s="21" t="s">
        <v>57</v>
      </c>
      <c r="C60" s="22">
        <v>26000</v>
      </c>
      <c r="D60" s="22">
        <v>5000</v>
      </c>
      <c r="E60" s="22">
        <f>D60-C60</f>
        <v>-21000</v>
      </c>
      <c r="F60" s="23">
        <f>IF(C60=0,0,E60/C60)</f>
        <v>-0.80769230769230771</v>
      </c>
    </row>
    <row r="61" spans="1:6" ht="24" customHeight="1" x14ac:dyDescent="0.25">
      <c r="A61" s="24"/>
      <c r="B61" s="25" t="s">
        <v>58</v>
      </c>
      <c r="C61" s="26">
        <f>SUM(C59:C60)</f>
        <v>60071000</v>
      </c>
      <c r="D61" s="26">
        <f>SUM(D59:D60)</f>
        <v>56689000</v>
      </c>
      <c r="E61" s="26">
        <f>D61-C61</f>
        <v>-3382000</v>
      </c>
      <c r="F61" s="27">
        <f>IF(C61=0,0,E61/C61)</f>
        <v>-5.6300044946812941E-2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48985000</v>
      </c>
      <c r="D63" s="22">
        <v>45992000</v>
      </c>
      <c r="E63" s="22">
        <f>D63-C63</f>
        <v>-2993000</v>
      </c>
      <c r="F63" s="23">
        <f>IF(C63=0,0,E63/C63)</f>
        <v>-6.1100336837807495E-2</v>
      </c>
    </row>
    <row r="64" spans="1:6" ht="24" customHeight="1" x14ac:dyDescent="0.2">
      <c r="A64" s="20">
        <v>4</v>
      </c>
      <c r="B64" s="21" t="s">
        <v>60</v>
      </c>
      <c r="C64" s="22">
        <v>29458000</v>
      </c>
      <c r="D64" s="22">
        <v>29326000</v>
      </c>
      <c r="E64" s="22">
        <f>D64-C64</f>
        <v>-132000</v>
      </c>
      <c r="F64" s="23">
        <f>IF(C64=0,0,E64/C64)</f>
        <v>-4.4809559372666168E-3</v>
      </c>
    </row>
    <row r="65" spans="1:6" ht="24" customHeight="1" x14ac:dyDescent="0.25">
      <c r="A65" s="24"/>
      <c r="B65" s="25" t="s">
        <v>61</v>
      </c>
      <c r="C65" s="26">
        <f>SUM(C61:C64)</f>
        <v>138514000</v>
      </c>
      <c r="D65" s="26">
        <f>SUM(D61:D64)</f>
        <v>132007000</v>
      </c>
      <c r="E65" s="26">
        <f>D65-C65</f>
        <v>-6507000</v>
      </c>
      <c r="F65" s="27">
        <f>IF(C65=0,0,E65/C65)</f>
        <v>-4.6977200860562833E-2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247940000</v>
      </c>
      <c r="D70" s="22">
        <v>270689000</v>
      </c>
      <c r="E70" s="22">
        <f>D70-C70</f>
        <v>22749000</v>
      </c>
      <c r="F70" s="23">
        <f>IF(C70=0,0,E70/C70)</f>
        <v>9.1752036783092683E-2</v>
      </c>
    </row>
    <row r="71" spans="1:6" ht="24" customHeight="1" x14ac:dyDescent="0.2">
      <c r="A71" s="20">
        <v>2</v>
      </c>
      <c r="B71" s="21" t="s">
        <v>65</v>
      </c>
      <c r="C71" s="22">
        <v>9250000</v>
      </c>
      <c r="D71" s="22">
        <v>10034000</v>
      </c>
      <c r="E71" s="22">
        <f>D71-C71</f>
        <v>784000</v>
      </c>
      <c r="F71" s="23">
        <f>IF(C71=0,0,E71/C71)</f>
        <v>8.4756756756756757E-2</v>
      </c>
    </row>
    <row r="72" spans="1:6" ht="24" customHeight="1" x14ac:dyDescent="0.2">
      <c r="A72" s="20">
        <v>3</v>
      </c>
      <c r="B72" s="21" t="s">
        <v>66</v>
      </c>
      <c r="C72" s="22">
        <v>6976000</v>
      </c>
      <c r="D72" s="22">
        <v>6977000</v>
      </c>
      <c r="E72" s="22">
        <f>D72-C72</f>
        <v>1000</v>
      </c>
      <c r="F72" s="23">
        <f>IF(C72=0,0,E72/C72)</f>
        <v>1.4334862385321102E-4</v>
      </c>
    </row>
    <row r="73" spans="1:6" ht="24" customHeight="1" x14ac:dyDescent="0.25">
      <c r="A73" s="20"/>
      <c r="B73" s="25" t="s">
        <v>67</v>
      </c>
      <c r="C73" s="26">
        <f>SUM(C70:C72)</f>
        <v>264166000</v>
      </c>
      <c r="D73" s="26">
        <f>SUM(D70:D72)</f>
        <v>287700000</v>
      </c>
      <c r="E73" s="26">
        <f>D73-C73</f>
        <v>23534000</v>
      </c>
      <c r="F73" s="27">
        <f>IF(C73=0,0,E73/C73)</f>
        <v>8.9087921988446658E-2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460311000</v>
      </c>
      <c r="D75" s="26">
        <f>D56+D65+D67+D73</f>
        <v>483811000</v>
      </c>
      <c r="E75" s="26">
        <f>D75-C75</f>
        <v>23500000</v>
      </c>
      <c r="F75" s="27">
        <f>IF(C75=0,0,E75/C75)</f>
        <v>5.1052440632528874E-2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361466000</v>
      </c>
      <c r="D11" s="76">
        <v>361760000</v>
      </c>
      <c r="E11" s="76">
        <v>370244000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12534000</v>
      </c>
      <c r="D12" s="185">
        <v>12946000</v>
      </c>
      <c r="E12" s="185">
        <v>13560000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374000000</v>
      </c>
      <c r="D13" s="76">
        <f>+D11+D12</f>
        <v>374706000</v>
      </c>
      <c r="E13" s="76">
        <f>+E11+E12</f>
        <v>383804000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351657000</v>
      </c>
      <c r="D14" s="185">
        <v>360357000</v>
      </c>
      <c r="E14" s="185">
        <v>366898000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22343000</v>
      </c>
      <c r="D15" s="76">
        <f>+D13-D14</f>
        <v>14349000</v>
      </c>
      <c r="E15" s="76">
        <f>+E13-E14</f>
        <v>16906000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3906000</v>
      </c>
      <c r="D16" s="185">
        <v>7155000</v>
      </c>
      <c r="E16" s="185">
        <v>14998000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26249000</v>
      </c>
      <c r="D17" s="76">
        <f>D15+D16</f>
        <v>21504000</v>
      </c>
      <c r="E17" s="76">
        <f>E15+E16</f>
        <v>31904000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5.9123168195265488E-2</v>
      </c>
      <c r="D20" s="189">
        <f>IF(+D27=0,0,+D24/+D27)</f>
        <v>3.757650034960365E-2</v>
      </c>
      <c r="E20" s="189">
        <f>IF(+E27=0,0,+E24/+E27)</f>
        <v>4.2391963931976272E-2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1.0335903637412477E-2</v>
      </c>
      <c r="D21" s="189">
        <f>IF(+D27=0,0,+D26/+D27)</f>
        <v>1.8737184472884111E-2</v>
      </c>
      <c r="E21" s="189">
        <f>IF(+E27=0,0,+E26/+E27)</f>
        <v>3.760763486642494E-2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6.9459071832677965E-2</v>
      </c>
      <c r="D22" s="189">
        <f>IF(+D27=0,0,+D28/+D27)</f>
        <v>5.6313684822487761E-2</v>
      </c>
      <c r="E22" s="189">
        <f>IF(+E27=0,0,+E28/+E27)</f>
        <v>7.9999598798401211E-2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22343000</v>
      </c>
      <c r="D24" s="76">
        <f>+D15</f>
        <v>14349000</v>
      </c>
      <c r="E24" s="76">
        <f>+E15</f>
        <v>16906000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374000000</v>
      </c>
      <c r="D25" s="76">
        <f>+D13</f>
        <v>374706000</v>
      </c>
      <c r="E25" s="76">
        <f>+E13</f>
        <v>383804000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3906000</v>
      </c>
      <c r="D26" s="76">
        <f>+D16</f>
        <v>7155000</v>
      </c>
      <c r="E26" s="76">
        <f>+E16</f>
        <v>14998000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377906000</v>
      </c>
      <c r="D27" s="76">
        <f>SUM(D25:D26)</f>
        <v>381861000</v>
      </c>
      <c r="E27" s="76">
        <f>SUM(E25:E26)</f>
        <v>398802000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26249000</v>
      </c>
      <c r="D28" s="76">
        <f>+D17</f>
        <v>21504000</v>
      </c>
      <c r="E28" s="76">
        <f>+E17</f>
        <v>31904000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150651000</v>
      </c>
      <c r="D31" s="76">
        <v>253975000</v>
      </c>
      <c r="E31" s="76">
        <v>276492000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166810000</v>
      </c>
      <c r="D32" s="76">
        <v>270319000</v>
      </c>
      <c r="E32" s="76">
        <v>293600000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23265000</v>
      </c>
      <c r="D33" s="76">
        <f>+D32-C32</f>
        <v>103509000</v>
      </c>
      <c r="E33" s="76">
        <f>+E32-D32</f>
        <v>23281000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1.1619999999999999</v>
      </c>
      <c r="D34" s="193">
        <f>IF(C32=0,0,+D33/C32)</f>
        <v>0.62052035249685267</v>
      </c>
      <c r="E34" s="193">
        <f>IF(D32=0,0,+E33/D32)</f>
        <v>8.6124171811822331E-2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1.8616596731124739</v>
      </c>
      <c r="D38" s="338">
        <f>IF(+D40=0,0,+D39/+D40)</f>
        <v>2.063987175847847</v>
      </c>
      <c r="E38" s="338">
        <f>IF(+E40=0,0,+E39/+E40)</f>
        <v>1.7735176974524687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126887000</v>
      </c>
      <c r="D39" s="341">
        <v>123606000</v>
      </c>
      <c r="E39" s="341">
        <v>118001000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68158000</v>
      </c>
      <c r="D40" s="341">
        <v>59887000</v>
      </c>
      <c r="E40" s="341">
        <v>66535000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76.15288794751504</v>
      </c>
      <c r="D42" s="343">
        <f>IF((D48/365)=0,0,+D45/(D48/365))</f>
        <v>69.297706373095068</v>
      </c>
      <c r="E42" s="343">
        <f>IF((E48/365)=0,0,+E45/(E48/365))</f>
        <v>65.013014357963186</v>
      </c>
    </row>
    <row r="43" spans="1:14" ht="24" customHeight="1" x14ac:dyDescent="0.2">
      <c r="A43" s="339">
        <v>5</v>
      </c>
      <c r="B43" s="344" t="s">
        <v>16</v>
      </c>
      <c r="C43" s="345">
        <v>58568000</v>
      </c>
      <c r="D43" s="345">
        <v>43344000</v>
      </c>
      <c r="E43" s="345">
        <v>39755000</v>
      </c>
    </row>
    <row r="44" spans="1:14" ht="24" customHeight="1" x14ac:dyDescent="0.2">
      <c r="A44" s="339">
        <v>6</v>
      </c>
      <c r="B44" s="346" t="s">
        <v>17</v>
      </c>
      <c r="C44" s="345">
        <v>10187000</v>
      </c>
      <c r="D44" s="345">
        <v>20741000</v>
      </c>
      <c r="E44" s="345">
        <v>21491000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68755000</v>
      </c>
      <c r="D45" s="341">
        <f>+D43+D44</f>
        <v>64085000</v>
      </c>
      <c r="E45" s="341">
        <f>+E43+E44</f>
        <v>61246000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351657000</v>
      </c>
      <c r="D46" s="341">
        <f>+D14</f>
        <v>360357000</v>
      </c>
      <c r="E46" s="341">
        <f>+E14</f>
        <v>366898000</v>
      </c>
    </row>
    <row r="47" spans="1:14" ht="24" customHeight="1" x14ac:dyDescent="0.2">
      <c r="A47" s="339">
        <v>9</v>
      </c>
      <c r="B47" s="340" t="s">
        <v>356</v>
      </c>
      <c r="C47" s="341">
        <v>22115000</v>
      </c>
      <c r="D47" s="341">
        <v>22813000</v>
      </c>
      <c r="E47" s="341">
        <v>23047000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329542000</v>
      </c>
      <c r="D48" s="341">
        <f>+D46-D47</f>
        <v>337544000</v>
      </c>
      <c r="E48" s="341">
        <f>+E46-E47</f>
        <v>343851000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43.427473123336632</v>
      </c>
      <c r="D50" s="350">
        <f>IF((D55/365)=0,0,+D54/(D55/365))</f>
        <v>48.174632352941181</v>
      </c>
      <c r="E50" s="350">
        <f>IF((E55/365)=0,0,+E54/(E55/365))</f>
        <v>44.681061678244617</v>
      </c>
    </row>
    <row r="51" spans="1:5" ht="24" customHeight="1" x14ac:dyDescent="0.2">
      <c r="A51" s="339">
        <v>12</v>
      </c>
      <c r="B51" s="344" t="s">
        <v>359</v>
      </c>
      <c r="C51" s="351">
        <v>45951000</v>
      </c>
      <c r="D51" s="351">
        <v>44833000</v>
      </c>
      <c r="E51" s="351">
        <v>44515000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2914000</v>
      </c>
      <c r="E52" s="341">
        <v>808000</v>
      </c>
    </row>
    <row r="53" spans="1:5" ht="24" customHeight="1" x14ac:dyDescent="0.2">
      <c r="A53" s="339">
        <v>14</v>
      </c>
      <c r="B53" s="344" t="s">
        <v>49</v>
      </c>
      <c r="C53" s="341">
        <v>2944000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43007000</v>
      </c>
      <c r="D54" s="352">
        <f>+D51+D52-D53</f>
        <v>47747000</v>
      </c>
      <c r="E54" s="352">
        <f>+E51+E52-E53</f>
        <v>45323000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361466000</v>
      </c>
      <c r="D55" s="341">
        <f>+D11</f>
        <v>361760000</v>
      </c>
      <c r="E55" s="341">
        <f>+E11</f>
        <v>370244000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75.491652050421493</v>
      </c>
      <c r="D57" s="355">
        <f>IF((D61/365)=0,0,+D58/(D61/365))</f>
        <v>64.758238925888179</v>
      </c>
      <c r="E57" s="355">
        <f>IF((E61/365)=0,0,+E58/(E61/365))</f>
        <v>70.627321136189806</v>
      </c>
    </row>
    <row r="58" spans="1:5" ht="24" customHeight="1" x14ac:dyDescent="0.2">
      <c r="A58" s="339">
        <v>18</v>
      </c>
      <c r="B58" s="340" t="s">
        <v>54</v>
      </c>
      <c r="C58" s="353">
        <f>+C40</f>
        <v>68158000</v>
      </c>
      <c r="D58" s="353">
        <f>+D40</f>
        <v>59887000</v>
      </c>
      <c r="E58" s="353">
        <f>+E40</f>
        <v>66535000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351657000</v>
      </c>
      <c r="D59" s="353">
        <f t="shared" si="0"/>
        <v>360357000</v>
      </c>
      <c r="E59" s="353">
        <f t="shared" si="0"/>
        <v>366898000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22115000</v>
      </c>
      <c r="D60" s="356">
        <f t="shared" si="0"/>
        <v>22813000</v>
      </c>
      <c r="E60" s="356">
        <f t="shared" si="0"/>
        <v>23047000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329542000</v>
      </c>
      <c r="D61" s="353">
        <f>+D59-D60</f>
        <v>337544000</v>
      </c>
      <c r="E61" s="353">
        <f>+E59-E60</f>
        <v>343851000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36.432056540559905</v>
      </c>
      <c r="D65" s="357">
        <f>IF(D67=0,0,(D66/D67)*100)</f>
        <v>56.962628146368701</v>
      </c>
      <c r="E65" s="357">
        <f>IF(E67=0,0,(E66/E67)*100)</f>
        <v>58.995509027156821</v>
      </c>
    </row>
    <row r="66" spans="1:5" ht="24" customHeight="1" x14ac:dyDescent="0.2">
      <c r="A66" s="339">
        <v>2</v>
      </c>
      <c r="B66" s="340" t="s">
        <v>67</v>
      </c>
      <c r="C66" s="353">
        <f>+C32</f>
        <v>166810000</v>
      </c>
      <c r="D66" s="353">
        <f>+D32</f>
        <v>270319000</v>
      </c>
      <c r="E66" s="353">
        <f>+E32</f>
        <v>293600000</v>
      </c>
    </row>
    <row r="67" spans="1:5" ht="24" customHeight="1" x14ac:dyDescent="0.2">
      <c r="A67" s="339">
        <v>3</v>
      </c>
      <c r="B67" s="340" t="s">
        <v>43</v>
      </c>
      <c r="C67" s="353">
        <v>457866000</v>
      </c>
      <c r="D67" s="353">
        <v>474555000</v>
      </c>
      <c r="E67" s="353">
        <v>497665000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35.163333115216552</v>
      </c>
      <c r="D69" s="357">
        <f>IF(D75=0,0,(D72/D75)*100)</f>
        <v>35.275809918013209</v>
      </c>
      <c r="E69" s="357">
        <f>IF(E75=0,0,(E72/E75)*100)</f>
        <v>42.747123664905992</v>
      </c>
    </row>
    <row r="70" spans="1:5" ht="24" customHeight="1" x14ac:dyDescent="0.2">
      <c r="A70" s="339">
        <v>5</v>
      </c>
      <c r="B70" s="340" t="s">
        <v>366</v>
      </c>
      <c r="C70" s="353">
        <f>+C28</f>
        <v>26249000</v>
      </c>
      <c r="D70" s="353">
        <f>+D28</f>
        <v>21504000</v>
      </c>
      <c r="E70" s="353">
        <f>+E28</f>
        <v>31904000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22115000</v>
      </c>
      <c r="D71" s="356">
        <f>+D47</f>
        <v>22813000</v>
      </c>
      <c r="E71" s="356">
        <f>+E47</f>
        <v>23047000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48364000</v>
      </c>
      <c r="D72" s="353">
        <f>+D70+D71</f>
        <v>44317000</v>
      </c>
      <c r="E72" s="353">
        <f>+E70+E71</f>
        <v>54951000</v>
      </c>
    </row>
    <row r="73" spans="1:5" ht="24" customHeight="1" x14ac:dyDescent="0.2">
      <c r="A73" s="339">
        <v>8</v>
      </c>
      <c r="B73" s="340" t="s">
        <v>54</v>
      </c>
      <c r="C73" s="341">
        <f>+C40</f>
        <v>68158000</v>
      </c>
      <c r="D73" s="341">
        <f>+D40</f>
        <v>59887000</v>
      </c>
      <c r="E73" s="341">
        <f>+E40</f>
        <v>66535000</v>
      </c>
    </row>
    <row r="74" spans="1:5" ht="24" customHeight="1" x14ac:dyDescent="0.2">
      <c r="A74" s="339">
        <v>9</v>
      </c>
      <c r="B74" s="340" t="s">
        <v>58</v>
      </c>
      <c r="C74" s="353">
        <v>69383000</v>
      </c>
      <c r="D74" s="353">
        <v>65743000</v>
      </c>
      <c r="E74" s="353">
        <v>62014000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137541000</v>
      </c>
      <c r="D75" s="341">
        <f>+D73+D74</f>
        <v>125630000</v>
      </c>
      <c r="E75" s="341">
        <f>+E73+E74</f>
        <v>128549000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29.375553043485624</v>
      </c>
      <c r="D77" s="359">
        <f>IF(D80=0,0,(D78/D80)*100)</f>
        <v>19.56275925275693</v>
      </c>
      <c r="E77" s="359">
        <f>IF(E80=0,0,(E78/E80)*100)</f>
        <v>17.438571034886142</v>
      </c>
    </row>
    <row r="78" spans="1:5" ht="24" customHeight="1" x14ac:dyDescent="0.2">
      <c r="A78" s="339">
        <v>12</v>
      </c>
      <c r="B78" s="340" t="s">
        <v>58</v>
      </c>
      <c r="C78" s="341">
        <f>+C74</f>
        <v>69383000</v>
      </c>
      <c r="D78" s="341">
        <f>+D74</f>
        <v>65743000</v>
      </c>
      <c r="E78" s="341">
        <f>+E74</f>
        <v>62014000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166810000</v>
      </c>
      <c r="D79" s="341">
        <f>+D32</f>
        <v>270319000</v>
      </c>
      <c r="E79" s="341">
        <f>+E32</f>
        <v>293600000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236193000</v>
      </c>
      <c r="D80" s="341">
        <f>+D78+D79</f>
        <v>336062000</v>
      </c>
      <c r="E80" s="341">
        <f>+E78+E79</f>
        <v>355614000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FILING&amp;R&amp;8MIDDLESEX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40407</v>
      </c>
      <c r="D11" s="376">
        <v>11214</v>
      </c>
      <c r="E11" s="376">
        <v>11234</v>
      </c>
      <c r="F11" s="377">
        <v>128</v>
      </c>
      <c r="G11" s="377">
        <v>147</v>
      </c>
      <c r="H11" s="378">
        <f>IF(F11=0,0,$C11/(F11*365))</f>
        <v>0.86487585616438356</v>
      </c>
      <c r="I11" s="378">
        <f>IF(G11=0,0,$C11/(G11*365))</f>
        <v>0.75308918087783061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6952</v>
      </c>
      <c r="D13" s="376">
        <v>603</v>
      </c>
      <c r="E13" s="376">
        <v>0</v>
      </c>
      <c r="F13" s="377">
        <v>20</v>
      </c>
      <c r="G13" s="377">
        <v>24</v>
      </c>
      <c r="H13" s="378">
        <f>IF(F13=0,0,$C13/(F13*365))</f>
        <v>0.95232876712328762</v>
      </c>
      <c r="I13" s="378">
        <f>IF(G13=0,0,$C13/(G13*365))</f>
        <v>0.79360730593607309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5991</v>
      </c>
      <c r="D16" s="376">
        <v>762</v>
      </c>
      <c r="E16" s="376">
        <v>763</v>
      </c>
      <c r="F16" s="377">
        <v>17</v>
      </c>
      <c r="G16" s="377">
        <v>20</v>
      </c>
      <c r="H16" s="378">
        <f t="shared" si="0"/>
        <v>0.96551168412570509</v>
      </c>
      <c r="I16" s="378">
        <f t="shared" si="0"/>
        <v>0.82068493150684929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5991</v>
      </c>
      <c r="D17" s="381">
        <f>SUM(D15:D16)</f>
        <v>762</v>
      </c>
      <c r="E17" s="381">
        <f>SUM(E15:E16)</f>
        <v>763</v>
      </c>
      <c r="F17" s="381">
        <f>SUM(F15:F16)</f>
        <v>17</v>
      </c>
      <c r="G17" s="381">
        <f>SUM(G15:G16)</f>
        <v>20</v>
      </c>
      <c r="H17" s="382">
        <f t="shared" si="0"/>
        <v>0.96551168412570509</v>
      </c>
      <c r="I17" s="382">
        <f t="shared" si="0"/>
        <v>0.82068493150684929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3021</v>
      </c>
      <c r="D21" s="376">
        <v>1200</v>
      </c>
      <c r="E21" s="376">
        <v>1200</v>
      </c>
      <c r="F21" s="377">
        <v>9</v>
      </c>
      <c r="G21" s="377">
        <v>23</v>
      </c>
      <c r="H21" s="378">
        <f>IF(F21=0,0,$C21/(F21*365))</f>
        <v>0.91963470319634699</v>
      </c>
      <c r="I21" s="378">
        <f>IF(G21=0,0,$C21/(G21*365))</f>
        <v>0.35985705777248361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2928</v>
      </c>
      <c r="D23" s="376">
        <v>1120</v>
      </c>
      <c r="E23" s="376">
        <v>1124</v>
      </c>
      <c r="F23" s="377">
        <v>9</v>
      </c>
      <c r="G23" s="377">
        <v>23</v>
      </c>
      <c r="H23" s="378">
        <f>IF(F23=0,0,$C23/(F23*365))</f>
        <v>0.89132420091324205</v>
      </c>
      <c r="I23" s="378">
        <f>IF(G23=0,0,$C23/(G23*365))</f>
        <v>0.34877903513996428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56371</v>
      </c>
      <c r="D31" s="384">
        <f>SUM(D10:D29)-D13-D17-D23</f>
        <v>13176</v>
      </c>
      <c r="E31" s="384">
        <f>SUM(E10:E29)-E17-E23</f>
        <v>13197</v>
      </c>
      <c r="F31" s="384">
        <f>SUM(F10:F29)-F17-F23</f>
        <v>174</v>
      </c>
      <c r="G31" s="384">
        <f>SUM(G10:G29)-G17-G23</f>
        <v>214</v>
      </c>
      <c r="H31" s="385">
        <f>IF(F31=0,0,$C31/(F31*365))</f>
        <v>0.88759250511730436</v>
      </c>
      <c r="I31" s="385">
        <f>IF(G31=0,0,$C31/(G31*365))</f>
        <v>0.721687363973883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59299</v>
      </c>
      <c r="D33" s="384">
        <f>SUM(D10:D29)-D13-D17</f>
        <v>14296</v>
      </c>
      <c r="E33" s="384">
        <f>SUM(E10:E29)-E17</f>
        <v>14321</v>
      </c>
      <c r="F33" s="384">
        <f>SUM(F10:F29)-F17</f>
        <v>183</v>
      </c>
      <c r="G33" s="384">
        <f>SUM(G10:G29)-G17</f>
        <v>237</v>
      </c>
      <c r="H33" s="385">
        <f>IF(F33=0,0,$C33/(F33*365))</f>
        <v>0.88777603114005543</v>
      </c>
      <c r="I33" s="385">
        <f>IF(G33=0,0,$C33/(G33*365))</f>
        <v>0.68549794809548581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59299</v>
      </c>
      <c r="D36" s="384">
        <f t="shared" si="1"/>
        <v>14296</v>
      </c>
      <c r="E36" s="384">
        <f t="shared" si="1"/>
        <v>14321</v>
      </c>
      <c r="F36" s="384">
        <f t="shared" si="1"/>
        <v>183</v>
      </c>
      <c r="G36" s="384">
        <f t="shared" si="1"/>
        <v>237</v>
      </c>
      <c r="H36" s="387">
        <f t="shared" si="1"/>
        <v>0.88777603114005543</v>
      </c>
      <c r="I36" s="387">
        <f t="shared" si="1"/>
        <v>0.68549794809548581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62546</v>
      </c>
      <c r="D37" s="384">
        <v>15162</v>
      </c>
      <c r="E37" s="384">
        <v>15156</v>
      </c>
      <c r="F37" s="386">
        <v>189</v>
      </c>
      <c r="G37" s="386">
        <v>260</v>
      </c>
      <c r="H37" s="385">
        <f>IF(F37=0,0,$C37/(F37*365))</f>
        <v>0.90666086830470394</v>
      </c>
      <c r="I37" s="385">
        <f>IF(G37=0,0,$C37/(G37*365))</f>
        <v>0.65907270811380403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-3247</v>
      </c>
      <c r="D38" s="384">
        <f t="shared" si="2"/>
        <v>-866</v>
      </c>
      <c r="E38" s="384">
        <f t="shared" si="2"/>
        <v>-835</v>
      </c>
      <c r="F38" s="384">
        <f t="shared" si="2"/>
        <v>-6</v>
      </c>
      <c r="G38" s="384">
        <f t="shared" si="2"/>
        <v>-23</v>
      </c>
      <c r="H38" s="387">
        <f t="shared" si="2"/>
        <v>-1.8884837164648505E-2</v>
      </c>
      <c r="I38" s="387">
        <f t="shared" si="2"/>
        <v>2.6425239981681781E-2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-5.1913791449493173E-2</v>
      </c>
      <c r="D40" s="389">
        <f t="shared" si="3"/>
        <v>-5.7116475399023876E-2</v>
      </c>
      <c r="E40" s="389">
        <f t="shared" si="3"/>
        <v>-5.5093692267088941E-2</v>
      </c>
      <c r="F40" s="389">
        <f t="shared" si="3"/>
        <v>-3.1746031746031744E-2</v>
      </c>
      <c r="G40" s="389">
        <f t="shared" si="3"/>
        <v>-8.8461538461538466E-2</v>
      </c>
      <c r="H40" s="389">
        <f t="shared" si="3"/>
        <v>-2.082899772652571E-2</v>
      </c>
      <c r="I40" s="389">
        <f t="shared" si="3"/>
        <v>4.009457478114669E-2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297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7905</v>
      </c>
      <c r="D12" s="409">
        <v>7521</v>
      </c>
      <c r="E12" s="409">
        <f>+D12-C12</f>
        <v>-384</v>
      </c>
      <c r="F12" s="410">
        <f>IF(C12=0,0,+E12/C12)</f>
        <v>-4.857685009487666E-2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9959</v>
      </c>
      <c r="D13" s="409">
        <v>10466</v>
      </c>
      <c r="E13" s="409">
        <f>+D13-C13</f>
        <v>507</v>
      </c>
      <c r="F13" s="410">
        <f>IF(C13=0,0,+E13/C13)</f>
        <v>5.0908725775680286E-2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11148</v>
      </c>
      <c r="D14" s="409">
        <v>10946</v>
      </c>
      <c r="E14" s="409">
        <f>+D14-C14</f>
        <v>-202</v>
      </c>
      <c r="F14" s="410">
        <f>IF(C14=0,0,+E14/C14)</f>
        <v>-1.8119842124147828E-2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29012</v>
      </c>
      <c r="D16" s="401">
        <f>SUM(D12:D15)</f>
        <v>28933</v>
      </c>
      <c r="E16" s="401">
        <f>+D16-C16</f>
        <v>-79</v>
      </c>
      <c r="F16" s="402">
        <f>IF(C16=0,0,+E16/C16)</f>
        <v>-2.7230111677926374E-3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2257</v>
      </c>
      <c r="D19" s="409">
        <v>2074</v>
      </c>
      <c r="E19" s="409">
        <f>+D19-C19</f>
        <v>-183</v>
      </c>
      <c r="F19" s="410">
        <f>IF(C19=0,0,+E19/C19)</f>
        <v>-8.1081081081081086E-2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9072</v>
      </c>
      <c r="D20" s="409">
        <v>9814</v>
      </c>
      <c r="E20" s="409">
        <f>+D20-C20</f>
        <v>742</v>
      </c>
      <c r="F20" s="410">
        <f>IF(C20=0,0,+E20/C20)</f>
        <v>8.1790123456790126E-2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130</v>
      </c>
      <c r="D21" s="409">
        <v>178</v>
      </c>
      <c r="E21" s="409">
        <f>+D21-C21</f>
        <v>48</v>
      </c>
      <c r="F21" s="410">
        <f>IF(C21=0,0,+E21/C21)</f>
        <v>0.36923076923076925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11459</v>
      </c>
      <c r="D23" s="401">
        <f>SUM(D19:D22)</f>
        <v>12066</v>
      </c>
      <c r="E23" s="401">
        <f>+D23-C23</f>
        <v>607</v>
      </c>
      <c r="F23" s="402">
        <f>IF(C23=0,0,+E23/C23)</f>
        <v>5.2971463478488523E-2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4</v>
      </c>
      <c r="D27" s="409">
        <v>1</v>
      </c>
      <c r="E27" s="409">
        <f>+D27-C27</f>
        <v>-3</v>
      </c>
      <c r="F27" s="410">
        <f>IF(C27=0,0,+E27/C27)</f>
        <v>-0.75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4</v>
      </c>
      <c r="D30" s="401">
        <f>SUM(D26:D29)</f>
        <v>1</v>
      </c>
      <c r="E30" s="401">
        <f>+D30-C30</f>
        <v>-3</v>
      </c>
      <c r="F30" s="402">
        <f>IF(C30=0,0,+E30/C30)</f>
        <v>-0.75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</v>
      </c>
      <c r="D33" s="409">
        <v>1</v>
      </c>
      <c r="E33" s="409">
        <f>+D33-C33</f>
        <v>-2</v>
      </c>
      <c r="F33" s="410">
        <f>IF(C33=0,0,+E33/C33)</f>
        <v>-0.66666666666666663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494</v>
      </c>
      <c r="D34" s="409">
        <v>517</v>
      </c>
      <c r="E34" s="409">
        <f>+D34-C34</f>
        <v>23</v>
      </c>
      <c r="F34" s="410">
        <f>IF(C34=0,0,+E34/C34)</f>
        <v>4.6558704453441298E-2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497</v>
      </c>
      <c r="D37" s="401">
        <f>SUM(D33:D36)</f>
        <v>518</v>
      </c>
      <c r="E37" s="401">
        <f>+D37-C37</f>
        <v>21</v>
      </c>
      <c r="F37" s="402">
        <f>IF(C37=0,0,+E37/C37)</f>
        <v>4.2253521126760563E-2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178</v>
      </c>
      <c r="D43" s="409">
        <v>227</v>
      </c>
      <c r="E43" s="409">
        <f>+D43-C43</f>
        <v>49</v>
      </c>
      <c r="F43" s="410">
        <f>IF(C43=0,0,+E43/C43)</f>
        <v>0.2752808988764045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12571</v>
      </c>
      <c r="D44" s="409">
        <v>11482</v>
      </c>
      <c r="E44" s="409">
        <f>+D44-C44</f>
        <v>-1089</v>
      </c>
      <c r="F44" s="410">
        <f>IF(C44=0,0,+E44/C44)</f>
        <v>-8.662795322567815E-2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12749</v>
      </c>
      <c r="D45" s="401">
        <f>SUM(D43:D44)</f>
        <v>11709</v>
      </c>
      <c r="E45" s="401">
        <f>+D45-C45</f>
        <v>-1040</v>
      </c>
      <c r="F45" s="402">
        <f>IF(C45=0,0,+E45/C45)</f>
        <v>-8.157502549219546E-2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132</v>
      </c>
      <c r="D48" s="409">
        <v>110</v>
      </c>
      <c r="E48" s="409">
        <f>+D48-C48</f>
        <v>-22</v>
      </c>
      <c r="F48" s="410">
        <f>IF(C48=0,0,+E48/C48)</f>
        <v>-0.16666666666666666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227</v>
      </c>
      <c r="D49" s="409">
        <v>220</v>
      </c>
      <c r="E49" s="409">
        <f>+D49-C49</f>
        <v>-7</v>
      </c>
      <c r="F49" s="410">
        <f>IF(C49=0,0,+E49/C49)</f>
        <v>-3.0837004405286344E-2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359</v>
      </c>
      <c r="D50" s="401">
        <f>SUM(D48:D49)</f>
        <v>330</v>
      </c>
      <c r="E50" s="401">
        <f>+D50-C50</f>
        <v>-29</v>
      </c>
      <c r="F50" s="402">
        <f>IF(C50=0,0,+E50/C50)</f>
        <v>-8.0779944289693595E-2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2966</v>
      </c>
      <c r="D63" s="409">
        <v>2713</v>
      </c>
      <c r="E63" s="409">
        <f>+D63-C63</f>
        <v>-253</v>
      </c>
      <c r="F63" s="410">
        <f>IF(C63=0,0,+E63/C63)</f>
        <v>-8.530006743088335E-2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4720</v>
      </c>
      <c r="D64" s="409">
        <v>4765</v>
      </c>
      <c r="E64" s="409">
        <f>+D64-C64</f>
        <v>45</v>
      </c>
      <c r="F64" s="410">
        <f>IF(C64=0,0,+E64/C64)</f>
        <v>9.5338983050847464E-3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7686</v>
      </c>
      <c r="D65" s="401">
        <f>SUM(D63:D64)</f>
        <v>7478</v>
      </c>
      <c r="E65" s="401">
        <f>+D65-C65</f>
        <v>-208</v>
      </c>
      <c r="F65" s="402">
        <f>IF(C65=0,0,+E65/C65)</f>
        <v>-2.7062190996617226E-2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880</v>
      </c>
      <c r="D68" s="409">
        <v>986</v>
      </c>
      <c r="E68" s="409">
        <f>+D68-C68</f>
        <v>106</v>
      </c>
      <c r="F68" s="410">
        <f>IF(C68=0,0,+E68/C68)</f>
        <v>0.12045454545454545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1985</v>
      </c>
      <c r="D69" s="409">
        <v>1909</v>
      </c>
      <c r="E69" s="409">
        <f>+D69-C69</f>
        <v>-76</v>
      </c>
      <c r="F69" s="412">
        <f>IF(C69=0,0,+E69/C69)</f>
        <v>-3.828715365239295E-2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2865</v>
      </c>
      <c r="D70" s="401">
        <f>SUM(D68:D69)</f>
        <v>2895</v>
      </c>
      <c r="E70" s="401">
        <f>+D70-C70</f>
        <v>30</v>
      </c>
      <c r="F70" s="402">
        <f>IF(C70=0,0,+E70/C70)</f>
        <v>1.0471204188481676E-2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9971</v>
      </c>
      <c r="D73" s="376">
        <v>9060</v>
      </c>
      <c r="E73" s="409">
        <f>+D73-C73</f>
        <v>-911</v>
      </c>
      <c r="F73" s="410">
        <f>IF(C73=0,0,+E73/C73)</f>
        <v>-9.1364958379299976E-2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81193</v>
      </c>
      <c r="D74" s="376">
        <v>80555</v>
      </c>
      <c r="E74" s="409">
        <f>+D74-C74</f>
        <v>-638</v>
      </c>
      <c r="F74" s="410">
        <f>IF(C74=0,0,+E74/C74)</f>
        <v>-7.8578202554407395E-3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91164</v>
      </c>
      <c r="D75" s="401">
        <f>SUM(D73:D74)</f>
        <v>89615</v>
      </c>
      <c r="E75" s="401">
        <f>SUM(E73:E74)</f>
        <v>-1549</v>
      </c>
      <c r="F75" s="402">
        <f>IF(C75=0,0,+E75/C75)</f>
        <v>-1.6991356237111139E-2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35842</v>
      </c>
      <c r="D81" s="376">
        <v>35531</v>
      </c>
      <c r="E81" s="409">
        <f t="shared" si="0"/>
        <v>-311</v>
      </c>
      <c r="F81" s="410">
        <f t="shared" si="1"/>
        <v>-8.6769711511634397E-3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33379</v>
      </c>
      <c r="D85" s="376">
        <v>32026</v>
      </c>
      <c r="E85" s="409">
        <f t="shared" si="0"/>
        <v>-1353</v>
      </c>
      <c r="F85" s="410">
        <f t="shared" si="1"/>
        <v>-4.0534467779142574E-2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22074</v>
      </c>
      <c r="D86" s="376">
        <v>23713</v>
      </c>
      <c r="E86" s="409">
        <f t="shared" si="0"/>
        <v>1639</v>
      </c>
      <c r="F86" s="410">
        <f t="shared" si="1"/>
        <v>7.4250249161909934E-2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5844</v>
      </c>
      <c r="D91" s="376">
        <v>5368</v>
      </c>
      <c r="E91" s="409">
        <f t="shared" si="0"/>
        <v>-476</v>
      </c>
      <c r="F91" s="410">
        <f t="shared" si="1"/>
        <v>-8.1451060917180018E-2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97139</v>
      </c>
      <c r="D92" s="381">
        <f>SUM(D79:D91)</f>
        <v>96638</v>
      </c>
      <c r="E92" s="401">
        <f t="shared" si="0"/>
        <v>-501</v>
      </c>
      <c r="F92" s="402">
        <f t="shared" si="1"/>
        <v>-5.1575577265567897E-3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43247</v>
      </c>
      <c r="D95" s="414">
        <v>49855</v>
      </c>
      <c r="E95" s="415">
        <f t="shared" ref="E95:E100" si="2">+D95-C95</f>
        <v>6608</v>
      </c>
      <c r="F95" s="412">
        <f t="shared" ref="F95:F100" si="3">IF(C95=0,0,+E95/C95)</f>
        <v>0.15279672578444747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3442</v>
      </c>
      <c r="D96" s="414">
        <v>3866</v>
      </c>
      <c r="E96" s="409">
        <f t="shared" si="2"/>
        <v>424</v>
      </c>
      <c r="F96" s="410">
        <f t="shared" si="3"/>
        <v>0.12318419523532829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948</v>
      </c>
      <c r="D97" s="414">
        <v>733</v>
      </c>
      <c r="E97" s="409">
        <f t="shared" si="2"/>
        <v>-215</v>
      </c>
      <c r="F97" s="410">
        <f t="shared" si="3"/>
        <v>-0.22679324894514769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402972</v>
      </c>
      <c r="D99" s="414">
        <v>403083</v>
      </c>
      <c r="E99" s="409">
        <f t="shared" si="2"/>
        <v>111</v>
      </c>
      <c r="F99" s="410">
        <f t="shared" si="3"/>
        <v>2.7545338137637356E-4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450609</v>
      </c>
      <c r="D100" s="381">
        <f>SUM(D95:D99)</f>
        <v>457537</v>
      </c>
      <c r="E100" s="401">
        <f t="shared" si="2"/>
        <v>6928</v>
      </c>
      <c r="F100" s="402">
        <f t="shared" si="3"/>
        <v>1.5374748396059556E-2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534</v>
      </c>
      <c r="D104" s="416">
        <v>520.4</v>
      </c>
      <c r="E104" s="417">
        <f>+D104-C104</f>
        <v>-13.600000000000023</v>
      </c>
      <c r="F104" s="410">
        <f>IF(C104=0,0,+E104/C104)</f>
        <v>-2.5468164794007535E-2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135</v>
      </c>
      <c r="D105" s="416">
        <v>134.5</v>
      </c>
      <c r="E105" s="417">
        <f>+D105-C105</f>
        <v>-0.5</v>
      </c>
      <c r="F105" s="410">
        <f>IF(C105=0,0,+E105/C105)</f>
        <v>-3.7037037037037038E-3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1450</v>
      </c>
      <c r="D106" s="416">
        <v>1426.3</v>
      </c>
      <c r="E106" s="417">
        <f>+D106-C106</f>
        <v>-23.700000000000045</v>
      </c>
      <c r="F106" s="410">
        <f>IF(C106=0,0,+E106/C106)</f>
        <v>-1.6344827586206929E-2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2119</v>
      </c>
      <c r="D107" s="418">
        <f>SUM(D104:D106)</f>
        <v>2081.1999999999998</v>
      </c>
      <c r="E107" s="418">
        <f>+D107-C107</f>
        <v>-37.800000000000182</v>
      </c>
      <c r="F107" s="402">
        <f>IF(C107=0,0,+E107/C107)</f>
        <v>-1.7838603114676822E-2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4" zoomScale="75" zoomScaleSheetLayoutView="90" workbookViewId="0">
      <selection activeCell="O64" sqref="O64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1784</v>
      </c>
      <c r="D12" s="409">
        <v>1886</v>
      </c>
      <c r="E12" s="409">
        <f>+D12-C12</f>
        <v>102</v>
      </c>
      <c r="F12" s="410">
        <f>IF(C12=0,0,+E12/C12)</f>
        <v>5.717488789237668E-2</v>
      </c>
    </row>
    <row r="13" spans="1:6" ht="15.75" customHeight="1" x14ac:dyDescent="0.2">
      <c r="A13" s="374">
        <v>2</v>
      </c>
      <c r="B13" s="408" t="s">
        <v>622</v>
      </c>
      <c r="C13" s="409">
        <v>2936</v>
      </c>
      <c r="D13" s="409">
        <v>2879</v>
      </c>
      <c r="E13" s="409">
        <f>+D13-C13</f>
        <v>-57</v>
      </c>
      <c r="F13" s="410">
        <f>IF(C13=0,0,+E13/C13)</f>
        <v>-1.9414168937329699E-2</v>
      </c>
    </row>
    <row r="14" spans="1:6" ht="15.75" customHeight="1" x14ac:dyDescent="0.25">
      <c r="A14" s="374"/>
      <c r="B14" s="399" t="s">
        <v>623</v>
      </c>
      <c r="C14" s="401">
        <f>SUM(C11:C13)</f>
        <v>4720</v>
      </c>
      <c r="D14" s="401">
        <f>SUM(D11:D13)</f>
        <v>4765</v>
      </c>
      <c r="E14" s="401">
        <f>+D14-C14</f>
        <v>45</v>
      </c>
      <c r="F14" s="402">
        <f>IF(C14=0,0,+E14/C14)</f>
        <v>9.5338983050847464E-3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0</v>
      </c>
      <c r="D17" s="409">
        <v>0</v>
      </c>
      <c r="E17" s="409">
        <f>+D17-C17</f>
        <v>0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1985</v>
      </c>
      <c r="D18" s="409">
        <v>1909</v>
      </c>
      <c r="E18" s="409">
        <f>+D18-C18</f>
        <v>-76</v>
      </c>
      <c r="F18" s="410">
        <f>IF(C18=0,0,+E18/C18)</f>
        <v>-3.828715365239295E-2</v>
      </c>
    </row>
    <row r="19" spans="1:6" ht="15.75" customHeight="1" x14ac:dyDescent="0.25">
      <c r="A19" s="374"/>
      <c r="B19" s="399" t="s">
        <v>625</v>
      </c>
      <c r="C19" s="401">
        <f>SUM(C16:C18)</f>
        <v>1985</v>
      </c>
      <c r="D19" s="401">
        <f>SUM(D16:D18)</f>
        <v>1909</v>
      </c>
      <c r="E19" s="401">
        <f>+D19-C19</f>
        <v>-76</v>
      </c>
      <c r="F19" s="402">
        <f>IF(C19=0,0,+E19/C19)</f>
        <v>-3.828715365239295E-2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21428</v>
      </c>
      <c r="D22" s="409">
        <v>20458</v>
      </c>
      <c r="E22" s="409">
        <f>+D22-C22</f>
        <v>-970</v>
      </c>
      <c r="F22" s="410">
        <f>IF(C22=0,0,+E22/C22)</f>
        <v>-4.5267873809968266E-2</v>
      </c>
    </row>
    <row r="23" spans="1:6" ht="15.75" customHeight="1" x14ac:dyDescent="0.2">
      <c r="A23" s="374">
        <v>2</v>
      </c>
      <c r="B23" s="408" t="s">
        <v>628</v>
      </c>
      <c r="C23" s="409">
        <v>20429</v>
      </c>
      <c r="D23" s="409">
        <v>20585</v>
      </c>
      <c r="E23" s="409">
        <f>+D23-C23</f>
        <v>156</v>
      </c>
      <c r="F23" s="410">
        <f>IF(C23=0,0,+E23/C23)</f>
        <v>7.6362034362915466E-3</v>
      </c>
    </row>
    <row r="24" spans="1:6" ht="15.75" customHeight="1" x14ac:dyDescent="0.2">
      <c r="A24" s="374">
        <v>3</v>
      </c>
      <c r="B24" s="408" t="s">
        <v>629</v>
      </c>
      <c r="C24" s="409">
        <v>39336</v>
      </c>
      <c r="D24" s="409">
        <v>39512</v>
      </c>
      <c r="E24" s="409">
        <f>+D24-C24</f>
        <v>176</v>
      </c>
      <c r="F24" s="410">
        <f>IF(C24=0,0,+E24/C24)</f>
        <v>4.4742729306487695E-3</v>
      </c>
    </row>
    <row r="25" spans="1:6" ht="15.75" customHeight="1" x14ac:dyDescent="0.25">
      <c r="A25" s="374"/>
      <c r="B25" s="399" t="s">
        <v>630</v>
      </c>
      <c r="C25" s="401">
        <f>SUM(C21:C24)</f>
        <v>81193</v>
      </c>
      <c r="D25" s="401">
        <f>SUM(D21:D24)</f>
        <v>80555</v>
      </c>
      <c r="E25" s="401">
        <f>+D25-C25</f>
        <v>-638</v>
      </c>
      <c r="F25" s="402">
        <f>IF(C25=0,0,+E25/C25)</f>
        <v>-7.8578202554407395E-3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3" t="s">
        <v>631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632</v>
      </c>
      <c r="C29" s="814"/>
      <c r="D29" s="814"/>
      <c r="E29" s="814"/>
      <c r="F29" s="815"/>
    </row>
    <row r="30" spans="1:6" ht="15.75" customHeight="1" x14ac:dyDescent="0.25">
      <c r="A30" s="392"/>
    </row>
    <row r="31" spans="1:6" ht="15.75" customHeight="1" x14ac:dyDescent="0.25">
      <c r="B31" s="813" t="s">
        <v>633</v>
      </c>
      <c r="C31" s="814"/>
      <c r="D31" s="814"/>
      <c r="E31" s="814"/>
      <c r="F31" s="815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634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635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636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637</v>
      </c>
      <c r="D7" s="426" t="s">
        <v>637</v>
      </c>
      <c r="E7" s="426" t="s">
        <v>638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639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640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641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642</v>
      </c>
      <c r="C15" s="448">
        <v>345906839</v>
      </c>
      <c r="D15" s="448">
        <v>346094124</v>
      </c>
      <c r="E15" s="448">
        <f t="shared" ref="E15:E24" si="0">D15-C15</f>
        <v>187285</v>
      </c>
      <c r="F15" s="449">
        <f t="shared" ref="F15:F24" si="1">IF(C15=0,0,E15/C15)</f>
        <v>5.4143190849140742E-4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643</v>
      </c>
      <c r="C16" s="448">
        <v>72151900</v>
      </c>
      <c r="D16" s="448">
        <v>80217335</v>
      </c>
      <c r="E16" s="448">
        <f t="shared" si="0"/>
        <v>8065435</v>
      </c>
      <c r="F16" s="449">
        <f t="shared" si="1"/>
        <v>0.1117840971616825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644</v>
      </c>
      <c r="C17" s="453">
        <f>IF(C15=0,0,C16/C15)</f>
        <v>0.20858766542051516</v>
      </c>
      <c r="D17" s="453">
        <f>IF(LN_IA1=0,0,LN_IA2/LN_IA1)</f>
        <v>0.23177895675570614</v>
      </c>
      <c r="E17" s="454">
        <f t="shared" si="0"/>
        <v>2.3191291335190989E-2</v>
      </c>
      <c r="F17" s="449">
        <f t="shared" si="1"/>
        <v>0.11118246751761221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8270</v>
      </c>
      <c r="D18" s="456">
        <v>7760</v>
      </c>
      <c r="E18" s="456">
        <f t="shared" si="0"/>
        <v>-510</v>
      </c>
      <c r="F18" s="449">
        <f t="shared" si="1"/>
        <v>-6.1668681983071343E-2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645</v>
      </c>
      <c r="C19" s="459">
        <v>1.3407</v>
      </c>
      <c r="D19" s="459">
        <v>1.37202</v>
      </c>
      <c r="E19" s="460">
        <f t="shared" si="0"/>
        <v>3.1320000000000014E-2</v>
      </c>
      <c r="F19" s="449">
        <f t="shared" si="1"/>
        <v>2.3360930857015003E-2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646</v>
      </c>
      <c r="C20" s="463">
        <f>C18*C19</f>
        <v>11087.589</v>
      </c>
      <c r="D20" s="463">
        <f>LN_IA4*LN_IA5</f>
        <v>10646.8752</v>
      </c>
      <c r="E20" s="463">
        <f t="shared" si="0"/>
        <v>-440.71379999999954</v>
      </c>
      <c r="F20" s="449">
        <f t="shared" si="1"/>
        <v>-3.9748388941906083E-2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647</v>
      </c>
      <c r="C21" s="465">
        <f>IF(C20=0,0,C16/C20)</f>
        <v>6507.4472006493024</v>
      </c>
      <c r="D21" s="465">
        <f>IF(LN_IA6=0,0,LN_IA2/LN_IA6)</f>
        <v>7534.354774816934</v>
      </c>
      <c r="E21" s="465">
        <f t="shared" si="0"/>
        <v>1026.9075741676315</v>
      </c>
      <c r="F21" s="449">
        <f t="shared" si="1"/>
        <v>0.15780497981837921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38079</v>
      </c>
      <c r="D22" s="456">
        <v>35586</v>
      </c>
      <c r="E22" s="456">
        <f t="shared" si="0"/>
        <v>-2493</v>
      </c>
      <c r="F22" s="449">
        <f t="shared" si="1"/>
        <v>-6.5469156227842121E-2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648</v>
      </c>
      <c r="C23" s="465">
        <f>IF(C22=0,0,C16/C22)</f>
        <v>1894.7950313821266</v>
      </c>
      <c r="D23" s="465">
        <f>IF(LN_IA8=0,0,LN_IA2/LN_IA8)</f>
        <v>2254.1824031922665</v>
      </c>
      <c r="E23" s="465">
        <f t="shared" si="0"/>
        <v>359.38737181013994</v>
      </c>
      <c r="F23" s="449">
        <f t="shared" si="1"/>
        <v>0.18967084347270577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649</v>
      </c>
      <c r="C24" s="466">
        <f>IF(C18=0,0,C22/C18)</f>
        <v>4.6044740024183799</v>
      </c>
      <c r="D24" s="466">
        <f>IF(LN_IA4=0,0,LN_IA8/LN_IA4)</f>
        <v>4.5858247422680414</v>
      </c>
      <c r="E24" s="466">
        <f t="shared" si="0"/>
        <v>-1.864926015033852E-2</v>
      </c>
      <c r="F24" s="449">
        <f t="shared" si="1"/>
        <v>-4.0502476809606228E-3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650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651</v>
      </c>
      <c r="C27" s="448">
        <v>239523212</v>
      </c>
      <c r="D27" s="448">
        <v>254538108</v>
      </c>
      <c r="E27" s="448">
        <f t="shared" ref="E27:E32" si="2">D27-C27</f>
        <v>15014896</v>
      </c>
      <c r="F27" s="449">
        <f t="shared" ref="F27:F32" si="3">IF(C27=0,0,E27/C27)</f>
        <v>6.2686600912816748E-2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652</v>
      </c>
      <c r="C28" s="448">
        <v>54453684</v>
      </c>
      <c r="D28" s="448">
        <v>51138953</v>
      </c>
      <c r="E28" s="448">
        <f t="shared" si="2"/>
        <v>-3314731</v>
      </c>
      <c r="F28" s="449">
        <f t="shared" si="3"/>
        <v>-6.0872483852515834E-2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653</v>
      </c>
      <c r="C29" s="453">
        <f>IF(C27=0,0,C28/C27)</f>
        <v>0.22734199138912684</v>
      </c>
      <c r="D29" s="453">
        <f>IF(LN_IA11=0,0,LN_IA12/LN_IA11)</f>
        <v>0.20090882815865041</v>
      </c>
      <c r="E29" s="454">
        <f t="shared" si="2"/>
        <v>-2.6433163230476425E-2</v>
      </c>
      <c r="F29" s="449">
        <f t="shared" si="3"/>
        <v>-0.11627048337600096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654</v>
      </c>
      <c r="C30" s="453">
        <f>IF(C15=0,0,C27/C15)</f>
        <v>0.69245006167686673</v>
      </c>
      <c r="D30" s="453">
        <f>IF(LN_IA1=0,0,LN_IA11/LN_IA1)</f>
        <v>0.7354592012663006</v>
      </c>
      <c r="E30" s="454">
        <f t="shared" si="2"/>
        <v>4.3009139589433865E-2</v>
      </c>
      <c r="F30" s="449">
        <f t="shared" si="3"/>
        <v>6.2111539834773195E-2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655</v>
      </c>
      <c r="C31" s="463">
        <f>C30*C18</f>
        <v>5726.5620100676879</v>
      </c>
      <c r="D31" s="463">
        <f>LN_IA14*LN_IA4</f>
        <v>5707.1634018264931</v>
      </c>
      <c r="E31" s="463">
        <f t="shared" si="2"/>
        <v>-19.398608241194779</v>
      </c>
      <c r="F31" s="449">
        <f t="shared" si="3"/>
        <v>-3.3874789458475606E-3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656</v>
      </c>
      <c r="C32" s="465">
        <f>IF(C31=0,0,C28/C31)</f>
        <v>9508.966095934471</v>
      </c>
      <c r="D32" s="465">
        <f>IF(LN_IA15=0,0,LN_IA12/LN_IA15)</f>
        <v>8960.4851656487936</v>
      </c>
      <c r="E32" s="465">
        <f t="shared" si="2"/>
        <v>-548.48093028567746</v>
      </c>
      <c r="F32" s="449">
        <f t="shared" si="3"/>
        <v>-5.7680396033821045E-2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657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658</v>
      </c>
      <c r="C35" s="448">
        <f>C15+C27</f>
        <v>585430051</v>
      </c>
      <c r="D35" s="448">
        <f>LN_IA1+LN_IA11</f>
        <v>600632232</v>
      </c>
      <c r="E35" s="448">
        <f>D35-C35</f>
        <v>15202181</v>
      </c>
      <c r="F35" s="449">
        <f>IF(C35=0,0,E35/C35)</f>
        <v>2.5967544669141012E-2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659</v>
      </c>
      <c r="C36" s="448">
        <f>C16+C28</f>
        <v>126605584</v>
      </c>
      <c r="D36" s="448">
        <f>LN_IA2+LN_IA12</f>
        <v>131356288</v>
      </c>
      <c r="E36" s="448">
        <f>D36-C36</f>
        <v>4750704</v>
      </c>
      <c r="F36" s="449">
        <f>IF(C36=0,0,E36/C36)</f>
        <v>3.7523652985163754E-2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660</v>
      </c>
      <c r="C37" s="448">
        <f>C35-C36</f>
        <v>458824467</v>
      </c>
      <c r="D37" s="448">
        <f>LN_IA17-LN_IA18</f>
        <v>469275944</v>
      </c>
      <c r="E37" s="448">
        <f>D37-C37</f>
        <v>10451477</v>
      </c>
      <c r="F37" s="449">
        <f>IF(C37=0,0,E37/C37)</f>
        <v>2.2778813580575683E-2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661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662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642</v>
      </c>
      <c r="C42" s="448">
        <v>155937203</v>
      </c>
      <c r="D42" s="448">
        <v>153971318</v>
      </c>
      <c r="E42" s="448">
        <f t="shared" ref="E42:E53" si="4">D42-C42</f>
        <v>-1965885</v>
      </c>
      <c r="F42" s="449">
        <f t="shared" ref="F42:F53" si="5">IF(C42=0,0,E42/C42)</f>
        <v>-1.2606901766732343E-2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643</v>
      </c>
      <c r="C43" s="448">
        <v>69566430</v>
      </c>
      <c r="D43" s="448">
        <v>69235796</v>
      </c>
      <c r="E43" s="448">
        <f t="shared" si="4"/>
        <v>-330634</v>
      </c>
      <c r="F43" s="449">
        <f t="shared" si="5"/>
        <v>-4.752780903087883E-3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644</v>
      </c>
      <c r="C44" s="453">
        <f>IF(C42=0,0,C43/C42)</f>
        <v>0.44611823645445275</v>
      </c>
      <c r="D44" s="453">
        <f>IF(LN_IB1=0,0,LN_IB2/LN_IB1)</f>
        <v>0.44966683989806466</v>
      </c>
      <c r="E44" s="454">
        <f t="shared" si="4"/>
        <v>3.5486034436119085E-3</v>
      </c>
      <c r="F44" s="449">
        <f t="shared" si="5"/>
        <v>7.9544012184182694E-3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4525</v>
      </c>
      <c r="D45" s="456">
        <v>4216</v>
      </c>
      <c r="E45" s="456">
        <f t="shared" si="4"/>
        <v>-309</v>
      </c>
      <c r="F45" s="449">
        <f t="shared" si="5"/>
        <v>-6.8287292817679562E-2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645</v>
      </c>
      <c r="C46" s="459">
        <v>1.1292</v>
      </c>
      <c r="D46" s="459">
        <v>1.1889099999999999</v>
      </c>
      <c r="E46" s="460">
        <f t="shared" si="4"/>
        <v>5.970999999999993E-2</v>
      </c>
      <c r="F46" s="449">
        <f t="shared" si="5"/>
        <v>5.2878143818632602E-2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646</v>
      </c>
      <c r="C47" s="463">
        <f>C45*C46</f>
        <v>5109.63</v>
      </c>
      <c r="D47" s="463">
        <f>LN_IB4*LN_IB5</f>
        <v>5012.4445599999999</v>
      </c>
      <c r="E47" s="463">
        <f t="shared" si="4"/>
        <v>-97.185440000000199</v>
      </c>
      <c r="F47" s="449">
        <f t="shared" si="5"/>
        <v>-1.9020054289645278E-2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647</v>
      </c>
      <c r="C48" s="465">
        <f>IF(C47=0,0,C43/C47)</f>
        <v>13614.768584026631</v>
      </c>
      <c r="D48" s="465">
        <f>IF(LN_IB6=0,0,LN_IB2/LN_IB6)</f>
        <v>13812.780405096391</v>
      </c>
      <c r="E48" s="465">
        <f t="shared" si="4"/>
        <v>198.01182106976012</v>
      </c>
      <c r="F48" s="449">
        <f t="shared" si="5"/>
        <v>1.4543899137740408E-2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663</v>
      </c>
      <c r="C49" s="465">
        <f>C21-C48</f>
        <v>-7107.3213833773289</v>
      </c>
      <c r="D49" s="465">
        <f>LN_IA7-LN_IB7</f>
        <v>-6278.4256302794574</v>
      </c>
      <c r="E49" s="465">
        <f t="shared" si="4"/>
        <v>828.89575309787142</v>
      </c>
      <c r="F49" s="449">
        <f t="shared" si="5"/>
        <v>-0.1166256186242683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664</v>
      </c>
      <c r="C50" s="479">
        <f>C49*C47</f>
        <v>-36315782.560146302</v>
      </c>
      <c r="D50" s="479">
        <f>LN_IB8*LN_IB6</f>
        <v>-31470260.395858835</v>
      </c>
      <c r="E50" s="479">
        <f t="shared" si="4"/>
        <v>4845522.1642874666</v>
      </c>
      <c r="F50" s="449">
        <f t="shared" si="5"/>
        <v>-0.13342744731611658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15119</v>
      </c>
      <c r="D51" s="456">
        <v>13915</v>
      </c>
      <c r="E51" s="456">
        <f t="shared" si="4"/>
        <v>-1204</v>
      </c>
      <c r="F51" s="449">
        <f t="shared" si="5"/>
        <v>-7.9634896487862955E-2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648</v>
      </c>
      <c r="C52" s="465">
        <f>IF(C51=0,0,C43/C51)</f>
        <v>4601.2586811297042</v>
      </c>
      <c r="D52" s="465">
        <f>IF(LN_IB10=0,0,LN_IB2/LN_IB10)</f>
        <v>4975.623140495868</v>
      </c>
      <c r="E52" s="465">
        <f t="shared" si="4"/>
        <v>374.36445936616383</v>
      </c>
      <c r="F52" s="449">
        <f t="shared" si="5"/>
        <v>8.1361315524701078E-2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649</v>
      </c>
      <c r="C53" s="466">
        <f>IF(C45=0,0,C51/C45)</f>
        <v>3.3412154696132599</v>
      </c>
      <c r="D53" s="466">
        <f>IF(LN_IB4=0,0,LN_IB10/LN_IB4)</f>
        <v>3.3005218216318783</v>
      </c>
      <c r="E53" s="466">
        <f t="shared" si="4"/>
        <v>-4.0693647981381531E-2</v>
      </c>
      <c r="F53" s="449">
        <f t="shared" si="5"/>
        <v>-1.2179294736143357E-2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665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651</v>
      </c>
      <c r="C56" s="448">
        <v>295078693</v>
      </c>
      <c r="D56" s="448">
        <v>316248479</v>
      </c>
      <c r="E56" s="448">
        <f t="shared" ref="E56:E63" si="6">D56-C56</f>
        <v>21169786</v>
      </c>
      <c r="F56" s="449">
        <f t="shared" ref="F56:F63" si="7">IF(C56=0,0,E56/C56)</f>
        <v>7.1742848610218027E-2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652</v>
      </c>
      <c r="C57" s="448">
        <v>125026483</v>
      </c>
      <c r="D57" s="448">
        <v>125216605</v>
      </c>
      <c r="E57" s="448">
        <f t="shared" si="6"/>
        <v>190122</v>
      </c>
      <c r="F57" s="449">
        <f t="shared" si="7"/>
        <v>1.5206538281973428E-3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653</v>
      </c>
      <c r="C58" s="453">
        <f>IF(C56=0,0,C57/C56)</f>
        <v>0.42370556046891533</v>
      </c>
      <c r="D58" s="453">
        <f>IF(LN_IB13=0,0,LN_IB14/LN_IB13)</f>
        <v>0.39594373827802665</v>
      </c>
      <c r="E58" s="454">
        <f t="shared" si="6"/>
        <v>-2.7761822190888685E-2</v>
      </c>
      <c r="F58" s="449">
        <f t="shared" si="7"/>
        <v>-6.5521496012855368E-2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654</v>
      </c>
      <c r="C59" s="453">
        <f>IF(C42=0,0,C56/C42)</f>
        <v>1.8922918156996826</v>
      </c>
      <c r="D59" s="453">
        <f>IF(LN_IB1=0,0,LN_IB13/LN_IB1)</f>
        <v>2.0539440923666055</v>
      </c>
      <c r="E59" s="454">
        <f t="shared" si="6"/>
        <v>0.16165227666692283</v>
      </c>
      <c r="F59" s="449">
        <f t="shared" si="7"/>
        <v>8.5426716601398625E-2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655</v>
      </c>
      <c r="C60" s="463">
        <f>C59*C45</f>
        <v>8562.620466041064</v>
      </c>
      <c r="D60" s="463">
        <f>LN_IB16*LN_IB4</f>
        <v>8659.4282934176081</v>
      </c>
      <c r="E60" s="463">
        <f t="shared" si="6"/>
        <v>96.807827376544083</v>
      </c>
      <c r="F60" s="449">
        <f t="shared" si="7"/>
        <v>1.130586457270636E-2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656</v>
      </c>
      <c r="C61" s="465">
        <f>IF(C60=0,0,C57/C60)</f>
        <v>14601.427623219895</v>
      </c>
      <c r="D61" s="465">
        <f>IF(LN_IB17=0,0,LN_IB14/LN_IB17)</f>
        <v>14460.146877731218</v>
      </c>
      <c r="E61" s="465">
        <f t="shared" si="6"/>
        <v>-141.28074548867698</v>
      </c>
      <c r="F61" s="449">
        <f t="shared" si="7"/>
        <v>-9.6758172648820674E-3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666</v>
      </c>
      <c r="C62" s="465">
        <f>C32-C61</f>
        <v>-5092.4615272854244</v>
      </c>
      <c r="D62" s="465">
        <f>LN_IA16-LN_IB18</f>
        <v>-5499.6617120824249</v>
      </c>
      <c r="E62" s="465">
        <f t="shared" si="6"/>
        <v>-407.20018479700047</v>
      </c>
      <c r="F62" s="449">
        <f t="shared" si="7"/>
        <v>7.9961366937230771E-2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667</v>
      </c>
      <c r="C63" s="448">
        <f>C62*C60</f>
        <v>-43604815.296060912</v>
      </c>
      <c r="D63" s="448">
        <f>LN_IB19*LN_IB17</f>
        <v>-47623926.233832076</v>
      </c>
      <c r="E63" s="448">
        <f t="shared" si="6"/>
        <v>-4019110.9377711639</v>
      </c>
      <c r="F63" s="449">
        <f t="shared" si="7"/>
        <v>9.2171263895577935E-2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668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658</v>
      </c>
      <c r="C66" s="448">
        <f>C42+C56</f>
        <v>451015896</v>
      </c>
      <c r="D66" s="448">
        <f>LN_IB1+LN_IB13</f>
        <v>470219797</v>
      </c>
      <c r="E66" s="448">
        <f>D66-C66</f>
        <v>19203901</v>
      </c>
      <c r="F66" s="449">
        <f>IF(C66=0,0,E66/C66)</f>
        <v>4.2579210999693903E-2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659</v>
      </c>
      <c r="C67" s="448">
        <f>C43+C57</f>
        <v>194592913</v>
      </c>
      <c r="D67" s="448">
        <f>LN_IB2+LN_IB14</f>
        <v>194452401</v>
      </c>
      <c r="E67" s="448">
        <f>D67-C67</f>
        <v>-140512</v>
      </c>
      <c r="F67" s="449">
        <f>IF(C67=0,0,E67/C67)</f>
        <v>-7.2208179544544873E-4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660</v>
      </c>
      <c r="C68" s="448">
        <f>C66-C67</f>
        <v>256422983</v>
      </c>
      <c r="D68" s="448">
        <f>LN_IB21-LN_IB22</f>
        <v>275767396</v>
      </c>
      <c r="E68" s="448">
        <f>D68-C68</f>
        <v>19344413</v>
      </c>
      <c r="F68" s="449">
        <f>IF(C68=0,0,E68/C68)</f>
        <v>7.5439466360158525E-2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669</v>
      </c>
      <c r="C70" s="441">
        <f>C50+C63</f>
        <v>-79920597.856207222</v>
      </c>
      <c r="D70" s="441">
        <f>LN_IB9+LN_IB20</f>
        <v>-79094186.629690915</v>
      </c>
      <c r="E70" s="448">
        <f>D70-C70</f>
        <v>826411.2265163064</v>
      </c>
      <c r="F70" s="449">
        <f>IF(C70=0,0,E70/C70)</f>
        <v>-1.0340403458982898E-2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670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671</v>
      </c>
      <c r="C73" s="488">
        <v>414396424</v>
      </c>
      <c r="D73" s="488">
        <v>429305698</v>
      </c>
      <c r="E73" s="488">
        <f>D73-C73</f>
        <v>14909274</v>
      </c>
      <c r="F73" s="489">
        <f>IF(C73=0,0,E73/C73)</f>
        <v>3.5978288268240462E-2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672</v>
      </c>
      <c r="C74" s="488">
        <v>195897906</v>
      </c>
      <c r="D74" s="488">
        <v>195659148</v>
      </c>
      <c r="E74" s="488">
        <f>D74-C74</f>
        <v>-238758</v>
      </c>
      <c r="F74" s="489">
        <f>IF(C74=0,0,E74/C74)</f>
        <v>-1.2187879129243984E-3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673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674</v>
      </c>
      <c r="C76" s="441">
        <f>C73-C74</f>
        <v>218498518</v>
      </c>
      <c r="D76" s="441">
        <f>LN_IB32-LN_IB33</f>
        <v>233646550</v>
      </c>
      <c r="E76" s="488">
        <f>D76-C76</f>
        <v>15148032</v>
      </c>
      <c r="F76" s="489">
        <f>IF(E76=0,0,E76/C76)</f>
        <v>6.932784779803404E-2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675</v>
      </c>
      <c r="C77" s="453">
        <f>IF(C73=0,0,C76/C73)</f>
        <v>0.52726931350160489</v>
      </c>
      <c r="D77" s="453">
        <f>IF(LN_IB32=0,0,LN_IB34/LN_IB32)</f>
        <v>0.5442428346245709</v>
      </c>
      <c r="E77" s="493">
        <f>D77-C77</f>
        <v>1.6973521122966018E-2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676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677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642</v>
      </c>
      <c r="C83" s="448">
        <v>5822241</v>
      </c>
      <c r="D83" s="448">
        <v>4804078</v>
      </c>
      <c r="E83" s="448">
        <f t="shared" ref="E83:E95" si="8">D83-C83</f>
        <v>-1018163</v>
      </c>
      <c r="F83" s="449">
        <f t="shared" ref="F83:F95" si="9">IF(C83=0,0,E83/C83)</f>
        <v>-0.17487476042300551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643</v>
      </c>
      <c r="C84" s="448">
        <v>3735559</v>
      </c>
      <c r="D84" s="448">
        <v>1364690</v>
      </c>
      <c r="E84" s="448">
        <f t="shared" si="8"/>
        <v>-2370869</v>
      </c>
      <c r="F84" s="449">
        <f t="shared" si="9"/>
        <v>-0.63467582763382935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644</v>
      </c>
      <c r="C85" s="453">
        <f>IF(C83=0,0,C84/C83)</f>
        <v>0.64160157575064314</v>
      </c>
      <c r="D85" s="453">
        <f>IF(LN_IC1=0,0,LN_IC2/LN_IC1)</f>
        <v>0.28406907631391498</v>
      </c>
      <c r="E85" s="454">
        <f t="shared" si="8"/>
        <v>-0.35753249943672816</v>
      </c>
      <c r="F85" s="449">
        <f t="shared" si="9"/>
        <v>-0.55725003327560763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168</v>
      </c>
      <c r="D86" s="456">
        <v>139</v>
      </c>
      <c r="E86" s="456">
        <f t="shared" si="8"/>
        <v>-29</v>
      </c>
      <c r="F86" s="449">
        <f t="shared" si="9"/>
        <v>-0.17261904761904762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645</v>
      </c>
      <c r="C87" s="459">
        <v>1.1074999999999999</v>
      </c>
      <c r="D87" s="459">
        <v>1.12178</v>
      </c>
      <c r="E87" s="460">
        <f t="shared" si="8"/>
        <v>1.428000000000007E-2</v>
      </c>
      <c r="F87" s="449">
        <f t="shared" si="9"/>
        <v>1.2893905191873653E-2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646</v>
      </c>
      <c r="C88" s="463">
        <f>C86*C87</f>
        <v>186.06</v>
      </c>
      <c r="D88" s="463">
        <f>LN_IC4*LN_IC5</f>
        <v>155.92742000000001</v>
      </c>
      <c r="E88" s="463">
        <f t="shared" si="8"/>
        <v>-30.13257999999999</v>
      </c>
      <c r="F88" s="449">
        <f t="shared" si="9"/>
        <v>-0.16195087606148548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647</v>
      </c>
      <c r="C89" s="465">
        <f>IF(C88=0,0,C84/C88)</f>
        <v>20077.174029882834</v>
      </c>
      <c r="D89" s="465">
        <f>IF(LN_IC6=0,0,LN_IC2/LN_IC6)</f>
        <v>8752.0847840617116</v>
      </c>
      <c r="E89" s="465">
        <f t="shared" si="8"/>
        <v>-11325.089245821122</v>
      </c>
      <c r="F89" s="449">
        <f t="shared" si="9"/>
        <v>-0.56407785423211843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678</v>
      </c>
      <c r="C90" s="465">
        <f>C48-C89</f>
        <v>-6462.4054458562023</v>
      </c>
      <c r="D90" s="465">
        <f>LN_IB7-LN_IC7</f>
        <v>5060.6956210346798</v>
      </c>
      <c r="E90" s="465">
        <f t="shared" si="8"/>
        <v>11523.101066890882</v>
      </c>
      <c r="F90" s="449">
        <f t="shared" si="9"/>
        <v>-1.7830978206852803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679</v>
      </c>
      <c r="C91" s="465">
        <f>C21-C89</f>
        <v>-13569.726829233532</v>
      </c>
      <c r="D91" s="465">
        <f>LN_IA7-LN_IC7</f>
        <v>-1217.7300092447776</v>
      </c>
      <c r="E91" s="465">
        <f t="shared" si="8"/>
        <v>12351.996819988755</v>
      </c>
      <c r="F91" s="449">
        <f t="shared" si="9"/>
        <v>-0.91026127315832206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664</v>
      </c>
      <c r="C92" s="441">
        <f>C91*C88</f>
        <v>-2524783.3738471912</v>
      </c>
      <c r="D92" s="441">
        <f>LN_IC9*LN_IC6</f>
        <v>-189877.49859811435</v>
      </c>
      <c r="E92" s="441">
        <f t="shared" si="8"/>
        <v>2334905.8752490766</v>
      </c>
      <c r="F92" s="449">
        <f t="shared" si="9"/>
        <v>-0.92479453858697402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630</v>
      </c>
      <c r="D93" s="456">
        <v>308</v>
      </c>
      <c r="E93" s="456">
        <f t="shared" si="8"/>
        <v>-322</v>
      </c>
      <c r="F93" s="449">
        <f t="shared" si="9"/>
        <v>-0.51111111111111107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648</v>
      </c>
      <c r="C94" s="499">
        <f>IF(C93=0,0,C84/C93)</f>
        <v>5929.4587301587298</v>
      </c>
      <c r="D94" s="499">
        <f>IF(LN_IC11=0,0,LN_IC2/LN_IC11)</f>
        <v>4430.8116883116882</v>
      </c>
      <c r="E94" s="499">
        <f t="shared" si="8"/>
        <v>-1498.6470418470417</v>
      </c>
      <c r="F94" s="449">
        <f t="shared" si="9"/>
        <v>-0.25274601106919642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649</v>
      </c>
      <c r="C95" s="466">
        <f>IF(C86=0,0,C93/C86)</f>
        <v>3.75</v>
      </c>
      <c r="D95" s="466">
        <f>IF(LN_IC4=0,0,LN_IC11/LN_IC4)</f>
        <v>2.2158273381294964</v>
      </c>
      <c r="E95" s="466">
        <f t="shared" si="8"/>
        <v>-1.5341726618705036</v>
      </c>
      <c r="F95" s="449">
        <f t="shared" si="9"/>
        <v>-0.40911270983213427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680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651</v>
      </c>
      <c r="C98" s="448">
        <v>14863650</v>
      </c>
      <c r="D98" s="448">
        <v>14751065</v>
      </c>
      <c r="E98" s="448">
        <f t="shared" ref="E98:E106" si="10">D98-C98</f>
        <v>-112585</v>
      </c>
      <c r="F98" s="449">
        <f t="shared" ref="F98:F106" si="11">IF(C98=0,0,E98/C98)</f>
        <v>-7.5745190447837505E-3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652</v>
      </c>
      <c r="C99" s="448">
        <v>4549613</v>
      </c>
      <c r="D99" s="448">
        <v>2469628</v>
      </c>
      <c r="E99" s="448">
        <f t="shared" si="10"/>
        <v>-2079985</v>
      </c>
      <c r="F99" s="449">
        <f t="shared" si="11"/>
        <v>-0.45717844572714206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653</v>
      </c>
      <c r="C100" s="453">
        <f>IF(C98=0,0,C99/C98)</f>
        <v>0.30608989043740936</v>
      </c>
      <c r="D100" s="453">
        <f>IF(LN_IC14=0,0,LN_IC15/LN_IC14)</f>
        <v>0.16742031846514133</v>
      </c>
      <c r="E100" s="454">
        <f t="shared" si="10"/>
        <v>-0.13866957197226804</v>
      </c>
      <c r="F100" s="449">
        <f t="shared" si="11"/>
        <v>-0.45303545234410092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654</v>
      </c>
      <c r="C101" s="453">
        <f>IF(C83=0,0,C98/C83)</f>
        <v>2.5529087511149058</v>
      </c>
      <c r="D101" s="453">
        <f>IF(LN_IC1=0,0,LN_IC14/LN_IC1)</f>
        <v>3.0705298706640485</v>
      </c>
      <c r="E101" s="454">
        <f t="shared" si="10"/>
        <v>0.51762111954914269</v>
      </c>
      <c r="F101" s="449">
        <f t="shared" si="11"/>
        <v>0.20275739167061388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655</v>
      </c>
      <c r="C102" s="463">
        <f>C101*C86</f>
        <v>428.88867018730417</v>
      </c>
      <c r="D102" s="463">
        <f>LN_IC17*LN_IC4</f>
        <v>426.80365202230274</v>
      </c>
      <c r="E102" s="463">
        <f t="shared" si="10"/>
        <v>-2.0850181650014292</v>
      </c>
      <c r="F102" s="449">
        <f t="shared" si="11"/>
        <v>-4.8614437963373121E-3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656</v>
      </c>
      <c r="C103" s="465">
        <f>IF(C102=0,0,C99/C102)</f>
        <v>10607.911367798766</v>
      </c>
      <c r="D103" s="465">
        <f>IF(LN_IC18=0,0,LN_IC15/LN_IC18)</f>
        <v>5786.3328682833035</v>
      </c>
      <c r="E103" s="465">
        <f t="shared" si="10"/>
        <v>-4821.5784995154627</v>
      </c>
      <c r="F103" s="449">
        <f t="shared" si="11"/>
        <v>-0.45452665773130252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681</v>
      </c>
      <c r="C104" s="465">
        <f>C61-C103</f>
        <v>3993.5162554211292</v>
      </c>
      <c r="D104" s="465">
        <f>LN_IB18-LN_IC19</f>
        <v>8673.8140094479149</v>
      </c>
      <c r="E104" s="465">
        <f t="shared" si="10"/>
        <v>4680.2977540267857</v>
      </c>
      <c r="F104" s="449">
        <f t="shared" si="11"/>
        <v>1.171974133740751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682</v>
      </c>
      <c r="C105" s="465">
        <f>C32-C103</f>
        <v>-1098.9452718642951</v>
      </c>
      <c r="D105" s="465">
        <f>LN_IA16-LN_IC19</f>
        <v>3174.1522973654901</v>
      </c>
      <c r="E105" s="465">
        <f t="shared" si="10"/>
        <v>4273.0975692297852</v>
      </c>
      <c r="F105" s="449">
        <f t="shared" si="11"/>
        <v>-3.8883624859504877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667</v>
      </c>
      <c r="C106" s="448">
        <f>C105*C102</f>
        <v>-471325.17625850299</v>
      </c>
      <c r="D106" s="448">
        <f>LN_IC21*LN_IC18</f>
        <v>1354739.7925905734</v>
      </c>
      <c r="E106" s="448">
        <f t="shared" si="10"/>
        <v>1826064.9688490764</v>
      </c>
      <c r="F106" s="449">
        <f t="shared" si="11"/>
        <v>-3.8743208740615902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683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658</v>
      </c>
      <c r="C109" s="448">
        <f>C83+C98</f>
        <v>20685891</v>
      </c>
      <c r="D109" s="448">
        <f>LN_IC1+LN_IC14</f>
        <v>19555143</v>
      </c>
      <c r="E109" s="448">
        <f>D109-C109</f>
        <v>-1130748</v>
      </c>
      <c r="F109" s="449">
        <f>IF(C109=0,0,E109/C109)</f>
        <v>-5.4662765070163037E-2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659</v>
      </c>
      <c r="C110" s="448">
        <f>C84+C99</f>
        <v>8285172</v>
      </c>
      <c r="D110" s="448">
        <f>LN_IC2+LN_IC15</f>
        <v>3834318</v>
      </c>
      <c r="E110" s="448">
        <f>D110-C110</f>
        <v>-4450854</v>
      </c>
      <c r="F110" s="449">
        <f>IF(C110=0,0,E110/C110)</f>
        <v>-0.53720719376737136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660</v>
      </c>
      <c r="C111" s="448">
        <f>C109-C110</f>
        <v>12400719</v>
      </c>
      <c r="D111" s="448">
        <f>LN_IC23-LN_IC24</f>
        <v>15720825</v>
      </c>
      <c r="E111" s="448">
        <f>D111-C111</f>
        <v>3320106</v>
      </c>
      <c r="F111" s="449">
        <f>IF(C111=0,0,E111/C111)</f>
        <v>0.26773495956161897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669</v>
      </c>
      <c r="C113" s="448">
        <f>C92+C106</f>
        <v>-2996108.5501056942</v>
      </c>
      <c r="D113" s="448">
        <f>LN_IC10+LN_IC22</f>
        <v>1164862.2939924591</v>
      </c>
      <c r="E113" s="448">
        <f>D113-C113</f>
        <v>4160970.8440981535</v>
      </c>
      <c r="F113" s="449">
        <f>IF(C113=0,0,E113/C113)</f>
        <v>-1.3887917525389279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684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685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642</v>
      </c>
      <c r="C118" s="448">
        <v>71291853</v>
      </c>
      <c r="D118" s="448">
        <v>77179588</v>
      </c>
      <c r="E118" s="448">
        <f t="shared" ref="E118:E130" si="12">D118-C118</f>
        <v>5887735</v>
      </c>
      <c r="F118" s="449">
        <f t="shared" ref="F118:F130" si="13">IF(C118=0,0,E118/C118)</f>
        <v>8.2586365092796793E-2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643</v>
      </c>
      <c r="C119" s="448">
        <v>10706376</v>
      </c>
      <c r="D119" s="448">
        <v>10773156</v>
      </c>
      <c r="E119" s="448">
        <f t="shared" si="12"/>
        <v>66780</v>
      </c>
      <c r="F119" s="449">
        <f t="shared" si="13"/>
        <v>6.2374047016469439E-3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644</v>
      </c>
      <c r="C120" s="453">
        <f>IF(C118=0,0,C119/C118)</f>
        <v>0.15017671093497878</v>
      </c>
      <c r="D120" s="453">
        <f>IF(LN_ID1=0,0,LN_1D2/LN_ID1)</f>
        <v>0.13958555985035836</v>
      </c>
      <c r="E120" s="454">
        <f t="shared" si="12"/>
        <v>-1.0591151084620415E-2</v>
      </c>
      <c r="F120" s="449">
        <f t="shared" si="13"/>
        <v>-7.0524590788288141E-2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2323</v>
      </c>
      <c r="D121" s="456">
        <v>2263</v>
      </c>
      <c r="E121" s="456">
        <f t="shared" si="12"/>
        <v>-60</v>
      </c>
      <c r="F121" s="449">
        <f t="shared" si="13"/>
        <v>-2.582866982350409E-2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645</v>
      </c>
      <c r="C122" s="459">
        <v>0.98280000000000001</v>
      </c>
      <c r="D122" s="459">
        <v>1.04375</v>
      </c>
      <c r="E122" s="460">
        <f t="shared" si="12"/>
        <v>6.0949999999999949E-2</v>
      </c>
      <c r="F122" s="449">
        <f t="shared" si="13"/>
        <v>6.2016687016686965E-2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646</v>
      </c>
      <c r="C123" s="463">
        <f>C121*C122</f>
        <v>2283.0444000000002</v>
      </c>
      <c r="D123" s="463">
        <f>LN_ID4*LN_ID5</f>
        <v>2362.0062499999999</v>
      </c>
      <c r="E123" s="463">
        <f t="shared" si="12"/>
        <v>78.961849999999686</v>
      </c>
      <c r="F123" s="449">
        <f t="shared" si="13"/>
        <v>3.4586208660681184E-2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647</v>
      </c>
      <c r="C124" s="465">
        <f>IF(C123=0,0,C119/C123)</f>
        <v>4689.5172078125152</v>
      </c>
      <c r="D124" s="465">
        <f>IF(LN_ID6=0,0,LN_1D2/LN_ID6)</f>
        <v>4561.0192606391283</v>
      </c>
      <c r="E124" s="465">
        <f t="shared" si="12"/>
        <v>-128.49794717338682</v>
      </c>
      <c r="F124" s="449">
        <f t="shared" si="13"/>
        <v>-2.7401103669971671E-2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686</v>
      </c>
      <c r="C125" s="465">
        <f>C48-C124</f>
        <v>8925.251376214117</v>
      </c>
      <c r="D125" s="465">
        <f>LN_IB7-LN_ID7</f>
        <v>9251.7611444572631</v>
      </c>
      <c r="E125" s="465">
        <f t="shared" si="12"/>
        <v>326.50976824314603</v>
      </c>
      <c r="F125" s="449">
        <f t="shared" si="13"/>
        <v>3.6582697167868883E-2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687</v>
      </c>
      <c r="C126" s="465">
        <f>C21-C124</f>
        <v>1817.9299928367873</v>
      </c>
      <c r="D126" s="465">
        <f>LN_IA7-LN_ID7</f>
        <v>2973.3355141778056</v>
      </c>
      <c r="E126" s="465">
        <f t="shared" si="12"/>
        <v>1155.4055213410184</v>
      </c>
      <c r="F126" s="449">
        <f t="shared" si="13"/>
        <v>0.63556106444894878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664</v>
      </c>
      <c r="C127" s="479">
        <f>C126*C123</f>
        <v>4150414.8897380675</v>
      </c>
      <c r="D127" s="479">
        <f>LN_ID9*LN_ID6</f>
        <v>7023037.0678349398</v>
      </c>
      <c r="E127" s="479">
        <f t="shared" si="12"/>
        <v>2872622.1780968723</v>
      </c>
      <c r="F127" s="449">
        <f t="shared" si="13"/>
        <v>0.69212892070126597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9219</v>
      </c>
      <c r="D128" s="456">
        <v>9624</v>
      </c>
      <c r="E128" s="456">
        <f t="shared" si="12"/>
        <v>405</v>
      </c>
      <c r="F128" s="449">
        <f t="shared" si="13"/>
        <v>4.393101204035145E-2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648</v>
      </c>
      <c r="C129" s="465">
        <f>IF(C128=0,0,C119/C128)</f>
        <v>1161.3381060852587</v>
      </c>
      <c r="D129" s="465">
        <f>IF(LN_ID11=0,0,LN_1D2/LN_ID11)</f>
        <v>1119.4052369077306</v>
      </c>
      <c r="E129" s="465">
        <f t="shared" si="12"/>
        <v>-41.932869177528119</v>
      </c>
      <c r="F129" s="449">
        <f t="shared" si="13"/>
        <v>-3.6107373862792766E-2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649</v>
      </c>
      <c r="C130" s="466">
        <f>IF(C121=0,0,C128/C121)</f>
        <v>3.9685751183814033</v>
      </c>
      <c r="D130" s="466">
        <f>IF(LN_ID4=0,0,LN_ID11/LN_ID4)</f>
        <v>4.2527618205921343</v>
      </c>
      <c r="E130" s="466">
        <f t="shared" si="12"/>
        <v>0.28418670221073095</v>
      </c>
      <c r="F130" s="449">
        <f t="shared" si="13"/>
        <v>7.1609253632229961E-2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688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651</v>
      </c>
      <c r="C133" s="448">
        <v>104354788</v>
      </c>
      <c r="D133" s="448">
        <v>119249249</v>
      </c>
      <c r="E133" s="448">
        <f t="shared" ref="E133:E141" si="14">D133-C133</f>
        <v>14894461</v>
      </c>
      <c r="F133" s="449">
        <f t="shared" ref="F133:F141" si="15">IF(C133=0,0,E133/C133)</f>
        <v>0.14272906193820259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652</v>
      </c>
      <c r="C134" s="448">
        <v>18933996</v>
      </c>
      <c r="D134" s="448">
        <v>20919610</v>
      </c>
      <c r="E134" s="448">
        <f t="shared" si="14"/>
        <v>1985614</v>
      </c>
      <c r="F134" s="449">
        <f t="shared" si="15"/>
        <v>0.104870308412445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653</v>
      </c>
      <c r="C135" s="453">
        <f>IF(C133=0,0,C134/C133)</f>
        <v>0.18143868971302016</v>
      </c>
      <c r="D135" s="453">
        <f>IF(LN_ID14=0,0,LN_ID15/LN_ID14)</f>
        <v>0.1754276037411355</v>
      </c>
      <c r="E135" s="454">
        <f t="shared" si="14"/>
        <v>-6.0110859718846554E-3</v>
      </c>
      <c r="F135" s="449">
        <f t="shared" si="15"/>
        <v>-3.3130122254477985E-2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654</v>
      </c>
      <c r="C136" s="453">
        <f>IF(C118=0,0,C133/C118)</f>
        <v>1.4637687703249906</v>
      </c>
      <c r="D136" s="453">
        <f>IF(LN_ID1=0,0,LN_ID14/LN_ID1)</f>
        <v>1.5450879188419611</v>
      </c>
      <c r="E136" s="454">
        <f t="shared" si="14"/>
        <v>8.1319148516970419E-2</v>
      </c>
      <c r="F136" s="449">
        <f t="shared" si="15"/>
        <v>5.5554640982616185E-2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655</v>
      </c>
      <c r="C137" s="463">
        <f>C136*C121</f>
        <v>3400.3348534649531</v>
      </c>
      <c r="D137" s="463">
        <f>LN_ID17*LN_ID4</f>
        <v>3496.5339603393577</v>
      </c>
      <c r="E137" s="463">
        <f t="shared" si="14"/>
        <v>96.199106874404606</v>
      </c>
      <c r="F137" s="449">
        <f t="shared" si="15"/>
        <v>2.8291068680008788E-2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656</v>
      </c>
      <c r="C138" s="465">
        <f>IF(C137=0,0,C134/C137)</f>
        <v>5568.2739541684232</v>
      </c>
      <c r="D138" s="465">
        <f>IF(LN_ID18=0,0,LN_ID15/LN_ID18)</f>
        <v>5982.9563325532918</v>
      </c>
      <c r="E138" s="465">
        <f t="shared" si="14"/>
        <v>414.68237838486857</v>
      </c>
      <c r="F138" s="449">
        <f t="shared" si="15"/>
        <v>7.4472337711479944E-2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689</v>
      </c>
      <c r="C139" s="465">
        <f>C61-C138</f>
        <v>9033.1536690514731</v>
      </c>
      <c r="D139" s="465">
        <f>LN_IB18-LN_ID19</f>
        <v>8477.1905451779276</v>
      </c>
      <c r="E139" s="465">
        <f t="shared" si="14"/>
        <v>-555.96312387354556</v>
      </c>
      <c r="F139" s="449">
        <f t="shared" si="15"/>
        <v>-6.1546957379717035E-2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690</v>
      </c>
      <c r="C140" s="465">
        <f>C32-C138</f>
        <v>3940.6921417660478</v>
      </c>
      <c r="D140" s="465">
        <f>LN_IA16-LN_ID19</f>
        <v>2977.5288330955018</v>
      </c>
      <c r="E140" s="465">
        <f t="shared" si="14"/>
        <v>-963.16330867054603</v>
      </c>
      <c r="F140" s="449">
        <f t="shared" si="15"/>
        <v>-0.24441475609381094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667</v>
      </c>
      <c r="C141" s="441">
        <f>C140*C137</f>
        <v>13399672.836422546</v>
      </c>
      <c r="D141" s="441">
        <f>LN_ID21*LN_ID18</f>
        <v>10411030.682808042</v>
      </c>
      <c r="E141" s="441">
        <f t="shared" si="14"/>
        <v>-2988642.1536145043</v>
      </c>
      <c r="F141" s="449">
        <f t="shared" si="15"/>
        <v>-0.2230384420648597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691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658</v>
      </c>
      <c r="C144" s="448">
        <f>C118+C133</f>
        <v>175646641</v>
      </c>
      <c r="D144" s="448">
        <f>LN_ID1+LN_ID14</f>
        <v>196428837</v>
      </c>
      <c r="E144" s="448">
        <f>D144-C144</f>
        <v>20782196</v>
      </c>
      <c r="F144" s="449">
        <f>IF(C144=0,0,E144/C144)</f>
        <v>0.11831820911394486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659</v>
      </c>
      <c r="C145" s="448">
        <f>C119+C134</f>
        <v>29640372</v>
      </c>
      <c r="D145" s="448">
        <f>LN_1D2+LN_ID15</f>
        <v>31692766</v>
      </c>
      <c r="E145" s="448">
        <f>D145-C145</f>
        <v>2052394</v>
      </c>
      <c r="F145" s="449">
        <f>IF(C145=0,0,E145/C145)</f>
        <v>6.9243193034149497E-2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660</v>
      </c>
      <c r="C146" s="448">
        <f>C144-C145</f>
        <v>146006269</v>
      </c>
      <c r="D146" s="448">
        <f>LN_ID23-LN_ID24</f>
        <v>164736071</v>
      </c>
      <c r="E146" s="448">
        <f>D146-C146</f>
        <v>18729802</v>
      </c>
      <c r="F146" s="449">
        <f>IF(C146=0,0,E146/C146)</f>
        <v>0.12828080690151736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669</v>
      </c>
      <c r="C148" s="448">
        <f>C127+C141</f>
        <v>17550087.726160612</v>
      </c>
      <c r="D148" s="448">
        <f>LN_ID10+LN_ID22</f>
        <v>17434067.750642981</v>
      </c>
      <c r="E148" s="448">
        <f>D148-C148</f>
        <v>-116019.97551763058</v>
      </c>
      <c r="F148" s="503">
        <f>IF(C148=0,0,E148/C148)</f>
        <v>-6.6107917708404509E-3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692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693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642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643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644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645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646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647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694</v>
      </c>
      <c r="C160" s="465">
        <f>C48-C159</f>
        <v>13614.768584026631</v>
      </c>
      <c r="D160" s="465">
        <f>LN_IB7-LN_IE7</f>
        <v>13812.780405096391</v>
      </c>
      <c r="E160" s="465">
        <f t="shared" si="16"/>
        <v>198.01182106976012</v>
      </c>
      <c r="F160" s="449">
        <f t="shared" si="17"/>
        <v>1.4543899137740408E-2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695</v>
      </c>
      <c r="C161" s="465">
        <f>C21-C159</f>
        <v>6507.4472006493024</v>
      </c>
      <c r="D161" s="465">
        <f>LN_IA7-LN_IE7</f>
        <v>7534.354774816934</v>
      </c>
      <c r="E161" s="465">
        <f t="shared" si="16"/>
        <v>1026.9075741676315</v>
      </c>
      <c r="F161" s="449">
        <f t="shared" si="17"/>
        <v>0.15780497981837921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664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648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649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696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651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652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653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654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655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656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697</v>
      </c>
      <c r="C174" s="465">
        <f>C61-C173</f>
        <v>14601.427623219895</v>
      </c>
      <c r="D174" s="465">
        <f>LN_IB18-LN_IE19</f>
        <v>14460.146877731218</v>
      </c>
      <c r="E174" s="465">
        <f t="shared" si="18"/>
        <v>-141.28074548867698</v>
      </c>
      <c r="F174" s="449">
        <f t="shared" si="19"/>
        <v>-9.6758172648820674E-3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698</v>
      </c>
      <c r="C175" s="465">
        <f>C32-C173</f>
        <v>9508.966095934471</v>
      </c>
      <c r="D175" s="465">
        <f>LN_IA16-LN_IE19</f>
        <v>8960.4851656487936</v>
      </c>
      <c r="E175" s="465">
        <f t="shared" si="18"/>
        <v>-548.48093028567746</v>
      </c>
      <c r="F175" s="449">
        <f t="shared" si="19"/>
        <v>-5.7680396033821045E-2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667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699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658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659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660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700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701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702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642</v>
      </c>
      <c r="C188" s="448">
        <f>C118+C153</f>
        <v>71291853</v>
      </c>
      <c r="D188" s="448">
        <f>LN_ID1+LN_IE1</f>
        <v>77179588</v>
      </c>
      <c r="E188" s="448">
        <f t="shared" ref="E188:E200" si="20">D188-C188</f>
        <v>5887735</v>
      </c>
      <c r="F188" s="449">
        <f t="shared" ref="F188:F200" si="21">IF(C188=0,0,E188/C188)</f>
        <v>8.2586365092796793E-2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643</v>
      </c>
      <c r="C189" s="448">
        <f>C119+C154</f>
        <v>10706376</v>
      </c>
      <c r="D189" s="448">
        <f>LN_1D2+LN_IE2</f>
        <v>10773156</v>
      </c>
      <c r="E189" s="448">
        <f t="shared" si="20"/>
        <v>66780</v>
      </c>
      <c r="F189" s="449">
        <f t="shared" si="21"/>
        <v>6.2374047016469439E-3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644</v>
      </c>
      <c r="C190" s="453">
        <f>IF(C188=0,0,C189/C188)</f>
        <v>0.15017671093497878</v>
      </c>
      <c r="D190" s="453">
        <f>IF(LN_IF1=0,0,LN_IF2/LN_IF1)</f>
        <v>0.13958555985035836</v>
      </c>
      <c r="E190" s="454">
        <f t="shared" si="20"/>
        <v>-1.0591151084620415E-2</v>
      </c>
      <c r="F190" s="449">
        <f t="shared" si="21"/>
        <v>-7.0524590788288141E-2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2323</v>
      </c>
      <c r="D191" s="456">
        <f>LN_ID4+LN_IE4</f>
        <v>2263</v>
      </c>
      <c r="E191" s="456">
        <f t="shared" si="20"/>
        <v>-60</v>
      </c>
      <c r="F191" s="449">
        <f t="shared" si="21"/>
        <v>-2.582866982350409E-2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645</v>
      </c>
      <c r="C192" s="459">
        <f>IF((C121+C156)=0,0,(C123+C158)/(C121+C156))</f>
        <v>0.98280000000000012</v>
      </c>
      <c r="D192" s="459">
        <f>IF((LN_ID4+LN_IE4)=0,0,(LN_ID6+LN_IE6)/(LN_ID4+LN_IE4))</f>
        <v>1.04375</v>
      </c>
      <c r="E192" s="460">
        <f t="shared" si="20"/>
        <v>6.0949999999999838E-2</v>
      </c>
      <c r="F192" s="449">
        <f t="shared" si="21"/>
        <v>6.2016687016686847E-2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646</v>
      </c>
      <c r="C193" s="463">
        <f>C123+C158</f>
        <v>2283.0444000000002</v>
      </c>
      <c r="D193" s="463">
        <f>LN_IF4*LN_IF5</f>
        <v>2362.0062499999999</v>
      </c>
      <c r="E193" s="463">
        <f t="shared" si="20"/>
        <v>78.961849999999686</v>
      </c>
      <c r="F193" s="449">
        <f t="shared" si="21"/>
        <v>3.4586208660681184E-2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647</v>
      </c>
      <c r="C194" s="465">
        <f>IF(C193=0,0,C189/C193)</f>
        <v>4689.5172078125152</v>
      </c>
      <c r="D194" s="465">
        <f>IF(LN_IF6=0,0,LN_IF2/LN_IF6)</f>
        <v>4561.0192606391283</v>
      </c>
      <c r="E194" s="465">
        <f t="shared" si="20"/>
        <v>-128.49794717338682</v>
      </c>
      <c r="F194" s="449">
        <f t="shared" si="21"/>
        <v>-2.7401103669971671E-2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703</v>
      </c>
      <c r="C195" s="465">
        <f>C48-C194</f>
        <v>8925.251376214117</v>
      </c>
      <c r="D195" s="465">
        <f>LN_IB7-LN_IF7</f>
        <v>9251.7611444572631</v>
      </c>
      <c r="E195" s="465">
        <f t="shared" si="20"/>
        <v>326.50976824314603</v>
      </c>
      <c r="F195" s="449">
        <f t="shared" si="21"/>
        <v>3.6582697167868883E-2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704</v>
      </c>
      <c r="C196" s="465">
        <f>C21-C194</f>
        <v>1817.9299928367873</v>
      </c>
      <c r="D196" s="465">
        <f>LN_IA7-LN_IF7</f>
        <v>2973.3355141778056</v>
      </c>
      <c r="E196" s="465">
        <f t="shared" si="20"/>
        <v>1155.4055213410184</v>
      </c>
      <c r="F196" s="449">
        <f t="shared" si="21"/>
        <v>0.63556106444894878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664</v>
      </c>
      <c r="C197" s="479">
        <f>C127+C162</f>
        <v>4150414.8897380675</v>
      </c>
      <c r="D197" s="479">
        <f>LN_IF9*LN_IF6</f>
        <v>7023037.0678349398</v>
      </c>
      <c r="E197" s="479">
        <f t="shared" si="20"/>
        <v>2872622.1780968723</v>
      </c>
      <c r="F197" s="449">
        <f t="shared" si="21"/>
        <v>0.69212892070126597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9219</v>
      </c>
      <c r="D198" s="456">
        <f>LN_ID11+LN_IE11</f>
        <v>9624</v>
      </c>
      <c r="E198" s="456">
        <f t="shared" si="20"/>
        <v>405</v>
      </c>
      <c r="F198" s="449">
        <f t="shared" si="21"/>
        <v>4.393101204035145E-2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648</v>
      </c>
      <c r="C199" s="519">
        <f>IF(C198=0,0,C189/C198)</f>
        <v>1161.3381060852587</v>
      </c>
      <c r="D199" s="519">
        <f>IF(LN_IF11=0,0,LN_IF2/LN_IF11)</f>
        <v>1119.4052369077306</v>
      </c>
      <c r="E199" s="519">
        <f t="shared" si="20"/>
        <v>-41.932869177528119</v>
      </c>
      <c r="F199" s="449">
        <f t="shared" si="21"/>
        <v>-3.6107373862792766E-2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649</v>
      </c>
      <c r="C200" s="466">
        <f>IF(C191=0,0,C198/C191)</f>
        <v>3.9685751183814033</v>
      </c>
      <c r="D200" s="466">
        <f>IF(LN_IF4=0,0,LN_IF11/LN_IF4)</f>
        <v>4.2527618205921343</v>
      </c>
      <c r="E200" s="466">
        <f t="shared" si="20"/>
        <v>0.28418670221073095</v>
      </c>
      <c r="F200" s="449">
        <f t="shared" si="21"/>
        <v>7.1609253632229961E-2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705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651</v>
      </c>
      <c r="C203" s="448">
        <f>C133+C168</f>
        <v>104354788</v>
      </c>
      <c r="D203" s="448">
        <f>LN_ID14+LN_IE14</f>
        <v>119249249</v>
      </c>
      <c r="E203" s="448">
        <f t="shared" ref="E203:E211" si="22">D203-C203</f>
        <v>14894461</v>
      </c>
      <c r="F203" s="449">
        <f t="shared" ref="F203:F211" si="23">IF(C203=0,0,E203/C203)</f>
        <v>0.14272906193820259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652</v>
      </c>
      <c r="C204" s="448">
        <f>C134+C169</f>
        <v>18933996</v>
      </c>
      <c r="D204" s="448">
        <f>LN_ID15+LN_IE15</f>
        <v>20919610</v>
      </c>
      <c r="E204" s="448">
        <f t="shared" si="22"/>
        <v>1985614</v>
      </c>
      <c r="F204" s="449">
        <f t="shared" si="23"/>
        <v>0.104870308412445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653</v>
      </c>
      <c r="C205" s="453">
        <f>IF(C203=0,0,C204/C203)</f>
        <v>0.18143868971302016</v>
      </c>
      <c r="D205" s="453">
        <f>IF(LN_IF14=0,0,LN_IF15/LN_IF14)</f>
        <v>0.1754276037411355</v>
      </c>
      <c r="E205" s="454">
        <f t="shared" si="22"/>
        <v>-6.0110859718846554E-3</v>
      </c>
      <c r="F205" s="449">
        <f t="shared" si="23"/>
        <v>-3.3130122254477985E-2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654</v>
      </c>
      <c r="C206" s="453">
        <f>IF(C188=0,0,C203/C188)</f>
        <v>1.4637687703249906</v>
      </c>
      <c r="D206" s="453">
        <f>IF(LN_IF1=0,0,LN_IF14/LN_IF1)</f>
        <v>1.5450879188419611</v>
      </c>
      <c r="E206" s="454">
        <f t="shared" si="22"/>
        <v>8.1319148516970419E-2</v>
      </c>
      <c r="F206" s="449">
        <f t="shared" si="23"/>
        <v>5.5554640982616185E-2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655</v>
      </c>
      <c r="C207" s="463">
        <f>C137+C172</f>
        <v>3400.3348534649531</v>
      </c>
      <c r="D207" s="463">
        <f>LN_ID18+LN_IE18</f>
        <v>3496.5339603393577</v>
      </c>
      <c r="E207" s="463">
        <f t="shared" si="22"/>
        <v>96.199106874404606</v>
      </c>
      <c r="F207" s="449">
        <f t="shared" si="23"/>
        <v>2.8291068680008788E-2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656</v>
      </c>
      <c r="C208" s="465">
        <f>IF(C207=0,0,C204/C207)</f>
        <v>5568.2739541684232</v>
      </c>
      <c r="D208" s="465">
        <f>IF(LN_IF18=0,0,LN_IF15/LN_IF18)</f>
        <v>5982.9563325532918</v>
      </c>
      <c r="E208" s="465">
        <f t="shared" si="22"/>
        <v>414.68237838486857</v>
      </c>
      <c r="F208" s="449">
        <f t="shared" si="23"/>
        <v>7.4472337711479944E-2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706</v>
      </c>
      <c r="C209" s="465">
        <f>C61-C208</f>
        <v>9033.1536690514731</v>
      </c>
      <c r="D209" s="465">
        <f>LN_IB18-LN_IF19</f>
        <v>8477.1905451779276</v>
      </c>
      <c r="E209" s="465">
        <f t="shared" si="22"/>
        <v>-555.96312387354556</v>
      </c>
      <c r="F209" s="449">
        <f t="shared" si="23"/>
        <v>-6.1546957379717035E-2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707</v>
      </c>
      <c r="C210" s="465">
        <f>C32-C208</f>
        <v>3940.6921417660478</v>
      </c>
      <c r="D210" s="465">
        <f>LN_IA16-LN_IF19</f>
        <v>2977.5288330955018</v>
      </c>
      <c r="E210" s="465">
        <f t="shared" si="22"/>
        <v>-963.16330867054603</v>
      </c>
      <c r="F210" s="449">
        <f t="shared" si="23"/>
        <v>-0.24441475609381094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667</v>
      </c>
      <c r="C211" s="479">
        <f>C141+C176</f>
        <v>13399672.836422546</v>
      </c>
      <c r="D211" s="441">
        <f>LN_IF21*LN_IF18</f>
        <v>10411030.682808042</v>
      </c>
      <c r="E211" s="441">
        <f t="shared" si="22"/>
        <v>-2988642.1536145043</v>
      </c>
      <c r="F211" s="449">
        <f t="shared" si="23"/>
        <v>-0.2230384420648597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708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658</v>
      </c>
      <c r="C214" s="448">
        <f>C188+C203</f>
        <v>175646641</v>
      </c>
      <c r="D214" s="448">
        <f>LN_IF1+LN_IF14</f>
        <v>196428837</v>
      </c>
      <c r="E214" s="448">
        <f>D214-C214</f>
        <v>20782196</v>
      </c>
      <c r="F214" s="449">
        <f>IF(C214=0,0,E214/C214)</f>
        <v>0.11831820911394486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659</v>
      </c>
      <c r="C215" s="448">
        <f>C189+C204</f>
        <v>29640372</v>
      </c>
      <c r="D215" s="448">
        <f>LN_IF2+LN_IF15</f>
        <v>31692766</v>
      </c>
      <c r="E215" s="448">
        <f>D215-C215</f>
        <v>2052394</v>
      </c>
      <c r="F215" s="449">
        <f>IF(C215=0,0,E215/C215)</f>
        <v>6.9243193034149497E-2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660</v>
      </c>
      <c r="C216" s="448">
        <f>C214-C215</f>
        <v>146006269</v>
      </c>
      <c r="D216" s="448">
        <f>LN_IF23-LN_IF24</f>
        <v>164736071</v>
      </c>
      <c r="E216" s="448">
        <f>D216-C216</f>
        <v>18729802</v>
      </c>
      <c r="F216" s="449">
        <f>IF(C216=0,0,E216/C216)</f>
        <v>0.12828080690151736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709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710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642</v>
      </c>
      <c r="C221" s="448">
        <v>1669163</v>
      </c>
      <c r="D221" s="448">
        <v>1800340</v>
      </c>
      <c r="E221" s="448">
        <f t="shared" ref="E221:E230" si="24">D221-C221</f>
        <v>131177</v>
      </c>
      <c r="F221" s="449">
        <f t="shared" ref="F221:F230" si="25">IF(C221=0,0,E221/C221)</f>
        <v>7.8588490159439195E-2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643</v>
      </c>
      <c r="C222" s="448">
        <v>377732</v>
      </c>
      <c r="D222" s="448">
        <v>367877</v>
      </c>
      <c r="E222" s="448">
        <f t="shared" si="24"/>
        <v>-9855</v>
      </c>
      <c r="F222" s="449">
        <f t="shared" si="25"/>
        <v>-2.6089926191056094E-2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644</v>
      </c>
      <c r="C223" s="453">
        <f>IF(C221=0,0,C222/C221)</f>
        <v>0.22630024748931052</v>
      </c>
      <c r="D223" s="453">
        <f>IF(LN_IG1=0,0,LN_IG2/LN_IG1)</f>
        <v>0.20433751402512859</v>
      </c>
      <c r="E223" s="454">
        <f t="shared" si="24"/>
        <v>-2.1962733464181927E-2</v>
      </c>
      <c r="F223" s="449">
        <f t="shared" si="25"/>
        <v>-9.7051301126921466E-2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44</v>
      </c>
      <c r="D224" s="456">
        <v>57</v>
      </c>
      <c r="E224" s="456">
        <f t="shared" si="24"/>
        <v>13</v>
      </c>
      <c r="F224" s="449">
        <f t="shared" si="25"/>
        <v>0.29545454545454547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645</v>
      </c>
      <c r="C225" s="459">
        <v>1.2712000000000001</v>
      </c>
      <c r="D225" s="459">
        <v>1.0518000000000001</v>
      </c>
      <c r="E225" s="460">
        <f t="shared" si="24"/>
        <v>-0.21940000000000004</v>
      </c>
      <c r="F225" s="449">
        <f t="shared" si="25"/>
        <v>-0.17259282567652615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646</v>
      </c>
      <c r="C226" s="463">
        <f>C224*C225</f>
        <v>55.932800000000007</v>
      </c>
      <c r="D226" s="463">
        <f>LN_IG3*LN_IG4</f>
        <v>59.952600000000004</v>
      </c>
      <c r="E226" s="463">
        <f t="shared" si="24"/>
        <v>4.0197999999999965</v>
      </c>
      <c r="F226" s="449">
        <f t="shared" si="25"/>
        <v>7.1868384919045639E-2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647</v>
      </c>
      <c r="C227" s="465">
        <f>IF(C226=0,0,C222/C226)</f>
        <v>6753.3182676354472</v>
      </c>
      <c r="D227" s="465">
        <f>IF(LN_IG5=0,0,LN_IG2/LN_IG5)</f>
        <v>6136.1308767259461</v>
      </c>
      <c r="E227" s="465">
        <f t="shared" si="24"/>
        <v>-617.18739090950112</v>
      </c>
      <c r="F227" s="449">
        <f t="shared" si="25"/>
        <v>-9.139024201884656E-2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129</v>
      </c>
      <c r="D228" s="456">
        <v>174</v>
      </c>
      <c r="E228" s="456">
        <f t="shared" si="24"/>
        <v>45</v>
      </c>
      <c r="F228" s="449">
        <f t="shared" si="25"/>
        <v>0.34883720930232559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648</v>
      </c>
      <c r="C229" s="465">
        <f>IF(C228=0,0,C222/C228)</f>
        <v>2928.1550387596899</v>
      </c>
      <c r="D229" s="465">
        <f>IF(LN_IG6=0,0,LN_IG2/LN_IG6)</f>
        <v>2114.2356321839079</v>
      </c>
      <c r="E229" s="465">
        <f t="shared" si="24"/>
        <v>-813.91940657578198</v>
      </c>
      <c r="F229" s="449">
        <f t="shared" si="25"/>
        <v>-0.27796322114164507</v>
      </c>
      <c r="Q229" s="421"/>
      <c r="U229" s="462"/>
    </row>
    <row r="230" spans="1:21" ht="15.75" customHeight="1" x14ac:dyDescent="0.2">
      <c r="A230" s="451">
        <v>10</v>
      </c>
      <c r="B230" s="447" t="s">
        <v>649</v>
      </c>
      <c r="C230" s="466">
        <f>IF(C224=0,0,C228/C224)</f>
        <v>2.9318181818181817</v>
      </c>
      <c r="D230" s="466">
        <f>IF(LN_IG3=0,0,LN_IG6/LN_IG3)</f>
        <v>3.0526315789473686</v>
      </c>
      <c r="E230" s="466">
        <f t="shared" si="24"/>
        <v>0.12081339712918693</v>
      </c>
      <c r="F230" s="449">
        <f t="shared" si="25"/>
        <v>4.1207670338637405E-2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711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651</v>
      </c>
      <c r="C233" s="448">
        <v>2759727</v>
      </c>
      <c r="D233" s="448">
        <v>3144401</v>
      </c>
      <c r="E233" s="448">
        <f>D233-C233</f>
        <v>384674</v>
      </c>
      <c r="F233" s="449">
        <f>IF(C233=0,0,E233/C233)</f>
        <v>0.13938842501450324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652</v>
      </c>
      <c r="C234" s="448">
        <v>373436</v>
      </c>
      <c r="D234" s="448">
        <v>293636</v>
      </c>
      <c r="E234" s="448">
        <f>D234-C234</f>
        <v>-79800</v>
      </c>
      <c r="F234" s="449">
        <f>IF(C234=0,0,E234/C234)</f>
        <v>-0.21369123491039965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712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658</v>
      </c>
      <c r="C237" s="448">
        <f>C221+C233</f>
        <v>4428890</v>
      </c>
      <c r="D237" s="448">
        <f>LN_IG1+LN_IG9</f>
        <v>4944741</v>
      </c>
      <c r="E237" s="448">
        <f>D237-C237</f>
        <v>515851</v>
      </c>
      <c r="F237" s="449">
        <f>IF(C237=0,0,E237/C237)</f>
        <v>0.11647410524984815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659</v>
      </c>
      <c r="C238" s="448">
        <f>C222+C234</f>
        <v>751168</v>
      </c>
      <c r="D238" s="448">
        <f>LN_IG2+LN_IG10</f>
        <v>661513</v>
      </c>
      <c r="E238" s="448">
        <f>D238-C238</f>
        <v>-89655</v>
      </c>
      <c r="F238" s="449">
        <f>IF(C238=0,0,E238/C238)</f>
        <v>-0.11935412584135639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660</v>
      </c>
      <c r="C239" s="448">
        <f>C237-C238</f>
        <v>3677722</v>
      </c>
      <c r="D239" s="448">
        <f>LN_IG13-LN_IG14</f>
        <v>4283228</v>
      </c>
      <c r="E239" s="448">
        <f>D239-C239</f>
        <v>605506</v>
      </c>
      <c r="F239" s="449">
        <f>IF(C239=0,0,E239/C239)</f>
        <v>0.16464159063681269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713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714</v>
      </c>
      <c r="C243" s="448">
        <v>12173148</v>
      </c>
      <c r="D243" s="448">
        <v>12557059</v>
      </c>
      <c r="E243" s="441">
        <f>D243-C243</f>
        <v>383911</v>
      </c>
      <c r="F243" s="503">
        <f>IF(C243=0,0,E243/C243)</f>
        <v>3.1537528336959345E-2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715</v>
      </c>
      <c r="C244" s="448">
        <v>342279038</v>
      </c>
      <c r="D244" s="448">
        <v>345860614</v>
      </c>
      <c r="E244" s="441">
        <f>D244-C244</f>
        <v>3581576</v>
      </c>
      <c r="F244" s="503">
        <f>IF(C244=0,0,E244/C244)</f>
        <v>1.0463906936655583E-2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716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717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718</v>
      </c>
      <c r="C248" s="441">
        <v>8529846</v>
      </c>
      <c r="D248" s="441">
        <v>8559951</v>
      </c>
      <c r="E248" s="441">
        <f>D248-C248</f>
        <v>30105</v>
      </c>
      <c r="F248" s="449">
        <f>IF(C248=0,0,E248/C248)</f>
        <v>3.529372042590218E-3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719</v>
      </c>
      <c r="C249" s="441">
        <v>11094963</v>
      </c>
      <c r="D249" s="441">
        <v>13908964</v>
      </c>
      <c r="E249" s="441">
        <f>D249-C249</f>
        <v>2814001</v>
      </c>
      <c r="F249" s="449">
        <f>IF(C249=0,0,E249/C249)</f>
        <v>0.25362869619303824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720</v>
      </c>
      <c r="C250" s="441">
        <f>C248+C249</f>
        <v>19624809</v>
      </c>
      <c r="D250" s="441">
        <f>LN_IH4+LN_IH5</f>
        <v>22468915</v>
      </c>
      <c r="E250" s="441">
        <f>D250-C250</f>
        <v>2844106</v>
      </c>
      <c r="F250" s="449">
        <f>IF(C250=0,0,E250/C250)</f>
        <v>0.14492400919672646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721</v>
      </c>
      <c r="C251" s="441">
        <f>C250*C313</f>
        <v>5687259.5927899508</v>
      </c>
      <c r="D251" s="441">
        <f>LN_IH6*LN_III10</f>
        <v>6344709.0102750305</v>
      </c>
      <c r="E251" s="441">
        <f>D251-C251</f>
        <v>657449.41748507973</v>
      </c>
      <c r="F251" s="449">
        <f>IF(C251=0,0,E251/C251)</f>
        <v>0.11560038833440349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722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658</v>
      </c>
      <c r="C254" s="441">
        <f>C188+C203</f>
        <v>175646641</v>
      </c>
      <c r="D254" s="441">
        <f>LN_IF23</f>
        <v>196428837</v>
      </c>
      <c r="E254" s="441">
        <f>D254-C254</f>
        <v>20782196</v>
      </c>
      <c r="F254" s="449">
        <f>IF(C254=0,0,E254/C254)</f>
        <v>0.11831820911394486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659</v>
      </c>
      <c r="C255" s="441">
        <f>C189+C204</f>
        <v>29640372</v>
      </c>
      <c r="D255" s="441">
        <f>LN_IF24</f>
        <v>31692766</v>
      </c>
      <c r="E255" s="441">
        <f>D255-C255</f>
        <v>2052394</v>
      </c>
      <c r="F255" s="449">
        <f>IF(C255=0,0,E255/C255)</f>
        <v>6.9243193034149497E-2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723</v>
      </c>
      <c r="C256" s="441">
        <f>C254*C313</f>
        <v>50902306.563522868</v>
      </c>
      <c r="D256" s="441">
        <f>LN_IH8*LN_III10</f>
        <v>55467022.417047963</v>
      </c>
      <c r="E256" s="441">
        <f>D256-C256</f>
        <v>4564715.8535250947</v>
      </c>
      <c r="F256" s="449">
        <f>IF(C256=0,0,E256/C256)</f>
        <v>8.9676011986384488E-2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724</v>
      </c>
      <c r="C257" s="441">
        <f>C256-C255</f>
        <v>21261934.563522868</v>
      </c>
      <c r="D257" s="441">
        <f>LN_IH10-LN_IH9</f>
        <v>23774256.417047963</v>
      </c>
      <c r="E257" s="441">
        <f>D257-C257</f>
        <v>2512321.8535250947</v>
      </c>
      <c r="F257" s="449">
        <f>IF(C257=0,0,E257/C257)</f>
        <v>0.11816054865652971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725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726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574805058</v>
      </c>
      <c r="D261" s="448">
        <f>LN_IA1+LN_IB1+LN_IF1+LN_IG1</f>
        <v>579045370</v>
      </c>
      <c r="E261" s="448">
        <f t="shared" ref="E261:E274" si="26">D261-C261</f>
        <v>4240312</v>
      </c>
      <c r="F261" s="503">
        <f t="shared" ref="F261:F274" si="27">IF(C261=0,0,E261/C261)</f>
        <v>7.3769566585824998E-3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152802438</v>
      </c>
      <c r="D262" s="448">
        <f>+LN_IA2+LN_IB2+LN_IF2+LN_IG2</f>
        <v>160594164</v>
      </c>
      <c r="E262" s="448">
        <f t="shared" si="26"/>
        <v>7791726</v>
      </c>
      <c r="F262" s="503">
        <f t="shared" si="27"/>
        <v>5.0992157598951399E-2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727</v>
      </c>
      <c r="C263" s="453">
        <f>IF(C261=0,0,C262/C261)</f>
        <v>0.26583349584930061</v>
      </c>
      <c r="D263" s="453">
        <f>IF(LN_IIA1=0,0,LN_IIA2/LN_IIA1)</f>
        <v>0.27734297227866617</v>
      </c>
      <c r="E263" s="454">
        <f t="shared" si="26"/>
        <v>1.1509476429365562E-2</v>
      </c>
      <c r="F263" s="458">
        <f t="shared" si="27"/>
        <v>4.3295809629235793E-2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15162</v>
      </c>
      <c r="D264" s="456">
        <f>LN_IA4+LN_IB4+LN_IF4+LN_IG3</f>
        <v>14296</v>
      </c>
      <c r="E264" s="456">
        <f t="shared" si="26"/>
        <v>-866</v>
      </c>
      <c r="F264" s="503">
        <f t="shared" si="27"/>
        <v>-5.7116475399023876E-2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728</v>
      </c>
      <c r="C265" s="525">
        <f>IF(C264=0,0,C266/C264)</f>
        <v>1.2225429494789604</v>
      </c>
      <c r="D265" s="525">
        <f>IF(LN_IIA4=0,0,LN_IIA6/LN_IIA4)</f>
        <v>1.264778861919418</v>
      </c>
      <c r="E265" s="525">
        <f t="shared" si="26"/>
        <v>4.2235912440457657E-2</v>
      </c>
      <c r="F265" s="503">
        <f t="shared" si="27"/>
        <v>3.4547589889139127E-2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729</v>
      </c>
      <c r="C266" s="463">
        <f>C20+C47+C193+C226</f>
        <v>18536.196199999998</v>
      </c>
      <c r="D266" s="463">
        <f>LN_IA6+LN_IB6+LN_IF6+LN_IG5</f>
        <v>18081.278610000001</v>
      </c>
      <c r="E266" s="463">
        <f t="shared" si="26"/>
        <v>-454.91758999999729</v>
      </c>
      <c r="F266" s="503">
        <f t="shared" si="27"/>
        <v>-2.4542122077883342E-2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641716420</v>
      </c>
      <c r="D267" s="448">
        <f>LN_IA11+LN_IB13+LN_IF14+LN_IG9</f>
        <v>693180237</v>
      </c>
      <c r="E267" s="448">
        <f t="shared" si="26"/>
        <v>51463817</v>
      </c>
      <c r="F267" s="503">
        <f t="shared" si="27"/>
        <v>8.0197132870622204E-2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654</v>
      </c>
      <c r="C268" s="453">
        <f>IF(C261=0,0,C267/C261)</f>
        <v>1.1164070515190212</v>
      </c>
      <c r="D268" s="453">
        <f>IF(LN_IIA1=0,0,LN_IIA7/LN_IIA1)</f>
        <v>1.1971086773390487</v>
      </c>
      <c r="E268" s="454">
        <f t="shared" si="26"/>
        <v>8.0701625820027489E-2</v>
      </c>
      <c r="F268" s="458">
        <f t="shared" si="27"/>
        <v>7.2286918745472023E-2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198787599</v>
      </c>
      <c r="D269" s="448">
        <f>LN_IA12+LN_IB14+LN_IF15+LN_IG10</f>
        <v>197568804</v>
      </c>
      <c r="E269" s="448">
        <f t="shared" si="26"/>
        <v>-1218795</v>
      </c>
      <c r="F269" s="503">
        <f t="shared" si="27"/>
        <v>-6.1311420135418005E-3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653</v>
      </c>
      <c r="C270" s="453">
        <f>IF(C267=0,0,C269/C267)</f>
        <v>0.3097748363677526</v>
      </c>
      <c r="D270" s="453">
        <f>IF(LN_IIA7=0,0,LN_IIA9/LN_IIA7)</f>
        <v>0.2850179411563345</v>
      </c>
      <c r="E270" s="454">
        <f t="shared" si="26"/>
        <v>-2.4756895211418106E-2</v>
      </c>
      <c r="F270" s="458">
        <f t="shared" si="27"/>
        <v>-7.9919000205774249E-2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730</v>
      </c>
      <c r="C271" s="441">
        <f>C261+C267</f>
        <v>1216521478</v>
      </c>
      <c r="D271" s="441">
        <f>LN_IIA1+LN_IIA7</f>
        <v>1272225607</v>
      </c>
      <c r="E271" s="441">
        <f t="shared" si="26"/>
        <v>55704129</v>
      </c>
      <c r="F271" s="503">
        <f t="shared" si="27"/>
        <v>4.5789679843202903E-2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731</v>
      </c>
      <c r="C272" s="441">
        <f>C262+C269</f>
        <v>351590037</v>
      </c>
      <c r="D272" s="441">
        <f>LN_IIA2+LN_IIA9</f>
        <v>358162968</v>
      </c>
      <c r="E272" s="441">
        <f t="shared" si="26"/>
        <v>6572931</v>
      </c>
      <c r="F272" s="503">
        <f t="shared" si="27"/>
        <v>1.8694872744644923E-2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732</v>
      </c>
      <c r="C273" s="453">
        <f>IF(C271=0,0,C272/C271)</f>
        <v>0.28901260138705087</v>
      </c>
      <c r="D273" s="453">
        <f>IF(LN_IIA11=0,0,LN_IIA12/LN_IIA11)</f>
        <v>0.28152472802726725</v>
      </c>
      <c r="E273" s="454">
        <f t="shared" si="26"/>
        <v>-7.4878733597836256E-3</v>
      </c>
      <c r="F273" s="458">
        <f t="shared" si="27"/>
        <v>-2.590846670299933E-2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62546</v>
      </c>
      <c r="D274" s="508">
        <f>LN_IA8+LN_IB10+LN_IF11+LN_IG6</f>
        <v>59299</v>
      </c>
      <c r="E274" s="528">
        <f t="shared" si="26"/>
        <v>-3247</v>
      </c>
      <c r="F274" s="458">
        <f t="shared" si="27"/>
        <v>-5.1913791449493173E-2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733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734</v>
      </c>
      <c r="C277" s="448">
        <f>C15+C188+C221</f>
        <v>418867855</v>
      </c>
      <c r="D277" s="448">
        <f>LN_IA1+LN_IF1+LN_IG1</f>
        <v>425074052</v>
      </c>
      <c r="E277" s="448">
        <f t="shared" ref="E277:E291" si="28">D277-C277</f>
        <v>6206197</v>
      </c>
      <c r="F277" s="503">
        <f t="shared" ref="F277:F291" si="29">IF(C277=0,0,E277/C277)</f>
        <v>1.4816598900863375E-2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735</v>
      </c>
      <c r="C278" s="448">
        <f>C16+C189+C222</f>
        <v>83236008</v>
      </c>
      <c r="D278" s="448">
        <f>LN_IA2+LN_IF2+LN_IG2</f>
        <v>91358368</v>
      </c>
      <c r="E278" s="448">
        <f t="shared" si="28"/>
        <v>8122360</v>
      </c>
      <c r="F278" s="503">
        <f t="shared" si="29"/>
        <v>9.7582286743016319E-2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736</v>
      </c>
      <c r="C279" s="453">
        <f>IF(C277=0,0,C278/C277)</f>
        <v>0.1987166286608458</v>
      </c>
      <c r="D279" s="453">
        <f>IF(D277=0,0,LN_IIB2/D277)</f>
        <v>0.21492341762606579</v>
      </c>
      <c r="E279" s="454">
        <f t="shared" si="28"/>
        <v>1.6206788965219987E-2</v>
      </c>
      <c r="F279" s="458">
        <f t="shared" si="29"/>
        <v>8.1557286244426389E-2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737</v>
      </c>
      <c r="C280" s="456">
        <f>C18+C191+C224</f>
        <v>10637</v>
      </c>
      <c r="D280" s="456">
        <f>LN_IA4+LN_IF4+LN_IG3</f>
        <v>10080</v>
      </c>
      <c r="E280" s="456">
        <f t="shared" si="28"/>
        <v>-557</v>
      </c>
      <c r="F280" s="503">
        <f t="shared" si="29"/>
        <v>-5.2364388455391556E-2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738</v>
      </c>
      <c r="C281" s="525">
        <f>IF(C280=0,0,C282/C280)</f>
        <v>1.2622512174485288</v>
      </c>
      <c r="D281" s="525">
        <f>IF(LN_IIB4=0,0,LN_IIB6/LN_IIB4)</f>
        <v>1.2965113144841272</v>
      </c>
      <c r="E281" s="525">
        <f t="shared" si="28"/>
        <v>3.4260097035598402E-2</v>
      </c>
      <c r="F281" s="503">
        <f t="shared" si="29"/>
        <v>2.7142059014884996E-2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739</v>
      </c>
      <c r="C282" s="463">
        <f>C20+C193+C226</f>
        <v>13426.566200000001</v>
      </c>
      <c r="D282" s="463">
        <f>LN_IA6+LN_IF6+LN_IG5</f>
        <v>13068.834050000001</v>
      </c>
      <c r="E282" s="463">
        <f t="shared" si="28"/>
        <v>-357.73214999999982</v>
      </c>
      <c r="F282" s="503">
        <f t="shared" si="29"/>
        <v>-2.664360676224125E-2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740</v>
      </c>
      <c r="C283" s="448">
        <f>C27+C203+C233</f>
        <v>346637727</v>
      </c>
      <c r="D283" s="448">
        <f>LN_IA11+LN_IF14+LN_IG9</f>
        <v>376931758</v>
      </c>
      <c r="E283" s="448">
        <f t="shared" si="28"/>
        <v>30294031</v>
      </c>
      <c r="F283" s="503">
        <f t="shared" si="29"/>
        <v>8.7393923512543686E-2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741</v>
      </c>
      <c r="C284" s="453">
        <f>IF(C277=0,0,C283/C277)</f>
        <v>0.82755867479971701</v>
      </c>
      <c r="D284" s="453">
        <f>IF(D277=0,0,LN_IIB7/D277)</f>
        <v>0.88674374788701527</v>
      </c>
      <c r="E284" s="454">
        <f t="shared" si="28"/>
        <v>5.9185073087298257E-2</v>
      </c>
      <c r="F284" s="458">
        <f t="shared" si="29"/>
        <v>7.151767589364226E-2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742</v>
      </c>
      <c r="C285" s="448">
        <f>C28+C204+C234</f>
        <v>73761116</v>
      </c>
      <c r="D285" s="448">
        <f>LN_IA12+LN_IF15+LN_IG10</f>
        <v>72352199</v>
      </c>
      <c r="E285" s="448">
        <f t="shared" si="28"/>
        <v>-1408917</v>
      </c>
      <c r="F285" s="503">
        <f t="shared" si="29"/>
        <v>-1.9101080303611458E-2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743</v>
      </c>
      <c r="C286" s="453">
        <f>IF(C283=0,0,C285/C283)</f>
        <v>0.21279021368611734</v>
      </c>
      <c r="D286" s="453">
        <f>IF(LN_IIB7=0,0,LN_IIB9/LN_IIB7)</f>
        <v>0.19195039278170878</v>
      </c>
      <c r="E286" s="454">
        <f t="shared" si="28"/>
        <v>-2.0839820904408557E-2</v>
      </c>
      <c r="F286" s="458">
        <f t="shared" si="29"/>
        <v>-9.7935993123955262E-2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744</v>
      </c>
      <c r="C287" s="441">
        <f>C277+C283</f>
        <v>765505582</v>
      </c>
      <c r="D287" s="441">
        <f>D277+LN_IIB7</f>
        <v>802005810</v>
      </c>
      <c r="E287" s="441">
        <f t="shared" si="28"/>
        <v>36500228</v>
      </c>
      <c r="F287" s="503">
        <f t="shared" si="29"/>
        <v>4.7681204237123381E-2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745</v>
      </c>
      <c r="C288" s="441">
        <f>C278+C285</f>
        <v>156997124</v>
      </c>
      <c r="D288" s="441">
        <f>LN_IIB2+LN_IIB9</f>
        <v>163710567</v>
      </c>
      <c r="E288" s="441">
        <f t="shared" si="28"/>
        <v>6713443</v>
      </c>
      <c r="F288" s="503">
        <f t="shared" si="29"/>
        <v>4.2761566766025598E-2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746</v>
      </c>
      <c r="C289" s="453">
        <f>IF(C287=0,0,C288/C287)</f>
        <v>0.20508945681339263</v>
      </c>
      <c r="D289" s="453">
        <f>IF(LN_IIB11=0,0,LN_IIB12/LN_IIB11)</f>
        <v>0.20412641025630476</v>
      </c>
      <c r="E289" s="454">
        <f t="shared" si="28"/>
        <v>-9.6304655708787101E-4</v>
      </c>
      <c r="F289" s="458">
        <f t="shared" si="29"/>
        <v>-4.6957389816685239E-3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47427</v>
      </c>
      <c r="D290" s="508">
        <f>LN_IA8+LN_IF11+LN_IG6</f>
        <v>45384</v>
      </c>
      <c r="E290" s="528">
        <f t="shared" si="28"/>
        <v>-2043</v>
      </c>
      <c r="F290" s="458">
        <f t="shared" si="29"/>
        <v>-4.3076728445821999E-2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747</v>
      </c>
      <c r="C291" s="448">
        <f>C287-C288</f>
        <v>608508458</v>
      </c>
      <c r="D291" s="516">
        <f>LN_IIB11-LN_IIB12</f>
        <v>638295243</v>
      </c>
      <c r="E291" s="441">
        <f t="shared" si="28"/>
        <v>29786785</v>
      </c>
      <c r="F291" s="503">
        <f t="shared" si="29"/>
        <v>4.8950486403921113E-2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649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640</v>
      </c>
      <c r="C294" s="466">
        <f>IF(C18=0,0,C22/C18)</f>
        <v>4.6044740024183799</v>
      </c>
      <c r="D294" s="466">
        <f>IF(LN_IA4=0,0,LN_IA8/LN_IA4)</f>
        <v>4.5858247422680414</v>
      </c>
      <c r="E294" s="466">
        <f t="shared" ref="E294:E300" si="30">D294-C294</f>
        <v>-1.864926015033852E-2</v>
      </c>
      <c r="F294" s="503">
        <f t="shared" ref="F294:F300" si="31">IF(C294=0,0,E294/C294)</f>
        <v>-4.0502476809606228E-3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661</v>
      </c>
      <c r="C295" s="466">
        <f>IF(C45=0,0,C51/C45)</f>
        <v>3.3412154696132599</v>
      </c>
      <c r="D295" s="466">
        <f>IF(LN_IB4=0,0,(LN_IB10)/(LN_IB4))</f>
        <v>3.3005218216318783</v>
      </c>
      <c r="E295" s="466">
        <f t="shared" si="30"/>
        <v>-4.0693647981381531E-2</v>
      </c>
      <c r="F295" s="503">
        <f t="shared" si="31"/>
        <v>-1.2179294736143357E-2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676</v>
      </c>
      <c r="C296" s="466">
        <f>IF(C86=0,0,C93/C86)</f>
        <v>3.75</v>
      </c>
      <c r="D296" s="466">
        <f>IF(LN_IC4=0,0,LN_IC11/LN_IC4)</f>
        <v>2.2158273381294964</v>
      </c>
      <c r="E296" s="466">
        <f t="shared" si="30"/>
        <v>-1.5341726618705036</v>
      </c>
      <c r="F296" s="503">
        <f t="shared" si="31"/>
        <v>-0.40911270983213427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3.9685751183814033</v>
      </c>
      <c r="D297" s="466">
        <f>IF(LN_ID4=0,0,LN_ID11/LN_ID4)</f>
        <v>4.2527618205921343</v>
      </c>
      <c r="E297" s="466">
        <f t="shared" si="30"/>
        <v>0.28418670221073095</v>
      </c>
      <c r="F297" s="503">
        <f t="shared" si="31"/>
        <v>7.1609253632229961E-2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748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2.9318181818181817</v>
      </c>
      <c r="D299" s="466">
        <f>IF(LN_IG3=0,0,LN_IG6/LN_IG3)</f>
        <v>3.0526315789473686</v>
      </c>
      <c r="E299" s="466">
        <f t="shared" si="30"/>
        <v>0.12081339712918693</v>
      </c>
      <c r="F299" s="503">
        <f t="shared" si="31"/>
        <v>4.1207670338637405E-2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749</v>
      </c>
      <c r="C300" s="466">
        <f>IF(C264=0,0,C274/C264)</f>
        <v>4.1251813744888537</v>
      </c>
      <c r="D300" s="466">
        <f>IF(LN_IIA4=0,0,LN_IIA14/LN_IIA4)</f>
        <v>4.1479434806939004</v>
      </c>
      <c r="E300" s="466">
        <f t="shared" si="30"/>
        <v>2.2762106205046706E-2</v>
      </c>
      <c r="F300" s="503">
        <f t="shared" si="31"/>
        <v>5.5178437355053586E-3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750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744</v>
      </c>
      <c r="C304" s="441">
        <f>C35+C66+C214+C221+C233</f>
        <v>1216521478</v>
      </c>
      <c r="D304" s="441">
        <f>LN_IIA11</f>
        <v>1272225607</v>
      </c>
      <c r="E304" s="441">
        <f t="shared" ref="E304:E316" si="32">D304-C304</f>
        <v>55704129</v>
      </c>
      <c r="F304" s="449">
        <f>IF(C304=0,0,E304/C304)</f>
        <v>4.5789679843202903E-2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747</v>
      </c>
      <c r="C305" s="441">
        <f>C291</f>
        <v>608508458</v>
      </c>
      <c r="D305" s="441">
        <f>LN_IIB14</f>
        <v>638295243</v>
      </c>
      <c r="E305" s="441">
        <f t="shared" si="32"/>
        <v>29786785</v>
      </c>
      <c r="F305" s="449">
        <f>IF(C305=0,0,E305/C305)</f>
        <v>4.8950486403921113E-2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751</v>
      </c>
      <c r="C306" s="441">
        <f>C250</f>
        <v>19624809</v>
      </c>
      <c r="D306" s="441">
        <f>LN_IH6</f>
        <v>22468915</v>
      </c>
      <c r="E306" s="441">
        <f t="shared" si="32"/>
        <v>2844106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752</v>
      </c>
      <c r="C307" s="441">
        <f>C73-C74</f>
        <v>218498518</v>
      </c>
      <c r="D307" s="441">
        <f>LN_IB32-LN_IB33</f>
        <v>233646550</v>
      </c>
      <c r="E307" s="441">
        <f t="shared" si="32"/>
        <v>15148032</v>
      </c>
      <c r="F307" s="449">
        <f t="shared" ref="F307:F316" si="33">IF(C307=0,0,E307/C307)</f>
        <v>6.932784779803404E-2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753</v>
      </c>
      <c r="C308" s="441">
        <v>17342392</v>
      </c>
      <c r="D308" s="441">
        <v>18567411</v>
      </c>
      <c r="E308" s="441">
        <f t="shared" si="32"/>
        <v>1225019</v>
      </c>
      <c r="F308" s="449">
        <f t="shared" si="33"/>
        <v>7.0637256959708905E-2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754</v>
      </c>
      <c r="C309" s="441">
        <f>C305+C307+C308+C306</f>
        <v>863974177</v>
      </c>
      <c r="D309" s="441">
        <f>LN_III2+LN_III3+LN_III4+LN_III5</f>
        <v>912978119</v>
      </c>
      <c r="E309" s="441">
        <f t="shared" si="32"/>
        <v>49003942</v>
      </c>
      <c r="F309" s="449">
        <f t="shared" si="33"/>
        <v>5.6719220671800241E-2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755</v>
      </c>
      <c r="C310" s="441">
        <f>C304-C309</f>
        <v>352547301</v>
      </c>
      <c r="D310" s="441">
        <f>LN_III1-LN_III6</f>
        <v>359247488</v>
      </c>
      <c r="E310" s="441">
        <f t="shared" si="32"/>
        <v>6700187</v>
      </c>
      <c r="F310" s="449">
        <f t="shared" si="33"/>
        <v>1.9005072456929686E-2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756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757</v>
      </c>
      <c r="C312" s="441">
        <f>C310+C311</f>
        <v>352547301</v>
      </c>
      <c r="D312" s="441">
        <f>LN_III7+LN_III8</f>
        <v>359247488</v>
      </c>
      <c r="E312" s="441">
        <f t="shared" si="32"/>
        <v>6700187</v>
      </c>
      <c r="F312" s="449">
        <f t="shared" si="33"/>
        <v>1.9005072456929686E-2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758</v>
      </c>
      <c r="C313" s="532">
        <f>IF(C304=0,0,C312/C304)</f>
        <v>0.28979948761743113</v>
      </c>
      <c r="D313" s="532">
        <f>IF(LN_III1=0,0,LN_III9/LN_III1)</f>
        <v>0.28237718689465113</v>
      </c>
      <c r="E313" s="532">
        <f t="shared" si="32"/>
        <v>-7.4223007227799953E-3</v>
      </c>
      <c r="F313" s="449">
        <f t="shared" si="33"/>
        <v>-2.5611849019478914E-2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721</v>
      </c>
      <c r="C314" s="441">
        <f>C306*C313</f>
        <v>5687259.5927899508</v>
      </c>
      <c r="D314" s="441">
        <f>D313*LN_III5</f>
        <v>6344709.0102750305</v>
      </c>
      <c r="E314" s="441">
        <f t="shared" si="32"/>
        <v>657449.41748507973</v>
      </c>
      <c r="F314" s="449">
        <f t="shared" si="33"/>
        <v>0.11560038833440349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724</v>
      </c>
      <c r="C315" s="441">
        <f>(C214*C313)-C215</f>
        <v>21261934.563522868</v>
      </c>
      <c r="D315" s="441">
        <f>D313*LN_IH8-LN_IH9</f>
        <v>23774256.417047963</v>
      </c>
      <c r="E315" s="441">
        <f t="shared" si="32"/>
        <v>2512321.8535250947</v>
      </c>
      <c r="F315" s="449">
        <f t="shared" si="33"/>
        <v>0.11816054865652971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759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760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761</v>
      </c>
      <c r="C318" s="441">
        <f>C314+C315+C316</f>
        <v>26949194.15631282</v>
      </c>
      <c r="D318" s="441">
        <f>D314+D315+D316</f>
        <v>30118965.427322991</v>
      </c>
      <c r="E318" s="441">
        <f>D318-C318</f>
        <v>3169771.2710101716</v>
      </c>
      <c r="F318" s="449">
        <f>IF(C318=0,0,E318/C318)</f>
        <v>0.11762026176458625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762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13399672.836422546</v>
      </c>
      <c r="D322" s="441">
        <f>LN_ID22</f>
        <v>10411030.682808042</v>
      </c>
      <c r="E322" s="441">
        <f>LN_IV2-C322</f>
        <v>-2988642.1536145043</v>
      </c>
      <c r="F322" s="449">
        <f>IF(C322=0,0,E322/C322)</f>
        <v>-0.2230384420648597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748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763</v>
      </c>
      <c r="C324" s="441">
        <f>C92+C106</f>
        <v>-2996108.5501056942</v>
      </c>
      <c r="D324" s="441">
        <f>LN_IC10+LN_IC22</f>
        <v>1164862.2939924591</v>
      </c>
      <c r="E324" s="441">
        <f>LN_IV1-C324</f>
        <v>4160970.8440981535</v>
      </c>
      <c r="F324" s="449">
        <f>IF(C324=0,0,E324/C324)</f>
        <v>-1.3887917525389279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764</v>
      </c>
      <c r="C325" s="516">
        <f>C324+C322+C323</f>
        <v>10403564.286316851</v>
      </c>
      <c r="D325" s="516">
        <f>LN_IV1+LN_IV2+LN_IV3</f>
        <v>11575892.976800501</v>
      </c>
      <c r="E325" s="441">
        <f>LN_IV4-C325</f>
        <v>1172328.6904836502</v>
      </c>
      <c r="F325" s="449">
        <f>IF(C325=0,0,E325/C325)</f>
        <v>0.11268529306110406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765</v>
      </c>
      <c r="B327" s="530" t="s">
        <v>766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767</v>
      </c>
      <c r="C329" s="518">
        <v>23800791</v>
      </c>
      <c r="D329" s="518">
        <v>25158869</v>
      </c>
      <c r="E329" s="518">
        <f t="shared" ref="E329:E335" si="34">D329-C329</f>
        <v>1358078</v>
      </c>
      <c r="F329" s="542">
        <f t="shared" ref="F329:F335" si="35">IF(C329=0,0,E329/C329)</f>
        <v>5.7060204427659571E-2</v>
      </c>
    </row>
    <row r="330" spans="1:22" s="420" customFormat="1" ht="15.75" customHeight="1" x14ac:dyDescent="0.2">
      <c r="A330" s="451">
        <v>2</v>
      </c>
      <c r="B330" s="447" t="s">
        <v>768</v>
      </c>
      <c r="C330" s="516">
        <v>-4419016</v>
      </c>
      <c r="D330" s="516">
        <v>-4152362</v>
      </c>
      <c r="E330" s="518">
        <f t="shared" si="34"/>
        <v>266654</v>
      </c>
      <c r="F330" s="543">
        <f t="shared" si="35"/>
        <v>-6.0342392967122092E-2</v>
      </c>
    </row>
    <row r="331" spans="1:22" s="420" customFormat="1" ht="15.75" customHeight="1" x14ac:dyDescent="0.2">
      <c r="A331" s="427">
        <v>3</v>
      </c>
      <c r="B331" s="447" t="s">
        <v>769</v>
      </c>
      <c r="C331" s="516">
        <v>347171019</v>
      </c>
      <c r="D331" s="516">
        <v>354010685</v>
      </c>
      <c r="E331" s="518">
        <f t="shared" si="34"/>
        <v>6839666</v>
      </c>
      <c r="F331" s="542">
        <f t="shared" si="35"/>
        <v>1.970114331461521E-2</v>
      </c>
    </row>
    <row r="332" spans="1:22" s="420" customFormat="1" ht="27" customHeight="1" x14ac:dyDescent="0.2">
      <c r="A332" s="451">
        <v>4</v>
      </c>
      <c r="B332" s="447" t="s">
        <v>770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771</v>
      </c>
      <c r="C333" s="516">
        <v>1216521478</v>
      </c>
      <c r="D333" s="516">
        <v>1272225607</v>
      </c>
      <c r="E333" s="518">
        <f t="shared" si="34"/>
        <v>55704129</v>
      </c>
      <c r="F333" s="542">
        <f t="shared" si="35"/>
        <v>4.5789679843202903E-2</v>
      </c>
    </row>
    <row r="334" spans="1:22" s="420" customFormat="1" ht="15.75" customHeight="1" x14ac:dyDescent="0.2">
      <c r="A334" s="427">
        <v>6</v>
      </c>
      <c r="B334" s="447" t="s">
        <v>772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773</v>
      </c>
      <c r="C335" s="516">
        <v>19624809</v>
      </c>
      <c r="D335" s="516">
        <v>22468915</v>
      </c>
      <c r="E335" s="516">
        <f t="shared" si="34"/>
        <v>2844106</v>
      </c>
      <c r="F335" s="542">
        <f t="shared" si="35"/>
        <v>0.14492400919672646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634</v>
      </c>
      <c r="B3" s="820"/>
      <c r="C3" s="820"/>
      <c r="D3" s="820"/>
      <c r="E3" s="820"/>
    </row>
    <row r="4" spans="1:5" s="428" customFormat="1" ht="15.75" customHeight="1" x14ac:dyDescent="0.25">
      <c r="A4" s="820" t="s">
        <v>774</v>
      </c>
      <c r="B4" s="820"/>
      <c r="C4" s="820"/>
      <c r="D4" s="820"/>
      <c r="E4" s="820"/>
    </row>
    <row r="5" spans="1:5" s="428" customFormat="1" ht="15.75" customHeight="1" x14ac:dyDescent="0.25">
      <c r="A5" s="820" t="s">
        <v>775</v>
      </c>
      <c r="B5" s="820"/>
      <c r="C5" s="820"/>
      <c r="D5" s="820"/>
      <c r="E5" s="820"/>
    </row>
    <row r="6" spans="1:5" s="428" customFormat="1" ht="15.75" customHeight="1" x14ac:dyDescent="0.25">
      <c r="A6" s="820" t="s">
        <v>776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777</v>
      </c>
      <c r="D9" s="573" t="s">
        <v>778</v>
      </c>
      <c r="E9" s="573" t="s">
        <v>779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780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781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661</v>
      </c>
      <c r="C14" s="589">
        <v>155937203</v>
      </c>
      <c r="D14" s="589">
        <v>153971318</v>
      </c>
      <c r="E14" s="590">
        <f t="shared" ref="E14:E22" si="0">D14-C14</f>
        <v>-1965885</v>
      </c>
    </row>
    <row r="15" spans="1:5" s="421" customFormat="1" x14ac:dyDescent="0.2">
      <c r="A15" s="588">
        <v>2</v>
      </c>
      <c r="B15" s="587" t="s">
        <v>640</v>
      </c>
      <c r="C15" s="589">
        <v>345906839</v>
      </c>
      <c r="D15" s="591">
        <v>346094124</v>
      </c>
      <c r="E15" s="590">
        <f t="shared" si="0"/>
        <v>187285</v>
      </c>
    </row>
    <row r="16" spans="1:5" s="421" customFormat="1" x14ac:dyDescent="0.2">
      <c r="A16" s="588">
        <v>3</v>
      </c>
      <c r="B16" s="587" t="s">
        <v>782</v>
      </c>
      <c r="C16" s="589">
        <v>71291853</v>
      </c>
      <c r="D16" s="591">
        <v>77179588</v>
      </c>
      <c r="E16" s="590">
        <f t="shared" si="0"/>
        <v>5887735</v>
      </c>
    </row>
    <row r="17" spans="1:5" s="421" customFormat="1" x14ac:dyDescent="0.2">
      <c r="A17" s="588">
        <v>4</v>
      </c>
      <c r="B17" s="587" t="s">
        <v>115</v>
      </c>
      <c r="C17" s="589">
        <v>71291853</v>
      </c>
      <c r="D17" s="591">
        <v>77179588</v>
      </c>
      <c r="E17" s="590">
        <f t="shared" si="0"/>
        <v>5887735</v>
      </c>
    </row>
    <row r="18" spans="1:5" s="421" customFormat="1" x14ac:dyDescent="0.2">
      <c r="A18" s="588">
        <v>5</v>
      </c>
      <c r="B18" s="587" t="s">
        <v>748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1669163</v>
      </c>
      <c r="D19" s="591">
        <v>1800340</v>
      </c>
      <c r="E19" s="590">
        <f t="shared" si="0"/>
        <v>131177</v>
      </c>
    </row>
    <row r="20" spans="1:5" s="421" customFormat="1" x14ac:dyDescent="0.2">
      <c r="A20" s="588">
        <v>7</v>
      </c>
      <c r="B20" s="587" t="s">
        <v>763</v>
      </c>
      <c r="C20" s="589">
        <v>5822241</v>
      </c>
      <c r="D20" s="591">
        <v>4804078</v>
      </c>
      <c r="E20" s="590">
        <f t="shared" si="0"/>
        <v>-1018163</v>
      </c>
    </row>
    <row r="21" spans="1:5" s="421" customFormat="1" x14ac:dyDescent="0.2">
      <c r="A21" s="588"/>
      <c r="B21" s="592" t="s">
        <v>783</v>
      </c>
      <c r="C21" s="593">
        <f>SUM(C15+C16+C19)</f>
        <v>418867855</v>
      </c>
      <c r="D21" s="593">
        <f>SUM(D15+D16+D19)</f>
        <v>425074052</v>
      </c>
      <c r="E21" s="593">
        <f t="shared" si="0"/>
        <v>6206197</v>
      </c>
    </row>
    <row r="22" spans="1:5" s="421" customFormat="1" x14ac:dyDescent="0.2">
      <c r="A22" s="588"/>
      <c r="B22" s="592" t="s">
        <v>465</v>
      </c>
      <c r="C22" s="593">
        <f>SUM(C14+C21)</f>
        <v>574805058</v>
      </c>
      <c r="D22" s="593">
        <f>SUM(D14+D21)</f>
        <v>579045370</v>
      </c>
      <c r="E22" s="593">
        <f t="shared" si="0"/>
        <v>4240312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784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661</v>
      </c>
      <c r="C25" s="589">
        <v>295078693</v>
      </c>
      <c r="D25" s="589">
        <v>316248479</v>
      </c>
      <c r="E25" s="590">
        <f t="shared" ref="E25:E33" si="1">D25-C25</f>
        <v>21169786</v>
      </c>
    </row>
    <row r="26" spans="1:5" s="421" customFormat="1" x14ac:dyDescent="0.2">
      <c r="A26" s="588">
        <v>2</v>
      </c>
      <c r="B26" s="587" t="s">
        <v>640</v>
      </c>
      <c r="C26" s="589">
        <v>239523212</v>
      </c>
      <c r="D26" s="591">
        <v>254538108</v>
      </c>
      <c r="E26" s="590">
        <f t="shared" si="1"/>
        <v>15014896</v>
      </c>
    </row>
    <row r="27" spans="1:5" s="421" customFormat="1" x14ac:dyDescent="0.2">
      <c r="A27" s="588">
        <v>3</v>
      </c>
      <c r="B27" s="587" t="s">
        <v>782</v>
      </c>
      <c r="C27" s="589">
        <v>104354788</v>
      </c>
      <c r="D27" s="591">
        <v>119249249</v>
      </c>
      <c r="E27" s="590">
        <f t="shared" si="1"/>
        <v>14894461</v>
      </c>
    </row>
    <row r="28" spans="1:5" s="421" customFormat="1" x14ac:dyDescent="0.2">
      <c r="A28" s="588">
        <v>4</v>
      </c>
      <c r="B28" s="587" t="s">
        <v>115</v>
      </c>
      <c r="C28" s="589">
        <v>104354788</v>
      </c>
      <c r="D28" s="591">
        <v>119249249</v>
      </c>
      <c r="E28" s="590">
        <f t="shared" si="1"/>
        <v>14894461</v>
      </c>
    </row>
    <row r="29" spans="1:5" s="421" customFormat="1" x14ac:dyDescent="0.2">
      <c r="A29" s="588">
        <v>5</v>
      </c>
      <c r="B29" s="587" t="s">
        <v>748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2759727</v>
      </c>
      <c r="D30" s="591">
        <v>3144401</v>
      </c>
      <c r="E30" s="590">
        <f t="shared" si="1"/>
        <v>384674</v>
      </c>
    </row>
    <row r="31" spans="1:5" s="421" customFormat="1" x14ac:dyDescent="0.2">
      <c r="A31" s="588">
        <v>7</v>
      </c>
      <c r="B31" s="587" t="s">
        <v>763</v>
      </c>
      <c r="C31" s="590">
        <v>14863650</v>
      </c>
      <c r="D31" s="594">
        <v>14751065</v>
      </c>
      <c r="E31" s="590">
        <f t="shared" si="1"/>
        <v>-112585</v>
      </c>
    </row>
    <row r="32" spans="1:5" s="421" customFormat="1" x14ac:dyDescent="0.2">
      <c r="A32" s="588"/>
      <c r="B32" s="592" t="s">
        <v>785</v>
      </c>
      <c r="C32" s="593">
        <f>SUM(C26+C27+C30)</f>
        <v>346637727</v>
      </c>
      <c r="D32" s="593">
        <f>SUM(D26+D27+D30)</f>
        <v>376931758</v>
      </c>
      <c r="E32" s="593">
        <f t="shared" si="1"/>
        <v>30294031</v>
      </c>
    </row>
    <row r="33" spans="1:5" s="421" customFormat="1" x14ac:dyDescent="0.2">
      <c r="A33" s="588"/>
      <c r="B33" s="592" t="s">
        <v>467</v>
      </c>
      <c r="C33" s="593">
        <f>SUM(C25+C32)</f>
        <v>641716420</v>
      </c>
      <c r="D33" s="593">
        <f>SUM(D25+D32)</f>
        <v>693180237</v>
      </c>
      <c r="E33" s="593">
        <f t="shared" si="1"/>
        <v>51463817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658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786</v>
      </c>
      <c r="C36" s="590">
        <f t="shared" ref="C36:D42" si="2">C14+C25</f>
        <v>451015896</v>
      </c>
      <c r="D36" s="590">
        <f t="shared" si="2"/>
        <v>470219797</v>
      </c>
      <c r="E36" s="590">
        <f t="shared" ref="E36:E44" si="3">D36-C36</f>
        <v>19203901</v>
      </c>
    </row>
    <row r="37" spans="1:5" s="421" customFormat="1" x14ac:dyDescent="0.2">
      <c r="A37" s="588">
        <v>2</v>
      </c>
      <c r="B37" s="587" t="s">
        <v>787</v>
      </c>
      <c r="C37" s="590">
        <f t="shared" si="2"/>
        <v>585430051</v>
      </c>
      <c r="D37" s="590">
        <f t="shared" si="2"/>
        <v>600632232</v>
      </c>
      <c r="E37" s="590">
        <f t="shared" si="3"/>
        <v>15202181</v>
      </c>
    </row>
    <row r="38" spans="1:5" s="421" customFormat="1" x14ac:dyDescent="0.2">
      <c r="A38" s="588">
        <v>3</v>
      </c>
      <c r="B38" s="587" t="s">
        <v>788</v>
      </c>
      <c r="C38" s="590">
        <f t="shared" si="2"/>
        <v>175646641</v>
      </c>
      <c r="D38" s="590">
        <f t="shared" si="2"/>
        <v>196428837</v>
      </c>
      <c r="E38" s="590">
        <f t="shared" si="3"/>
        <v>20782196</v>
      </c>
    </row>
    <row r="39" spans="1:5" s="421" customFormat="1" x14ac:dyDescent="0.2">
      <c r="A39" s="588">
        <v>4</v>
      </c>
      <c r="B39" s="587" t="s">
        <v>789</v>
      </c>
      <c r="C39" s="590">
        <f t="shared" si="2"/>
        <v>175646641</v>
      </c>
      <c r="D39" s="590">
        <f t="shared" si="2"/>
        <v>196428837</v>
      </c>
      <c r="E39" s="590">
        <f t="shared" si="3"/>
        <v>20782196</v>
      </c>
    </row>
    <row r="40" spans="1:5" s="421" customFormat="1" x14ac:dyDescent="0.2">
      <c r="A40" s="588">
        <v>5</v>
      </c>
      <c r="B40" s="587" t="s">
        <v>790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791</v>
      </c>
      <c r="C41" s="590">
        <f t="shared" si="2"/>
        <v>4428890</v>
      </c>
      <c r="D41" s="590">
        <f t="shared" si="2"/>
        <v>4944741</v>
      </c>
      <c r="E41" s="590">
        <f t="shared" si="3"/>
        <v>515851</v>
      </c>
    </row>
    <row r="42" spans="1:5" s="421" customFormat="1" x14ac:dyDescent="0.2">
      <c r="A42" s="588">
        <v>7</v>
      </c>
      <c r="B42" s="587" t="s">
        <v>792</v>
      </c>
      <c r="C42" s="590">
        <f t="shared" si="2"/>
        <v>20685891</v>
      </c>
      <c r="D42" s="590">
        <f t="shared" si="2"/>
        <v>19555143</v>
      </c>
      <c r="E42" s="590">
        <f t="shared" si="3"/>
        <v>-1130748</v>
      </c>
    </row>
    <row r="43" spans="1:5" s="421" customFormat="1" x14ac:dyDescent="0.2">
      <c r="A43" s="588"/>
      <c r="B43" s="592" t="s">
        <v>793</v>
      </c>
      <c r="C43" s="593">
        <f>SUM(C37+C38+C41)</f>
        <v>765505582</v>
      </c>
      <c r="D43" s="593">
        <f>SUM(D37+D38+D41)</f>
        <v>802005810</v>
      </c>
      <c r="E43" s="593">
        <f t="shared" si="3"/>
        <v>36500228</v>
      </c>
    </row>
    <row r="44" spans="1:5" s="421" customFormat="1" x14ac:dyDescent="0.2">
      <c r="A44" s="588"/>
      <c r="B44" s="592" t="s">
        <v>730</v>
      </c>
      <c r="C44" s="593">
        <f>SUM(C36+C43)</f>
        <v>1216521478</v>
      </c>
      <c r="D44" s="593">
        <f>SUM(D36+D43)</f>
        <v>1272225607</v>
      </c>
      <c r="E44" s="593">
        <f t="shared" si="3"/>
        <v>55704129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794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661</v>
      </c>
      <c r="C47" s="589">
        <v>69566430</v>
      </c>
      <c r="D47" s="589">
        <v>69235796</v>
      </c>
      <c r="E47" s="590">
        <f t="shared" ref="E47:E55" si="4">D47-C47</f>
        <v>-330634</v>
      </c>
    </row>
    <row r="48" spans="1:5" s="421" customFormat="1" x14ac:dyDescent="0.2">
      <c r="A48" s="588">
        <v>2</v>
      </c>
      <c r="B48" s="587" t="s">
        <v>640</v>
      </c>
      <c r="C48" s="589">
        <v>72151900</v>
      </c>
      <c r="D48" s="591">
        <v>80217335</v>
      </c>
      <c r="E48" s="590">
        <f t="shared" si="4"/>
        <v>8065435</v>
      </c>
    </row>
    <row r="49" spans="1:5" s="421" customFormat="1" x14ac:dyDescent="0.2">
      <c r="A49" s="588">
        <v>3</v>
      </c>
      <c r="B49" s="587" t="s">
        <v>782</v>
      </c>
      <c r="C49" s="589">
        <v>10706376</v>
      </c>
      <c r="D49" s="591">
        <v>10773156</v>
      </c>
      <c r="E49" s="590">
        <f t="shared" si="4"/>
        <v>66780</v>
      </c>
    </row>
    <row r="50" spans="1:5" s="421" customFormat="1" x14ac:dyDescent="0.2">
      <c r="A50" s="588">
        <v>4</v>
      </c>
      <c r="B50" s="587" t="s">
        <v>115</v>
      </c>
      <c r="C50" s="589">
        <v>10706376</v>
      </c>
      <c r="D50" s="591">
        <v>10773156</v>
      </c>
      <c r="E50" s="590">
        <f t="shared" si="4"/>
        <v>66780</v>
      </c>
    </row>
    <row r="51" spans="1:5" s="421" customFormat="1" x14ac:dyDescent="0.2">
      <c r="A51" s="588">
        <v>5</v>
      </c>
      <c r="B51" s="587" t="s">
        <v>748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377732</v>
      </c>
      <c r="D52" s="591">
        <v>367877</v>
      </c>
      <c r="E52" s="590">
        <f t="shared" si="4"/>
        <v>-9855</v>
      </c>
    </row>
    <row r="53" spans="1:5" s="421" customFormat="1" x14ac:dyDescent="0.2">
      <c r="A53" s="588">
        <v>7</v>
      </c>
      <c r="B53" s="587" t="s">
        <v>763</v>
      </c>
      <c r="C53" s="589">
        <v>3735559</v>
      </c>
      <c r="D53" s="591">
        <v>1364690</v>
      </c>
      <c r="E53" s="590">
        <f t="shared" si="4"/>
        <v>-2370869</v>
      </c>
    </row>
    <row r="54" spans="1:5" s="421" customFormat="1" x14ac:dyDescent="0.2">
      <c r="A54" s="588"/>
      <c r="B54" s="592" t="s">
        <v>795</v>
      </c>
      <c r="C54" s="593">
        <f>SUM(C48+C49+C52)</f>
        <v>83236008</v>
      </c>
      <c r="D54" s="593">
        <f>SUM(D48+D49+D52)</f>
        <v>91358368</v>
      </c>
      <c r="E54" s="593">
        <f t="shared" si="4"/>
        <v>8122360</v>
      </c>
    </row>
    <row r="55" spans="1:5" s="421" customFormat="1" x14ac:dyDescent="0.2">
      <c r="A55" s="588"/>
      <c r="B55" s="592" t="s">
        <v>466</v>
      </c>
      <c r="C55" s="593">
        <f>SUM(C47+C54)</f>
        <v>152802438</v>
      </c>
      <c r="D55" s="593">
        <f>SUM(D47+D54)</f>
        <v>160594164</v>
      </c>
      <c r="E55" s="593">
        <f t="shared" si="4"/>
        <v>7791726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796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661</v>
      </c>
      <c r="C58" s="589">
        <v>125026483</v>
      </c>
      <c r="D58" s="589">
        <v>125216605</v>
      </c>
      <c r="E58" s="590">
        <f t="shared" ref="E58:E66" si="5">D58-C58</f>
        <v>190122</v>
      </c>
    </row>
    <row r="59" spans="1:5" s="421" customFormat="1" x14ac:dyDescent="0.2">
      <c r="A59" s="588">
        <v>2</v>
      </c>
      <c r="B59" s="587" t="s">
        <v>640</v>
      </c>
      <c r="C59" s="589">
        <v>54453684</v>
      </c>
      <c r="D59" s="591">
        <v>51138953</v>
      </c>
      <c r="E59" s="590">
        <f t="shared" si="5"/>
        <v>-3314731</v>
      </c>
    </row>
    <row r="60" spans="1:5" s="421" customFormat="1" x14ac:dyDescent="0.2">
      <c r="A60" s="588">
        <v>3</v>
      </c>
      <c r="B60" s="587" t="s">
        <v>782</v>
      </c>
      <c r="C60" s="589">
        <f>C61+C62</f>
        <v>18933996</v>
      </c>
      <c r="D60" s="591">
        <f>D61+D62</f>
        <v>20919610</v>
      </c>
      <c r="E60" s="590">
        <f t="shared" si="5"/>
        <v>1985614</v>
      </c>
    </row>
    <row r="61" spans="1:5" s="421" customFormat="1" x14ac:dyDescent="0.2">
      <c r="A61" s="588">
        <v>4</v>
      </c>
      <c r="B61" s="587" t="s">
        <v>115</v>
      </c>
      <c r="C61" s="589">
        <v>18933996</v>
      </c>
      <c r="D61" s="591">
        <v>20919610</v>
      </c>
      <c r="E61" s="590">
        <f t="shared" si="5"/>
        <v>1985614</v>
      </c>
    </row>
    <row r="62" spans="1:5" s="421" customFormat="1" x14ac:dyDescent="0.2">
      <c r="A62" s="588">
        <v>5</v>
      </c>
      <c r="B62" s="587" t="s">
        <v>748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373436</v>
      </c>
      <c r="D63" s="591">
        <v>293636</v>
      </c>
      <c r="E63" s="590">
        <f t="shared" si="5"/>
        <v>-79800</v>
      </c>
    </row>
    <row r="64" spans="1:5" s="421" customFormat="1" x14ac:dyDescent="0.2">
      <c r="A64" s="588">
        <v>7</v>
      </c>
      <c r="B64" s="587" t="s">
        <v>763</v>
      </c>
      <c r="C64" s="589">
        <v>4549613</v>
      </c>
      <c r="D64" s="591">
        <v>2469628</v>
      </c>
      <c r="E64" s="590">
        <f t="shared" si="5"/>
        <v>-2079985</v>
      </c>
    </row>
    <row r="65" spans="1:5" s="421" customFormat="1" x14ac:dyDescent="0.2">
      <c r="A65" s="588"/>
      <c r="B65" s="592" t="s">
        <v>797</v>
      </c>
      <c r="C65" s="593">
        <f>SUM(C59+C60+C63)</f>
        <v>73761116</v>
      </c>
      <c r="D65" s="593">
        <f>SUM(D59+D60+D63)</f>
        <v>72352199</v>
      </c>
      <c r="E65" s="593">
        <f t="shared" si="5"/>
        <v>-1408917</v>
      </c>
    </row>
    <row r="66" spans="1:5" s="421" customFormat="1" x14ac:dyDescent="0.2">
      <c r="A66" s="588"/>
      <c r="B66" s="592" t="s">
        <v>468</v>
      </c>
      <c r="C66" s="593">
        <f>SUM(C58+C65)</f>
        <v>198787599</v>
      </c>
      <c r="D66" s="593">
        <f>SUM(D58+D65)</f>
        <v>197568804</v>
      </c>
      <c r="E66" s="593">
        <f t="shared" si="5"/>
        <v>-1218795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659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786</v>
      </c>
      <c r="C69" s="590">
        <f t="shared" ref="C69:D75" si="6">C47+C58</f>
        <v>194592913</v>
      </c>
      <c r="D69" s="590">
        <f t="shared" si="6"/>
        <v>194452401</v>
      </c>
      <c r="E69" s="590">
        <f t="shared" ref="E69:E77" si="7">D69-C69</f>
        <v>-140512</v>
      </c>
    </row>
    <row r="70" spans="1:5" s="421" customFormat="1" x14ac:dyDescent="0.2">
      <c r="A70" s="588">
        <v>2</v>
      </c>
      <c r="B70" s="587" t="s">
        <v>787</v>
      </c>
      <c r="C70" s="590">
        <f t="shared" si="6"/>
        <v>126605584</v>
      </c>
      <c r="D70" s="590">
        <f t="shared" si="6"/>
        <v>131356288</v>
      </c>
      <c r="E70" s="590">
        <f t="shared" si="7"/>
        <v>4750704</v>
      </c>
    </row>
    <row r="71" spans="1:5" s="421" customFormat="1" x14ac:dyDescent="0.2">
      <c r="A71" s="588">
        <v>3</v>
      </c>
      <c r="B71" s="587" t="s">
        <v>788</v>
      </c>
      <c r="C71" s="590">
        <f t="shared" si="6"/>
        <v>29640372</v>
      </c>
      <c r="D71" s="590">
        <f t="shared" si="6"/>
        <v>31692766</v>
      </c>
      <c r="E71" s="590">
        <f t="shared" si="7"/>
        <v>2052394</v>
      </c>
    </row>
    <row r="72" spans="1:5" s="421" customFormat="1" x14ac:dyDescent="0.2">
      <c r="A72" s="588">
        <v>4</v>
      </c>
      <c r="B72" s="587" t="s">
        <v>789</v>
      </c>
      <c r="C72" s="590">
        <f t="shared" si="6"/>
        <v>29640372</v>
      </c>
      <c r="D72" s="590">
        <f t="shared" si="6"/>
        <v>31692766</v>
      </c>
      <c r="E72" s="590">
        <f t="shared" si="7"/>
        <v>2052394</v>
      </c>
    </row>
    <row r="73" spans="1:5" s="421" customFormat="1" x14ac:dyDescent="0.2">
      <c r="A73" s="588">
        <v>5</v>
      </c>
      <c r="B73" s="587" t="s">
        <v>790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791</v>
      </c>
      <c r="C74" s="590">
        <f t="shared" si="6"/>
        <v>751168</v>
      </c>
      <c r="D74" s="590">
        <f t="shared" si="6"/>
        <v>661513</v>
      </c>
      <c r="E74" s="590">
        <f t="shared" si="7"/>
        <v>-89655</v>
      </c>
    </row>
    <row r="75" spans="1:5" s="421" customFormat="1" x14ac:dyDescent="0.2">
      <c r="A75" s="588">
        <v>7</v>
      </c>
      <c r="B75" s="587" t="s">
        <v>792</v>
      </c>
      <c r="C75" s="590">
        <f t="shared" si="6"/>
        <v>8285172</v>
      </c>
      <c r="D75" s="590">
        <f t="shared" si="6"/>
        <v>3834318</v>
      </c>
      <c r="E75" s="590">
        <f t="shared" si="7"/>
        <v>-4450854</v>
      </c>
    </row>
    <row r="76" spans="1:5" s="421" customFormat="1" x14ac:dyDescent="0.2">
      <c r="A76" s="588"/>
      <c r="B76" s="592" t="s">
        <v>798</v>
      </c>
      <c r="C76" s="593">
        <f>SUM(C70+C71+C74)</f>
        <v>156997124</v>
      </c>
      <c r="D76" s="593">
        <f>SUM(D70+D71+D74)</f>
        <v>163710567</v>
      </c>
      <c r="E76" s="593">
        <f t="shared" si="7"/>
        <v>6713443</v>
      </c>
    </row>
    <row r="77" spans="1:5" s="421" customFormat="1" x14ac:dyDescent="0.2">
      <c r="A77" s="588"/>
      <c r="B77" s="592" t="s">
        <v>731</v>
      </c>
      <c r="C77" s="593">
        <f>SUM(C69+C76)</f>
        <v>351590037</v>
      </c>
      <c r="D77" s="593">
        <f>SUM(D69+D76)</f>
        <v>358162968</v>
      </c>
      <c r="E77" s="593">
        <f t="shared" si="7"/>
        <v>6572931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799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800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661</v>
      </c>
      <c r="C83" s="599">
        <f t="shared" ref="C83:D89" si="8">IF(C$44=0,0,C14/C$44)</f>
        <v>0.12818286057420517</v>
      </c>
      <c r="D83" s="599">
        <f t="shared" si="8"/>
        <v>0.12102516814063781</v>
      </c>
      <c r="E83" s="599">
        <f t="shared" ref="E83:E91" si="9">D83-C83</f>
        <v>-7.1576924335673558E-3</v>
      </c>
    </row>
    <row r="84" spans="1:5" s="421" customFormat="1" x14ac:dyDescent="0.2">
      <c r="A84" s="588">
        <v>2</v>
      </c>
      <c r="B84" s="587" t="s">
        <v>640</v>
      </c>
      <c r="C84" s="599">
        <f t="shared" si="8"/>
        <v>0.28434092225702567</v>
      </c>
      <c r="D84" s="599">
        <f t="shared" si="8"/>
        <v>0.27203832566781527</v>
      </c>
      <c r="E84" s="599">
        <f t="shared" si="9"/>
        <v>-1.2302596589210402E-2</v>
      </c>
    </row>
    <row r="85" spans="1:5" s="421" customFormat="1" x14ac:dyDescent="0.2">
      <c r="A85" s="588">
        <v>3</v>
      </c>
      <c r="B85" s="587" t="s">
        <v>782</v>
      </c>
      <c r="C85" s="599">
        <f t="shared" si="8"/>
        <v>5.8603036846670453E-2</v>
      </c>
      <c r="D85" s="599">
        <f t="shared" si="8"/>
        <v>6.0665016939876762E-2</v>
      </c>
      <c r="E85" s="599">
        <f t="shared" si="9"/>
        <v>2.0619800932063087E-3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5.8603036846670453E-2</v>
      </c>
      <c r="D86" s="599">
        <f t="shared" si="8"/>
        <v>6.0665016939876762E-2</v>
      </c>
      <c r="E86" s="599">
        <f t="shared" si="9"/>
        <v>2.0619800932063087E-3</v>
      </c>
    </row>
    <row r="87" spans="1:5" s="421" customFormat="1" x14ac:dyDescent="0.2">
      <c r="A87" s="588">
        <v>5</v>
      </c>
      <c r="B87" s="587" t="s">
        <v>748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1.3720785289743976E-3</v>
      </c>
      <c r="D88" s="599">
        <f t="shared" si="8"/>
        <v>1.4151106455444894E-3</v>
      </c>
      <c r="E88" s="599">
        <f t="shared" si="9"/>
        <v>4.3032116570091827E-5</v>
      </c>
    </row>
    <row r="89" spans="1:5" s="421" customFormat="1" x14ac:dyDescent="0.2">
      <c r="A89" s="588">
        <v>7</v>
      </c>
      <c r="B89" s="587" t="s">
        <v>763</v>
      </c>
      <c r="C89" s="599">
        <f t="shared" si="8"/>
        <v>4.7859746870823434E-3</v>
      </c>
      <c r="D89" s="599">
        <f t="shared" si="8"/>
        <v>3.7761211325783354E-3</v>
      </c>
      <c r="E89" s="599">
        <f t="shared" si="9"/>
        <v>-1.009853554504008E-3</v>
      </c>
    </row>
    <row r="90" spans="1:5" s="421" customFormat="1" x14ac:dyDescent="0.2">
      <c r="A90" s="588"/>
      <c r="B90" s="592" t="s">
        <v>801</v>
      </c>
      <c r="C90" s="600">
        <f>SUM(C84+C85+C88)</f>
        <v>0.34431603763267055</v>
      </c>
      <c r="D90" s="600">
        <f>SUM(D84+D85+D88)</f>
        <v>0.33411845325323652</v>
      </c>
      <c r="E90" s="601">
        <f t="shared" si="9"/>
        <v>-1.0197584379434022E-2</v>
      </c>
    </row>
    <row r="91" spans="1:5" s="421" customFormat="1" x14ac:dyDescent="0.2">
      <c r="A91" s="588"/>
      <c r="B91" s="592" t="s">
        <v>802</v>
      </c>
      <c r="C91" s="600">
        <f>SUM(C83+C90)</f>
        <v>0.47249889820687574</v>
      </c>
      <c r="D91" s="600">
        <f>SUM(D83+D90)</f>
        <v>0.45514362139387432</v>
      </c>
      <c r="E91" s="601">
        <f t="shared" si="9"/>
        <v>-1.7355276813001419E-2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803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661</v>
      </c>
      <c r="C95" s="599">
        <f t="shared" ref="C95:D101" si="10">IF(C$44=0,0,C25/C$44)</f>
        <v>0.24255937797754196</v>
      </c>
      <c r="D95" s="599">
        <f t="shared" si="10"/>
        <v>0.24857892913013815</v>
      </c>
      <c r="E95" s="599">
        <f t="shared" ref="E95:E103" si="11">D95-C95</f>
        <v>6.0195511525961976E-3</v>
      </c>
    </row>
    <row r="96" spans="1:5" s="421" customFormat="1" x14ac:dyDescent="0.2">
      <c r="A96" s="588">
        <v>2</v>
      </c>
      <c r="B96" s="587" t="s">
        <v>640</v>
      </c>
      <c r="C96" s="599">
        <f t="shared" si="10"/>
        <v>0.19689188915413461</v>
      </c>
      <c r="D96" s="599">
        <f t="shared" si="10"/>
        <v>0.20007308970947321</v>
      </c>
      <c r="E96" s="599">
        <f t="shared" si="11"/>
        <v>3.1812005553386036E-3</v>
      </c>
    </row>
    <row r="97" spans="1:5" s="421" customFormat="1" x14ac:dyDescent="0.2">
      <c r="A97" s="588">
        <v>3</v>
      </c>
      <c r="B97" s="587" t="s">
        <v>782</v>
      </c>
      <c r="C97" s="599">
        <f t="shared" si="10"/>
        <v>8.5781295182360925E-2</v>
      </c>
      <c r="D97" s="599">
        <f t="shared" si="10"/>
        <v>9.3732784770146516E-2</v>
      </c>
      <c r="E97" s="599">
        <f t="shared" si="11"/>
        <v>7.9514895877855901E-3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8.5781295182360925E-2</v>
      </c>
      <c r="D98" s="599">
        <f t="shared" si="10"/>
        <v>9.3732784770146516E-2</v>
      </c>
      <c r="E98" s="599">
        <f t="shared" si="11"/>
        <v>7.9514895877855901E-3</v>
      </c>
    </row>
    <row r="99" spans="1:5" s="421" customFormat="1" x14ac:dyDescent="0.2">
      <c r="A99" s="588">
        <v>5</v>
      </c>
      <c r="B99" s="587" t="s">
        <v>748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2.2685394790867802E-3</v>
      </c>
      <c r="D100" s="599">
        <f t="shared" si="10"/>
        <v>2.4715749963677629E-3</v>
      </c>
      <c r="E100" s="599">
        <f t="shared" si="11"/>
        <v>2.0303551728098265E-4</v>
      </c>
    </row>
    <row r="101" spans="1:5" s="421" customFormat="1" x14ac:dyDescent="0.2">
      <c r="A101" s="588">
        <v>7</v>
      </c>
      <c r="B101" s="587" t="s">
        <v>763</v>
      </c>
      <c r="C101" s="599">
        <f t="shared" si="10"/>
        <v>1.2218156661266938E-2</v>
      </c>
      <c r="D101" s="599">
        <f t="shared" si="10"/>
        <v>1.1594692732827535E-2</v>
      </c>
      <c r="E101" s="599">
        <f t="shared" si="11"/>
        <v>-6.2346392843940293E-4</v>
      </c>
    </row>
    <row r="102" spans="1:5" s="421" customFormat="1" x14ac:dyDescent="0.2">
      <c r="A102" s="588"/>
      <c r="B102" s="592" t="s">
        <v>804</v>
      </c>
      <c r="C102" s="600">
        <f>SUM(C96+C97+C100)</f>
        <v>0.2849417238155823</v>
      </c>
      <c r="D102" s="600">
        <f>SUM(D96+D97+D100)</f>
        <v>0.29627744947598744</v>
      </c>
      <c r="E102" s="601">
        <f t="shared" si="11"/>
        <v>1.1335725660405138E-2</v>
      </c>
    </row>
    <row r="103" spans="1:5" s="421" customFormat="1" x14ac:dyDescent="0.2">
      <c r="A103" s="588"/>
      <c r="B103" s="592" t="s">
        <v>805</v>
      </c>
      <c r="C103" s="600">
        <f>SUM(C95+C102)</f>
        <v>0.52750110179312426</v>
      </c>
      <c r="D103" s="600">
        <f>SUM(D95+D102)</f>
        <v>0.54485637860612557</v>
      </c>
      <c r="E103" s="601">
        <f t="shared" si="11"/>
        <v>1.7355276813001308E-2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806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807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661</v>
      </c>
      <c r="C109" s="599">
        <f t="shared" ref="C109:D115" si="12">IF(C$77=0,0,C47/C$77)</f>
        <v>0.19786234727692242</v>
      </c>
      <c r="D109" s="599">
        <f t="shared" si="12"/>
        <v>0.19330808091806967</v>
      </c>
      <c r="E109" s="599">
        <f t="shared" ref="E109:E117" si="13">D109-C109</f>
        <v>-4.5542663588527543E-3</v>
      </c>
    </row>
    <row r="110" spans="1:5" s="421" customFormat="1" x14ac:dyDescent="0.2">
      <c r="A110" s="588">
        <v>2</v>
      </c>
      <c r="B110" s="587" t="s">
        <v>640</v>
      </c>
      <c r="C110" s="599">
        <f t="shared" si="12"/>
        <v>0.20521599706194177</v>
      </c>
      <c r="D110" s="599">
        <f t="shared" si="12"/>
        <v>0.22396881354858553</v>
      </c>
      <c r="E110" s="599">
        <f t="shared" si="13"/>
        <v>1.8752816486643759E-2</v>
      </c>
    </row>
    <row r="111" spans="1:5" s="421" customFormat="1" x14ac:dyDescent="0.2">
      <c r="A111" s="588">
        <v>3</v>
      </c>
      <c r="B111" s="587" t="s">
        <v>782</v>
      </c>
      <c r="C111" s="599">
        <f t="shared" si="12"/>
        <v>3.0451306559633826E-2</v>
      </c>
      <c r="D111" s="599">
        <f t="shared" si="12"/>
        <v>3.0078922062093255E-2</v>
      </c>
      <c r="E111" s="599">
        <f t="shared" si="13"/>
        <v>-3.7238449754057115E-4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3.0451306559633826E-2</v>
      </c>
      <c r="D112" s="599">
        <f t="shared" si="12"/>
        <v>3.0078922062093255E-2</v>
      </c>
      <c r="E112" s="599">
        <f t="shared" si="13"/>
        <v>-3.7238449754057115E-4</v>
      </c>
    </row>
    <row r="113" spans="1:5" s="421" customFormat="1" x14ac:dyDescent="0.2">
      <c r="A113" s="588">
        <v>5</v>
      </c>
      <c r="B113" s="587" t="s">
        <v>748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1.0743535374979922E-3</v>
      </c>
      <c r="D114" s="599">
        <f t="shared" si="12"/>
        <v>1.0271218212598685E-3</v>
      </c>
      <c r="E114" s="599">
        <f t="shared" si="13"/>
        <v>-4.7231716238123724E-5</v>
      </c>
    </row>
    <row r="115" spans="1:5" s="421" customFormat="1" x14ac:dyDescent="0.2">
      <c r="A115" s="588">
        <v>7</v>
      </c>
      <c r="B115" s="587" t="s">
        <v>763</v>
      </c>
      <c r="C115" s="599">
        <f t="shared" si="12"/>
        <v>1.0624757834079354E-2</v>
      </c>
      <c r="D115" s="599">
        <f t="shared" si="12"/>
        <v>3.8102487468777064E-3</v>
      </c>
      <c r="E115" s="599">
        <f t="shared" si="13"/>
        <v>-6.8145090872016485E-3</v>
      </c>
    </row>
    <row r="116" spans="1:5" s="421" customFormat="1" x14ac:dyDescent="0.2">
      <c r="A116" s="588"/>
      <c r="B116" s="592" t="s">
        <v>801</v>
      </c>
      <c r="C116" s="600">
        <f>SUM(C110+C111+C114)</f>
        <v>0.23674165715907358</v>
      </c>
      <c r="D116" s="600">
        <f>SUM(D110+D111+D114)</f>
        <v>0.25507485743193864</v>
      </c>
      <c r="E116" s="601">
        <f t="shared" si="13"/>
        <v>1.8333200272865058E-2</v>
      </c>
    </row>
    <row r="117" spans="1:5" s="421" customFormat="1" x14ac:dyDescent="0.2">
      <c r="A117" s="588"/>
      <c r="B117" s="592" t="s">
        <v>802</v>
      </c>
      <c r="C117" s="600">
        <f>SUM(C109+C116)</f>
        <v>0.43460400443599601</v>
      </c>
      <c r="D117" s="600">
        <f>SUM(D109+D116)</f>
        <v>0.44838293835000831</v>
      </c>
      <c r="E117" s="601">
        <f t="shared" si="13"/>
        <v>1.3778933914012303E-2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808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661</v>
      </c>
      <c r="C121" s="599">
        <f t="shared" ref="C121:D127" si="14">IF(C$77=0,0,C58/C$77)</f>
        <v>0.35560303149318195</v>
      </c>
      <c r="D121" s="599">
        <f t="shared" si="14"/>
        <v>0.34960790530415753</v>
      </c>
      <c r="E121" s="599">
        <f t="shared" ref="E121:E129" si="15">D121-C121</f>
        <v>-5.9951261890244245E-3</v>
      </c>
    </row>
    <row r="122" spans="1:5" s="421" customFormat="1" x14ac:dyDescent="0.2">
      <c r="A122" s="588">
        <v>2</v>
      </c>
      <c r="B122" s="587" t="s">
        <v>640</v>
      </c>
      <c r="C122" s="599">
        <f t="shared" si="14"/>
        <v>0.15487834770471609</v>
      </c>
      <c r="D122" s="599">
        <f t="shared" si="14"/>
        <v>0.14278124085681576</v>
      </c>
      <c r="E122" s="599">
        <f t="shared" si="15"/>
        <v>-1.209710684790033E-2</v>
      </c>
    </row>
    <row r="123" spans="1:5" s="421" customFormat="1" x14ac:dyDescent="0.2">
      <c r="A123" s="588">
        <v>3</v>
      </c>
      <c r="B123" s="587" t="s">
        <v>782</v>
      </c>
      <c r="C123" s="599">
        <f t="shared" si="14"/>
        <v>5.3852481604875511E-2</v>
      </c>
      <c r="D123" s="599">
        <f t="shared" si="14"/>
        <v>5.8408076403923481E-2</v>
      </c>
      <c r="E123" s="599">
        <f t="shared" si="15"/>
        <v>4.5555947990479698E-3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5.3852481604875511E-2</v>
      </c>
      <c r="D124" s="599">
        <f t="shared" si="14"/>
        <v>5.8408076403923481E-2</v>
      </c>
      <c r="E124" s="599">
        <f t="shared" si="15"/>
        <v>4.5555947990479698E-3</v>
      </c>
    </row>
    <row r="125" spans="1:5" s="421" customFormat="1" x14ac:dyDescent="0.2">
      <c r="A125" s="588">
        <v>5</v>
      </c>
      <c r="B125" s="587" t="s">
        <v>748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1.0621347612304497E-3</v>
      </c>
      <c r="D126" s="599">
        <f t="shared" si="14"/>
        <v>8.1983908509491695E-4</v>
      </c>
      <c r="E126" s="599">
        <f t="shared" si="15"/>
        <v>-2.4229567613553277E-4</v>
      </c>
    </row>
    <row r="127" spans="1:5" s="421" customFormat="1" x14ac:dyDescent="0.2">
      <c r="A127" s="588">
        <v>7</v>
      </c>
      <c r="B127" s="587" t="s">
        <v>763</v>
      </c>
      <c r="C127" s="599">
        <f t="shared" si="14"/>
        <v>1.2940107856355441E-2</v>
      </c>
      <c r="D127" s="599">
        <f t="shared" si="14"/>
        <v>6.8952633874756145E-3</v>
      </c>
      <c r="E127" s="599">
        <f t="shared" si="15"/>
        <v>-6.0448444688798262E-3</v>
      </c>
    </row>
    <row r="128" spans="1:5" s="421" customFormat="1" x14ac:dyDescent="0.2">
      <c r="A128" s="588"/>
      <c r="B128" s="592" t="s">
        <v>804</v>
      </c>
      <c r="C128" s="600">
        <f>SUM(C122+C123+C126)</f>
        <v>0.20979296407082207</v>
      </c>
      <c r="D128" s="600">
        <f>SUM(D122+D123+D126)</f>
        <v>0.20200915634583416</v>
      </c>
      <c r="E128" s="601">
        <f t="shared" si="15"/>
        <v>-7.7838077249879067E-3</v>
      </c>
    </row>
    <row r="129" spans="1:5" s="421" customFormat="1" x14ac:dyDescent="0.2">
      <c r="A129" s="588"/>
      <c r="B129" s="592" t="s">
        <v>805</v>
      </c>
      <c r="C129" s="600">
        <f>SUM(C121+C128)</f>
        <v>0.56539599556400399</v>
      </c>
      <c r="D129" s="600">
        <f>SUM(D121+D128)</f>
        <v>0.55161706164999169</v>
      </c>
      <c r="E129" s="601">
        <f t="shared" si="15"/>
        <v>-1.3778933914012303E-2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809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810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811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661</v>
      </c>
      <c r="C137" s="606">
        <v>4525</v>
      </c>
      <c r="D137" s="606">
        <v>4216</v>
      </c>
      <c r="E137" s="607">
        <f t="shared" ref="E137:E145" si="16">D137-C137</f>
        <v>-309</v>
      </c>
    </row>
    <row r="138" spans="1:5" s="421" customFormat="1" x14ac:dyDescent="0.2">
      <c r="A138" s="588">
        <v>2</v>
      </c>
      <c r="B138" s="587" t="s">
        <v>640</v>
      </c>
      <c r="C138" s="606">
        <v>8270</v>
      </c>
      <c r="D138" s="606">
        <v>7760</v>
      </c>
      <c r="E138" s="607">
        <f t="shared" si="16"/>
        <v>-510</v>
      </c>
    </row>
    <row r="139" spans="1:5" s="421" customFormat="1" x14ac:dyDescent="0.2">
      <c r="A139" s="588">
        <v>3</v>
      </c>
      <c r="B139" s="587" t="s">
        <v>782</v>
      </c>
      <c r="C139" s="606">
        <f>C140+C141</f>
        <v>2323</v>
      </c>
      <c r="D139" s="606">
        <f>D140+D141</f>
        <v>2263</v>
      </c>
      <c r="E139" s="607">
        <f t="shared" si="16"/>
        <v>-60</v>
      </c>
    </row>
    <row r="140" spans="1:5" s="421" customFormat="1" x14ac:dyDescent="0.2">
      <c r="A140" s="588">
        <v>4</v>
      </c>
      <c r="B140" s="587" t="s">
        <v>115</v>
      </c>
      <c r="C140" s="606">
        <v>2323</v>
      </c>
      <c r="D140" s="606">
        <v>2263</v>
      </c>
      <c r="E140" s="607">
        <f t="shared" si="16"/>
        <v>-60</v>
      </c>
    </row>
    <row r="141" spans="1:5" s="421" customFormat="1" x14ac:dyDescent="0.2">
      <c r="A141" s="588">
        <v>5</v>
      </c>
      <c r="B141" s="587" t="s">
        <v>748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44</v>
      </c>
      <c r="D142" s="606">
        <v>57</v>
      </c>
      <c r="E142" s="607">
        <f t="shared" si="16"/>
        <v>13</v>
      </c>
    </row>
    <row r="143" spans="1:5" s="421" customFormat="1" x14ac:dyDescent="0.2">
      <c r="A143" s="588">
        <v>7</v>
      </c>
      <c r="B143" s="587" t="s">
        <v>763</v>
      </c>
      <c r="C143" s="606">
        <v>168</v>
      </c>
      <c r="D143" s="606">
        <v>139</v>
      </c>
      <c r="E143" s="607">
        <f t="shared" si="16"/>
        <v>-29</v>
      </c>
    </row>
    <row r="144" spans="1:5" s="421" customFormat="1" x14ac:dyDescent="0.2">
      <c r="A144" s="588"/>
      <c r="B144" s="592" t="s">
        <v>812</v>
      </c>
      <c r="C144" s="608">
        <f>SUM(C138+C139+C142)</f>
        <v>10637</v>
      </c>
      <c r="D144" s="608">
        <f>SUM(D138+D139+D142)</f>
        <v>10080</v>
      </c>
      <c r="E144" s="609">
        <f t="shared" si="16"/>
        <v>-557</v>
      </c>
    </row>
    <row r="145" spans="1:5" s="421" customFormat="1" x14ac:dyDescent="0.2">
      <c r="A145" s="588"/>
      <c r="B145" s="592" t="s">
        <v>138</v>
      </c>
      <c r="C145" s="608">
        <f>SUM(C137+C144)</f>
        <v>15162</v>
      </c>
      <c r="D145" s="608">
        <f>SUM(D137+D144)</f>
        <v>14296</v>
      </c>
      <c r="E145" s="609">
        <f t="shared" si="16"/>
        <v>-866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661</v>
      </c>
      <c r="C149" s="610">
        <v>15119</v>
      </c>
      <c r="D149" s="610">
        <v>13915</v>
      </c>
      <c r="E149" s="607">
        <f t="shared" ref="E149:E157" si="17">D149-C149</f>
        <v>-1204</v>
      </c>
    </row>
    <row r="150" spans="1:5" s="421" customFormat="1" x14ac:dyDescent="0.2">
      <c r="A150" s="588">
        <v>2</v>
      </c>
      <c r="B150" s="587" t="s">
        <v>640</v>
      </c>
      <c r="C150" s="610">
        <v>38079</v>
      </c>
      <c r="D150" s="610">
        <v>35586</v>
      </c>
      <c r="E150" s="607">
        <f t="shared" si="17"/>
        <v>-2493</v>
      </c>
    </row>
    <row r="151" spans="1:5" s="421" customFormat="1" x14ac:dyDescent="0.2">
      <c r="A151" s="588">
        <v>3</v>
      </c>
      <c r="B151" s="587" t="s">
        <v>782</v>
      </c>
      <c r="C151" s="610">
        <f>C152+C153</f>
        <v>9219</v>
      </c>
      <c r="D151" s="610">
        <f>D152+D153</f>
        <v>9624</v>
      </c>
      <c r="E151" s="607">
        <f t="shared" si="17"/>
        <v>405</v>
      </c>
    </row>
    <row r="152" spans="1:5" s="421" customFormat="1" x14ac:dyDescent="0.2">
      <c r="A152" s="588">
        <v>4</v>
      </c>
      <c r="B152" s="587" t="s">
        <v>115</v>
      </c>
      <c r="C152" s="610">
        <v>9219</v>
      </c>
      <c r="D152" s="610">
        <v>9624</v>
      </c>
      <c r="E152" s="607">
        <f t="shared" si="17"/>
        <v>405</v>
      </c>
    </row>
    <row r="153" spans="1:5" s="421" customFormat="1" x14ac:dyDescent="0.2">
      <c r="A153" s="588">
        <v>5</v>
      </c>
      <c r="B153" s="587" t="s">
        <v>748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129</v>
      </c>
      <c r="D154" s="610">
        <v>174</v>
      </c>
      <c r="E154" s="607">
        <f t="shared" si="17"/>
        <v>45</v>
      </c>
    </row>
    <row r="155" spans="1:5" s="421" customFormat="1" x14ac:dyDescent="0.2">
      <c r="A155" s="588">
        <v>7</v>
      </c>
      <c r="B155" s="587" t="s">
        <v>763</v>
      </c>
      <c r="C155" s="610">
        <v>630</v>
      </c>
      <c r="D155" s="610">
        <v>308</v>
      </c>
      <c r="E155" s="607">
        <f t="shared" si="17"/>
        <v>-322</v>
      </c>
    </row>
    <row r="156" spans="1:5" s="421" customFormat="1" x14ac:dyDescent="0.2">
      <c r="A156" s="588"/>
      <c r="B156" s="592" t="s">
        <v>813</v>
      </c>
      <c r="C156" s="608">
        <f>SUM(C150+C151+C154)</f>
        <v>47427</v>
      </c>
      <c r="D156" s="608">
        <f>SUM(D150+D151+D154)</f>
        <v>45384</v>
      </c>
      <c r="E156" s="609">
        <f t="shared" si="17"/>
        <v>-2043</v>
      </c>
    </row>
    <row r="157" spans="1:5" s="421" customFormat="1" x14ac:dyDescent="0.2">
      <c r="A157" s="588"/>
      <c r="B157" s="592" t="s">
        <v>140</v>
      </c>
      <c r="C157" s="608">
        <f>SUM(C149+C156)</f>
        <v>62546</v>
      </c>
      <c r="D157" s="608">
        <f>SUM(D149+D156)</f>
        <v>59299</v>
      </c>
      <c r="E157" s="609">
        <f t="shared" si="17"/>
        <v>-3247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814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661</v>
      </c>
      <c r="C161" s="612">
        <f t="shared" ref="C161:D169" si="18">IF(C137=0,0,C149/C137)</f>
        <v>3.3412154696132599</v>
      </c>
      <c r="D161" s="612">
        <f t="shared" si="18"/>
        <v>3.3005218216318783</v>
      </c>
      <c r="E161" s="613">
        <f t="shared" ref="E161:E169" si="19">D161-C161</f>
        <v>-4.0693647981381531E-2</v>
      </c>
    </row>
    <row r="162" spans="1:5" s="421" customFormat="1" x14ac:dyDescent="0.2">
      <c r="A162" s="588">
        <v>2</v>
      </c>
      <c r="B162" s="587" t="s">
        <v>640</v>
      </c>
      <c r="C162" s="612">
        <f t="shared" si="18"/>
        <v>4.6044740024183799</v>
      </c>
      <c r="D162" s="612">
        <f t="shared" si="18"/>
        <v>4.5858247422680414</v>
      </c>
      <c r="E162" s="613">
        <f t="shared" si="19"/>
        <v>-1.864926015033852E-2</v>
      </c>
    </row>
    <row r="163" spans="1:5" s="421" customFormat="1" x14ac:dyDescent="0.2">
      <c r="A163" s="588">
        <v>3</v>
      </c>
      <c r="B163" s="587" t="s">
        <v>782</v>
      </c>
      <c r="C163" s="612">
        <f t="shared" si="18"/>
        <v>3.9685751183814033</v>
      </c>
      <c r="D163" s="612">
        <f t="shared" si="18"/>
        <v>4.2527618205921343</v>
      </c>
      <c r="E163" s="613">
        <f t="shared" si="19"/>
        <v>0.28418670221073095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3.9685751183814033</v>
      </c>
      <c r="D164" s="612">
        <f t="shared" si="18"/>
        <v>4.2527618205921343</v>
      </c>
      <c r="E164" s="613">
        <f t="shared" si="19"/>
        <v>0.28418670221073095</v>
      </c>
    </row>
    <row r="165" spans="1:5" s="421" customFormat="1" x14ac:dyDescent="0.2">
      <c r="A165" s="588">
        <v>5</v>
      </c>
      <c r="B165" s="587" t="s">
        <v>748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2.9318181818181817</v>
      </c>
      <c r="D166" s="612">
        <f t="shared" si="18"/>
        <v>3.0526315789473686</v>
      </c>
      <c r="E166" s="613">
        <f t="shared" si="19"/>
        <v>0.12081339712918693</v>
      </c>
    </row>
    <row r="167" spans="1:5" s="421" customFormat="1" x14ac:dyDescent="0.2">
      <c r="A167" s="588">
        <v>7</v>
      </c>
      <c r="B167" s="587" t="s">
        <v>763</v>
      </c>
      <c r="C167" s="612">
        <f t="shared" si="18"/>
        <v>3.75</v>
      </c>
      <c r="D167" s="612">
        <f t="shared" si="18"/>
        <v>2.2158273381294964</v>
      </c>
      <c r="E167" s="613">
        <f t="shared" si="19"/>
        <v>-1.5341726618705036</v>
      </c>
    </row>
    <row r="168" spans="1:5" s="421" customFormat="1" x14ac:dyDescent="0.2">
      <c r="A168" s="588"/>
      <c r="B168" s="592" t="s">
        <v>815</v>
      </c>
      <c r="C168" s="614">
        <f t="shared" si="18"/>
        <v>4.4586819591990219</v>
      </c>
      <c r="D168" s="614">
        <f t="shared" si="18"/>
        <v>4.5023809523809524</v>
      </c>
      <c r="E168" s="615">
        <f t="shared" si="19"/>
        <v>4.369899318193049E-2</v>
      </c>
    </row>
    <row r="169" spans="1:5" s="421" customFormat="1" x14ac:dyDescent="0.2">
      <c r="A169" s="588"/>
      <c r="B169" s="592" t="s">
        <v>749</v>
      </c>
      <c r="C169" s="614">
        <f t="shared" si="18"/>
        <v>4.1251813744888537</v>
      </c>
      <c r="D169" s="614">
        <f t="shared" si="18"/>
        <v>4.1479434806939004</v>
      </c>
      <c r="E169" s="615">
        <f t="shared" si="19"/>
        <v>2.2762106205046706E-2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816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661</v>
      </c>
      <c r="C173" s="617">
        <f t="shared" ref="C173:D181" si="20">IF(C137=0,0,C203/C137)</f>
        <v>1.1292</v>
      </c>
      <c r="D173" s="617">
        <f t="shared" si="20"/>
        <v>1.1889099999999999</v>
      </c>
      <c r="E173" s="618">
        <f t="shared" ref="E173:E181" si="21">D173-C173</f>
        <v>5.970999999999993E-2</v>
      </c>
    </row>
    <row r="174" spans="1:5" s="421" customFormat="1" x14ac:dyDescent="0.2">
      <c r="A174" s="588">
        <v>2</v>
      </c>
      <c r="B174" s="587" t="s">
        <v>640</v>
      </c>
      <c r="C174" s="617">
        <f t="shared" si="20"/>
        <v>1.3407</v>
      </c>
      <c r="D174" s="617">
        <f t="shared" si="20"/>
        <v>1.37202</v>
      </c>
      <c r="E174" s="618">
        <f t="shared" si="21"/>
        <v>3.1320000000000014E-2</v>
      </c>
    </row>
    <row r="175" spans="1:5" s="421" customFormat="1" x14ac:dyDescent="0.2">
      <c r="A175" s="588">
        <v>3</v>
      </c>
      <c r="B175" s="587" t="s">
        <v>782</v>
      </c>
      <c r="C175" s="617">
        <f t="shared" si="20"/>
        <v>0.98280000000000012</v>
      </c>
      <c r="D175" s="617">
        <f t="shared" si="20"/>
        <v>1.04375</v>
      </c>
      <c r="E175" s="618">
        <f t="shared" si="21"/>
        <v>6.0949999999999838E-2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0.98280000000000012</v>
      </c>
      <c r="D176" s="617">
        <f t="shared" si="20"/>
        <v>1.04375</v>
      </c>
      <c r="E176" s="618">
        <f t="shared" si="21"/>
        <v>6.0949999999999838E-2</v>
      </c>
    </row>
    <row r="177" spans="1:5" s="421" customFormat="1" x14ac:dyDescent="0.2">
      <c r="A177" s="588">
        <v>5</v>
      </c>
      <c r="B177" s="587" t="s">
        <v>748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1.2712000000000001</v>
      </c>
      <c r="D178" s="617">
        <f t="shared" si="20"/>
        <v>1.0518000000000001</v>
      </c>
      <c r="E178" s="618">
        <f t="shared" si="21"/>
        <v>-0.21940000000000004</v>
      </c>
    </row>
    <row r="179" spans="1:5" s="421" customFormat="1" x14ac:dyDescent="0.2">
      <c r="A179" s="588">
        <v>7</v>
      </c>
      <c r="B179" s="587" t="s">
        <v>763</v>
      </c>
      <c r="C179" s="617">
        <f t="shared" si="20"/>
        <v>1.1074999999999999</v>
      </c>
      <c r="D179" s="617">
        <f t="shared" si="20"/>
        <v>1.12178</v>
      </c>
      <c r="E179" s="618">
        <f t="shared" si="21"/>
        <v>1.428000000000007E-2</v>
      </c>
    </row>
    <row r="180" spans="1:5" s="421" customFormat="1" x14ac:dyDescent="0.2">
      <c r="A180" s="588"/>
      <c r="B180" s="592" t="s">
        <v>817</v>
      </c>
      <c r="C180" s="619">
        <f t="shared" si="20"/>
        <v>1.2622512174485288</v>
      </c>
      <c r="D180" s="619">
        <f t="shared" si="20"/>
        <v>1.2965113144841272</v>
      </c>
      <c r="E180" s="620">
        <f t="shared" si="21"/>
        <v>3.4260097035598402E-2</v>
      </c>
    </row>
    <row r="181" spans="1:5" s="421" customFormat="1" x14ac:dyDescent="0.2">
      <c r="A181" s="588"/>
      <c r="B181" s="592" t="s">
        <v>728</v>
      </c>
      <c r="C181" s="619">
        <f t="shared" si="20"/>
        <v>1.2225429494789608</v>
      </c>
      <c r="D181" s="619">
        <f t="shared" si="20"/>
        <v>1.264778861919418</v>
      </c>
      <c r="E181" s="620">
        <f t="shared" si="21"/>
        <v>4.2235912440457213E-2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818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819</v>
      </c>
      <c r="C185" s="589">
        <v>414396424</v>
      </c>
      <c r="D185" s="589">
        <v>429305698</v>
      </c>
      <c r="E185" s="590">
        <f>D185-C185</f>
        <v>14909274</v>
      </c>
    </row>
    <row r="186" spans="1:5" s="421" customFormat="1" ht="25.5" x14ac:dyDescent="0.2">
      <c r="A186" s="588">
        <v>2</v>
      </c>
      <c r="B186" s="587" t="s">
        <v>820</v>
      </c>
      <c r="C186" s="589">
        <v>195897906</v>
      </c>
      <c r="D186" s="589">
        <v>195659148</v>
      </c>
      <c r="E186" s="590">
        <f>D186-C186</f>
        <v>-238758</v>
      </c>
    </row>
    <row r="187" spans="1:5" s="421" customFormat="1" x14ac:dyDescent="0.2">
      <c r="A187" s="588"/>
      <c r="B187" s="587" t="s">
        <v>673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752</v>
      </c>
      <c r="C188" s="622">
        <f>+C185-C186</f>
        <v>218498518</v>
      </c>
      <c r="D188" s="622">
        <f>+D185-D186</f>
        <v>233646550</v>
      </c>
      <c r="E188" s="590">
        <f t="shared" ref="E188:E197" si="22">D188-C188</f>
        <v>15148032</v>
      </c>
    </row>
    <row r="189" spans="1:5" s="421" customFormat="1" x14ac:dyDescent="0.2">
      <c r="A189" s="588">
        <v>4</v>
      </c>
      <c r="B189" s="587" t="s">
        <v>675</v>
      </c>
      <c r="C189" s="623">
        <f>IF(C185=0,0,+C188/C185)</f>
        <v>0.52726931350160489</v>
      </c>
      <c r="D189" s="623">
        <f>IF(D185=0,0,+D188/D185)</f>
        <v>0.5442428346245709</v>
      </c>
      <c r="E189" s="599">
        <f t="shared" si="22"/>
        <v>1.6973521122966018E-2</v>
      </c>
    </row>
    <row r="190" spans="1:5" s="421" customFormat="1" x14ac:dyDescent="0.2">
      <c r="A190" s="588">
        <v>5</v>
      </c>
      <c r="B190" s="587" t="s">
        <v>767</v>
      </c>
      <c r="C190" s="589">
        <v>23800791</v>
      </c>
      <c r="D190" s="589">
        <v>25158869</v>
      </c>
      <c r="E190" s="622">
        <f t="shared" si="22"/>
        <v>1358078</v>
      </c>
    </row>
    <row r="191" spans="1:5" s="421" customFormat="1" x14ac:dyDescent="0.2">
      <c r="A191" s="588">
        <v>6</v>
      </c>
      <c r="B191" s="587" t="s">
        <v>753</v>
      </c>
      <c r="C191" s="589">
        <v>17342392</v>
      </c>
      <c r="D191" s="589">
        <v>18567411</v>
      </c>
      <c r="E191" s="622">
        <f t="shared" si="22"/>
        <v>1225019</v>
      </c>
    </row>
    <row r="192" spans="1:5" ht="29.25" x14ac:dyDescent="0.2">
      <c r="A192" s="588">
        <v>7</v>
      </c>
      <c r="B192" s="624" t="s">
        <v>821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822</v>
      </c>
      <c r="C193" s="589">
        <v>8529846</v>
      </c>
      <c r="D193" s="589">
        <v>8559951</v>
      </c>
      <c r="E193" s="622">
        <f t="shared" si="22"/>
        <v>30105</v>
      </c>
    </row>
    <row r="194" spans="1:5" s="421" customFormat="1" x14ac:dyDescent="0.2">
      <c r="A194" s="588">
        <v>9</v>
      </c>
      <c r="B194" s="587" t="s">
        <v>823</v>
      </c>
      <c r="C194" s="589">
        <v>11094963</v>
      </c>
      <c r="D194" s="589">
        <v>13908964</v>
      </c>
      <c r="E194" s="622">
        <f t="shared" si="22"/>
        <v>2814001</v>
      </c>
    </row>
    <row r="195" spans="1:5" s="421" customFormat="1" x14ac:dyDescent="0.2">
      <c r="A195" s="588">
        <v>10</v>
      </c>
      <c r="B195" s="587" t="s">
        <v>824</v>
      </c>
      <c r="C195" s="589">
        <f>+C193+C194</f>
        <v>19624809</v>
      </c>
      <c r="D195" s="589">
        <f>+D193+D194</f>
        <v>22468915</v>
      </c>
      <c r="E195" s="625">
        <f t="shared" si="22"/>
        <v>2844106</v>
      </c>
    </row>
    <row r="196" spans="1:5" s="421" customFormat="1" x14ac:dyDescent="0.2">
      <c r="A196" s="588">
        <v>11</v>
      </c>
      <c r="B196" s="587" t="s">
        <v>825</v>
      </c>
      <c r="C196" s="589">
        <v>12173148</v>
      </c>
      <c r="D196" s="589">
        <v>12557059</v>
      </c>
      <c r="E196" s="622">
        <f t="shared" si="22"/>
        <v>383911</v>
      </c>
    </row>
    <row r="197" spans="1:5" s="421" customFormat="1" x14ac:dyDescent="0.2">
      <c r="A197" s="588">
        <v>12</v>
      </c>
      <c r="B197" s="587" t="s">
        <v>715</v>
      </c>
      <c r="C197" s="589">
        <v>342279038</v>
      </c>
      <c r="D197" s="589">
        <v>345860614</v>
      </c>
      <c r="E197" s="622">
        <f t="shared" si="22"/>
        <v>3581576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826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827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661</v>
      </c>
      <c r="C203" s="629">
        <v>5109.63</v>
      </c>
      <c r="D203" s="629">
        <v>5012.4445599999999</v>
      </c>
      <c r="E203" s="630">
        <f t="shared" ref="E203:E211" si="23">D203-C203</f>
        <v>-97.185440000000199</v>
      </c>
    </row>
    <row r="204" spans="1:5" s="421" customFormat="1" x14ac:dyDescent="0.2">
      <c r="A204" s="588">
        <v>2</v>
      </c>
      <c r="B204" s="587" t="s">
        <v>640</v>
      </c>
      <c r="C204" s="629">
        <v>11087.589</v>
      </c>
      <c r="D204" s="629">
        <v>10646.8752</v>
      </c>
      <c r="E204" s="630">
        <f t="shared" si="23"/>
        <v>-440.71379999999954</v>
      </c>
    </row>
    <row r="205" spans="1:5" s="421" customFormat="1" x14ac:dyDescent="0.2">
      <c r="A205" s="588">
        <v>3</v>
      </c>
      <c r="B205" s="587" t="s">
        <v>782</v>
      </c>
      <c r="C205" s="629">
        <f>C206+C207</f>
        <v>2283.0444000000002</v>
      </c>
      <c r="D205" s="629">
        <f>D206+D207</f>
        <v>2362.0062499999999</v>
      </c>
      <c r="E205" s="630">
        <f t="shared" si="23"/>
        <v>78.961849999999686</v>
      </c>
    </row>
    <row r="206" spans="1:5" s="421" customFormat="1" x14ac:dyDescent="0.2">
      <c r="A206" s="588">
        <v>4</v>
      </c>
      <c r="B206" s="587" t="s">
        <v>115</v>
      </c>
      <c r="C206" s="629">
        <v>2283.0444000000002</v>
      </c>
      <c r="D206" s="629">
        <v>2362.0062499999999</v>
      </c>
      <c r="E206" s="630">
        <f t="shared" si="23"/>
        <v>78.961849999999686</v>
      </c>
    </row>
    <row r="207" spans="1:5" s="421" customFormat="1" x14ac:dyDescent="0.2">
      <c r="A207" s="588">
        <v>5</v>
      </c>
      <c r="B207" s="587" t="s">
        <v>748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55.932800000000007</v>
      </c>
      <c r="D208" s="629">
        <v>59.952600000000004</v>
      </c>
      <c r="E208" s="630">
        <f t="shared" si="23"/>
        <v>4.0197999999999965</v>
      </c>
    </row>
    <row r="209" spans="1:5" s="421" customFormat="1" x14ac:dyDescent="0.2">
      <c r="A209" s="588">
        <v>7</v>
      </c>
      <c r="B209" s="587" t="s">
        <v>763</v>
      </c>
      <c r="C209" s="629">
        <v>186.06</v>
      </c>
      <c r="D209" s="629">
        <v>155.92742000000001</v>
      </c>
      <c r="E209" s="630">
        <f t="shared" si="23"/>
        <v>-30.13257999999999</v>
      </c>
    </row>
    <row r="210" spans="1:5" s="421" customFormat="1" x14ac:dyDescent="0.2">
      <c r="A210" s="588"/>
      <c r="B210" s="592" t="s">
        <v>828</v>
      </c>
      <c r="C210" s="631">
        <f>C204+C205+C208</f>
        <v>13426.566200000001</v>
      </c>
      <c r="D210" s="631">
        <f>D204+D205+D208</f>
        <v>13068.834050000001</v>
      </c>
      <c r="E210" s="632">
        <f t="shared" si="23"/>
        <v>-357.73214999999982</v>
      </c>
    </row>
    <row r="211" spans="1:5" s="421" customFormat="1" x14ac:dyDescent="0.2">
      <c r="A211" s="588"/>
      <c r="B211" s="592" t="s">
        <v>729</v>
      </c>
      <c r="C211" s="631">
        <f>C210+C203</f>
        <v>18536.196200000002</v>
      </c>
      <c r="D211" s="631">
        <f>D210+D203</f>
        <v>18081.278610000001</v>
      </c>
      <c r="E211" s="632">
        <f t="shared" si="23"/>
        <v>-454.91759000000093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829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661</v>
      </c>
      <c r="C215" s="633">
        <f>IF(C14*C137=0,0,C25/C14*C137)</f>
        <v>8562.620466041064</v>
      </c>
      <c r="D215" s="633">
        <f>IF(D14*D137=0,0,D25/D14*D137)</f>
        <v>8659.4282934176081</v>
      </c>
      <c r="E215" s="633">
        <f t="shared" ref="E215:E223" si="24">D215-C215</f>
        <v>96.807827376544083</v>
      </c>
    </row>
    <row r="216" spans="1:5" s="421" customFormat="1" x14ac:dyDescent="0.2">
      <c r="A216" s="588">
        <v>2</v>
      </c>
      <c r="B216" s="587" t="s">
        <v>640</v>
      </c>
      <c r="C216" s="633">
        <f>IF(C15*C138=0,0,C26/C15*C138)</f>
        <v>5726.5620100676879</v>
      </c>
      <c r="D216" s="633">
        <f>IF(D15*D138=0,0,D26/D15*D138)</f>
        <v>5707.1634018264931</v>
      </c>
      <c r="E216" s="633">
        <f t="shared" si="24"/>
        <v>-19.398608241194779</v>
      </c>
    </row>
    <row r="217" spans="1:5" s="421" customFormat="1" x14ac:dyDescent="0.2">
      <c r="A217" s="588">
        <v>3</v>
      </c>
      <c r="B217" s="587" t="s">
        <v>782</v>
      </c>
      <c r="C217" s="633">
        <f>C218+C219</f>
        <v>3400.3348534649531</v>
      </c>
      <c r="D217" s="633">
        <f>D218+D219</f>
        <v>3496.5339603393577</v>
      </c>
      <c r="E217" s="633">
        <f t="shared" si="24"/>
        <v>96.199106874404606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3400.3348534649531</v>
      </c>
      <c r="D218" s="633">
        <f t="shared" si="25"/>
        <v>3496.5339603393577</v>
      </c>
      <c r="E218" s="633">
        <f t="shared" si="24"/>
        <v>96.199106874404606</v>
      </c>
    </row>
    <row r="219" spans="1:5" s="421" customFormat="1" x14ac:dyDescent="0.2">
      <c r="A219" s="588">
        <v>5</v>
      </c>
      <c r="B219" s="587" t="s">
        <v>748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72.747831098580548</v>
      </c>
      <c r="D220" s="633">
        <f t="shared" si="25"/>
        <v>99.553893708966086</v>
      </c>
      <c r="E220" s="633">
        <f t="shared" si="24"/>
        <v>26.806062610385538</v>
      </c>
    </row>
    <row r="221" spans="1:5" s="421" customFormat="1" x14ac:dyDescent="0.2">
      <c r="A221" s="588">
        <v>7</v>
      </c>
      <c r="B221" s="587" t="s">
        <v>763</v>
      </c>
      <c r="C221" s="633">
        <f t="shared" si="25"/>
        <v>428.88867018730417</v>
      </c>
      <c r="D221" s="633">
        <f t="shared" si="25"/>
        <v>426.80365202230274</v>
      </c>
      <c r="E221" s="633">
        <f t="shared" si="24"/>
        <v>-2.0850181650014292</v>
      </c>
    </row>
    <row r="222" spans="1:5" s="421" customFormat="1" x14ac:dyDescent="0.2">
      <c r="A222" s="588"/>
      <c r="B222" s="592" t="s">
        <v>830</v>
      </c>
      <c r="C222" s="634">
        <f>C216+C218+C219+C220</f>
        <v>9199.6446946312226</v>
      </c>
      <c r="D222" s="634">
        <f>D216+D218+D219+D220</f>
        <v>9303.2512558748167</v>
      </c>
      <c r="E222" s="634">
        <f t="shared" si="24"/>
        <v>103.60656124359411</v>
      </c>
    </row>
    <row r="223" spans="1:5" s="421" customFormat="1" x14ac:dyDescent="0.2">
      <c r="A223" s="588"/>
      <c r="B223" s="592" t="s">
        <v>831</v>
      </c>
      <c r="C223" s="634">
        <f>C215+C222</f>
        <v>17762.265160672287</v>
      </c>
      <c r="D223" s="634">
        <f>D215+D222</f>
        <v>17962.679549292425</v>
      </c>
      <c r="E223" s="634">
        <f t="shared" si="24"/>
        <v>200.4143886201382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832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661</v>
      </c>
      <c r="C227" s="636">
        <f t="shared" ref="C227:D235" si="26">IF(C203=0,0,C47/C203)</f>
        <v>13614.768584026631</v>
      </c>
      <c r="D227" s="636">
        <f t="shared" si="26"/>
        <v>13812.780405096391</v>
      </c>
      <c r="E227" s="636">
        <f t="shared" ref="E227:E235" si="27">D227-C227</f>
        <v>198.01182106976012</v>
      </c>
    </row>
    <row r="228" spans="1:5" s="421" customFormat="1" x14ac:dyDescent="0.2">
      <c r="A228" s="588">
        <v>2</v>
      </c>
      <c r="B228" s="587" t="s">
        <v>640</v>
      </c>
      <c r="C228" s="636">
        <f t="shared" si="26"/>
        <v>6507.4472006493024</v>
      </c>
      <c r="D228" s="636">
        <f t="shared" si="26"/>
        <v>7534.354774816934</v>
      </c>
      <c r="E228" s="636">
        <f t="shared" si="27"/>
        <v>1026.9075741676315</v>
      </c>
    </row>
    <row r="229" spans="1:5" s="421" customFormat="1" x14ac:dyDescent="0.2">
      <c r="A229" s="588">
        <v>3</v>
      </c>
      <c r="B229" s="587" t="s">
        <v>782</v>
      </c>
      <c r="C229" s="636">
        <f t="shared" si="26"/>
        <v>4689.5172078125152</v>
      </c>
      <c r="D229" s="636">
        <f t="shared" si="26"/>
        <v>4561.0192606391283</v>
      </c>
      <c r="E229" s="636">
        <f t="shared" si="27"/>
        <v>-128.49794717338682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4689.5172078125152</v>
      </c>
      <c r="D230" s="636">
        <f t="shared" si="26"/>
        <v>4561.0192606391283</v>
      </c>
      <c r="E230" s="636">
        <f t="shared" si="27"/>
        <v>-128.49794717338682</v>
      </c>
    </row>
    <row r="231" spans="1:5" s="421" customFormat="1" x14ac:dyDescent="0.2">
      <c r="A231" s="588">
        <v>5</v>
      </c>
      <c r="B231" s="587" t="s">
        <v>748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6753.3182676354472</v>
      </c>
      <c r="D232" s="636">
        <f t="shared" si="26"/>
        <v>6136.1308767259461</v>
      </c>
      <c r="E232" s="636">
        <f t="shared" si="27"/>
        <v>-617.18739090950112</v>
      </c>
    </row>
    <row r="233" spans="1:5" s="421" customFormat="1" x14ac:dyDescent="0.2">
      <c r="A233" s="588">
        <v>7</v>
      </c>
      <c r="B233" s="587" t="s">
        <v>763</v>
      </c>
      <c r="C233" s="636">
        <f t="shared" si="26"/>
        <v>20077.174029882834</v>
      </c>
      <c r="D233" s="636">
        <f t="shared" si="26"/>
        <v>8752.0847840617116</v>
      </c>
      <c r="E233" s="636">
        <f t="shared" si="27"/>
        <v>-11325.089245821122</v>
      </c>
    </row>
    <row r="234" spans="1:5" x14ac:dyDescent="0.2">
      <c r="A234" s="588"/>
      <c r="B234" s="592" t="s">
        <v>833</v>
      </c>
      <c r="C234" s="637">
        <f t="shared" si="26"/>
        <v>6199.3518491719788</v>
      </c>
      <c r="D234" s="637">
        <f t="shared" si="26"/>
        <v>6990.5523056205611</v>
      </c>
      <c r="E234" s="637">
        <f t="shared" si="27"/>
        <v>791.20045644858237</v>
      </c>
    </row>
    <row r="235" spans="1:5" s="421" customFormat="1" x14ac:dyDescent="0.2">
      <c r="A235" s="588"/>
      <c r="B235" s="592" t="s">
        <v>834</v>
      </c>
      <c r="C235" s="637">
        <f t="shared" si="26"/>
        <v>8243.4624855772727</v>
      </c>
      <c r="D235" s="637">
        <f t="shared" si="26"/>
        <v>8881.7924585920628</v>
      </c>
      <c r="E235" s="637">
        <f t="shared" si="27"/>
        <v>638.32997301479008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835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661</v>
      </c>
      <c r="C239" s="636">
        <f t="shared" ref="C239:D247" si="28">IF(C215=0,0,C58/C215)</f>
        <v>14601.427623219895</v>
      </c>
      <c r="D239" s="636">
        <f t="shared" si="28"/>
        <v>14460.146877731218</v>
      </c>
      <c r="E239" s="638">
        <f t="shared" ref="E239:E247" si="29">D239-C239</f>
        <v>-141.28074548867698</v>
      </c>
    </row>
    <row r="240" spans="1:5" s="421" customFormat="1" x14ac:dyDescent="0.2">
      <c r="A240" s="588">
        <v>2</v>
      </c>
      <c r="B240" s="587" t="s">
        <v>640</v>
      </c>
      <c r="C240" s="636">
        <f t="shared" si="28"/>
        <v>9508.966095934471</v>
      </c>
      <c r="D240" s="636">
        <f t="shared" si="28"/>
        <v>8960.4851656487936</v>
      </c>
      <c r="E240" s="638">
        <f t="shared" si="29"/>
        <v>-548.48093028567746</v>
      </c>
    </row>
    <row r="241" spans="1:5" x14ac:dyDescent="0.2">
      <c r="A241" s="588">
        <v>3</v>
      </c>
      <c r="B241" s="587" t="s">
        <v>782</v>
      </c>
      <c r="C241" s="636">
        <f t="shared" si="28"/>
        <v>5568.2739541684232</v>
      </c>
      <c r="D241" s="636">
        <f t="shared" si="28"/>
        <v>5982.9563325532918</v>
      </c>
      <c r="E241" s="638">
        <f t="shared" si="29"/>
        <v>414.68237838486857</v>
      </c>
    </row>
    <row r="242" spans="1:5" x14ac:dyDescent="0.2">
      <c r="A242" s="588">
        <v>4</v>
      </c>
      <c r="B242" s="587" t="s">
        <v>115</v>
      </c>
      <c r="C242" s="636">
        <f t="shared" si="28"/>
        <v>5568.2739541684232</v>
      </c>
      <c r="D242" s="636">
        <f t="shared" si="28"/>
        <v>5982.9563325532918</v>
      </c>
      <c r="E242" s="638">
        <f t="shared" si="29"/>
        <v>414.68237838486857</v>
      </c>
    </row>
    <row r="243" spans="1:5" x14ac:dyDescent="0.2">
      <c r="A243" s="588">
        <v>5</v>
      </c>
      <c r="B243" s="587" t="s">
        <v>748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5133.2939327628483</v>
      </c>
      <c r="D244" s="636">
        <f t="shared" si="28"/>
        <v>2949.5179852875444</v>
      </c>
      <c r="E244" s="638">
        <f t="shared" si="29"/>
        <v>-2183.7759474753038</v>
      </c>
    </row>
    <row r="245" spans="1:5" x14ac:dyDescent="0.2">
      <c r="A245" s="588">
        <v>7</v>
      </c>
      <c r="B245" s="587" t="s">
        <v>763</v>
      </c>
      <c r="C245" s="636">
        <f t="shared" si="28"/>
        <v>10607.911367798766</v>
      </c>
      <c r="D245" s="636">
        <f t="shared" si="28"/>
        <v>5786.3328682833035</v>
      </c>
      <c r="E245" s="638">
        <f t="shared" si="29"/>
        <v>-4821.5784995154627</v>
      </c>
    </row>
    <row r="246" spans="1:5" ht="25.5" x14ac:dyDescent="0.2">
      <c r="A246" s="588"/>
      <c r="B246" s="592" t="s">
        <v>836</v>
      </c>
      <c r="C246" s="637">
        <f t="shared" si="28"/>
        <v>8017.8222581841565</v>
      </c>
      <c r="D246" s="637">
        <f t="shared" si="28"/>
        <v>7777.087494472541</v>
      </c>
      <c r="E246" s="639">
        <f t="shared" si="29"/>
        <v>-240.73476371161541</v>
      </c>
    </row>
    <row r="247" spans="1:5" x14ac:dyDescent="0.2">
      <c r="A247" s="588"/>
      <c r="B247" s="592" t="s">
        <v>837</v>
      </c>
      <c r="C247" s="637">
        <f t="shared" si="28"/>
        <v>11191.568034922639</v>
      </c>
      <c r="D247" s="637">
        <f t="shared" si="28"/>
        <v>10998.849222792182</v>
      </c>
      <c r="E247" s="639">
        <f t="shared" si="29"/>
        <v>-192.71881213045708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765</v>
      </c>
      <c r="B249" s="626" t="s">
        <v>762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13399672.836422546</v>
      </c>
      <c r="D251" s="622">
        <f>((IF((IF(D15=0,0,D26/D15)*D138)=0,0,D59/(IF(D15=0,0,D26/D15)*D138)))-(IF((IF(D17=0,0,D28/D17)*D140)=0,0,D61/(IF(D17=0,0,D28/D17)*D140))))*(IF(D17=0,0,D28/D17)*D140)</f>
        <v>10411030.682808042</v>
      </c>
      <c r="E251" s="622">
        <f>D251-C251</f>
        <v>-2988642.1536145043</v>
      </c>
    </row>
    <row r="252" spans="1:5" x14ac:dyDescent="0.2">
      <c r="A252" s="588">
        <v>2</v>
      </c>
      <c r="B252" s="587" t="s">
        <v>748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763</v>
      </c>
      <c r="C253" s="622">
        <f>IF(C233=0,0,(C228-C233)*C209+IF(C221=0,0,(C240-C245)*C221))</f>
        <v>-2996108.5501056942</v>
      </c>
      <c r="D253" s="622">
        <f>IF(D233=0,0,(D228-D233)*D209+IF(D221=0,0,(D240-D245)*D221))</f>
        <v>1164862.2939924591</v>
      </c>
      <c r="E253" s="622">
        <f>D253-C253</f>
        <v>4160970.8440981535</v>
      </c>
    </row>
    <row r="254" spans="1:5" ht="15" customHeight="1" x14ac:dyDescent="0.2">
      <c r="A254" s="588"/>
      <c r="B254" s="592" t="s">
        <v>764</v>
      </c>
      <c r="C254" s="640">
        <f>+C251+C252+C253</f>
        <v>10403564.286316851</v>
      </c>
      <c r="D254" s="640">
        <f>+D251+D252+D253</f>
        <v>11575892.976800501</v>
      </c>
      <c r="E254" s="640">
        <f>D254-C254</f>
        <v>1172328.6904836502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838</v>
      </c>
      <c r="B256" s="626" t="s">
        <v>839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730</v>
      </c>
      <c r="C258" s="622">
        <f>+C44</f>
        <v>1216521478</v>
      </c>
      <c r="D258" s="625">
        <f>+D44</f>
        <v>1272225607</v>
      </c>
      <c r="E258" s="622">
        <f t="shared" ref="E258:E271" si="30">D258-C258</f>
        <v>55704129</v>
      </c>
    </row>
    <row r="259" spans="1:5" x14ac:dyDescent="0.2">
      <c r="A259" s="588">
        <v>2</v>
      </c>
      <c r="B259" s="587" t="s">
        <v>747</v>
      </c>
      <c r="C259" s="622">
        <f>+(C43-C76)</f>
        <v>608508458</v>
      </c>
      <c r="D259" s="625">
        <f>+(D43-D76)</f>
        <v>638295243</v>
      </c>
      <c r="E259" s="622">
        <f t="shared" si="30"/>
        <v>29786785</v>
      </c>
    </row>
    <row r="260" spans="1:5" x14ac:dyDescent="0.2">
      <c r="A260" s="588">
        <v>3</v>
      </c>
      <c r="B260" s="587" t="s">
        <v>751</v>
      </c>
      <c r="C260" s="622">
        <f>C195</f>
        <v>19624809</v>
      </c>
      <c r="D260" s="622">
        <f>D195</f>
        <v>22468915</v>
      </c>
      <c r="E260" s="622">
        <f t="shared" si="30"/>
        <v>2844106</v>
      </c>
    </row>
    <row r="261" spans="1:5" x14ac:dyDescent="0.2">
      <c r="A261" s="588">
        <v>4</v>
      </c>
      <c r="B261" s="587" t="s">
        <v>752</v>
      </c>
      <c r="C261" s="622">
        <f>C188</f>
        <v>218498518</v>
      </c>
      <c r="D261" s="622">
        <f>D188</f>
        <v>233646550</v>
      </c>
      <c r="E261" s="622">
        <f t="shared" si="30"/>
        <v>15148032</v>
      </c>
    </row>
    <row r="262" spans="1:5" x14ac:dyDescent="0.2">
      <c r="A262" s="588">
        <v>5</v>
      </c>
      <c r="B262" s="587" t="s">
        <v>753</v>
      </c>
      <c r="C262" s="622">
        <f>C191</f>
        <v>17342392</v>
      </c>
      <c r="D262" s="622">
        <f>D191</f>
        <v>18567411</v>
      </c>
      <c r="E262" s="622">
        <f t="shared" si="30"/>
        <v>1225019</v>
      </c>
    </row>
    <row r="263" spans="1:5" x14ac:dyDescent="0.2">
      <c r="A263" s="588">
        <v>6</v>
      </c>
      <c r="B263" s="587" t="s">
        <v>754</v>
      </c>
      <c r="C263" s="622">
        <f>+C259+C260+C261+C262</f>
        <v>863974177</v>
      </c>
      <c r="D263" s="622">
        <f>+D259+D260+D261+D262</f>
        <v>912978119</v>
      </c>
      <c r="E263" s="622">
        <f t="shared" si="30"/>
        <v>49003942</v>
      </c>
    </row>
    <row r="264" spans="1:5" x14ac:dyDescent="0.2">
      <c r="A264" s="588">
        <v>7</v>
      </c>
      <c r="B264" s="587" t="s">
        <v>659</v>
      </c>
      <c r="C264" s="622">
        <f>+C258-C263</f>
        <v>352547301</v>
      </c>
      <c r="D264" s="622">
        <f>+D258-D263</f>
        <v>359247488</v>
      </c>
      <c r="E264" s="622">
        <f t="shared" si="30"/>
        <v>6700187</v>
      </c>
    </row>
    <row r="265" spans="1:5" x14ac:dyDescent="0.2">
      <c r="A265" s="588">
        <v>8</v>
      </c>
      <c r="B265" s="587" t="s">
        <v>840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841</v>
      </c>
      <c r="C266" s="622">
        <f>+C264+C265</f>
        <v>352547301</v>
      </c>
      <c r="D266" s="622">
        <f>+D264+D265</f>
        <v>359247488</v>
      </c>
      <c r="E266" s="641">
        <f t="shared" si="30"/>
        <v>6700187</v>
      </c>
    </row>
    <row r="267" spans="1:5" x14ac:dyDescent="0.2">
      <c r="A267" s="588">
        <v>10</v>
      </c>
      <c r="B267" s="587" t="s">
        <v>842</v>
      </c>
      <c r="C267" s="642">
        <f>IF(C258=0,0,C266/C258)</f>
        <v>0.28979948761743113</v>
      </c>
      <c r="D267" s="642">
        <f>IF(D258=0,0,D266/D258)</f>
        <v>0.28237718689465113</v>
      </c>
      <c r="E267" s="643">
        <f t="shared" si="30"/>
        <v>-7.4223007227799953E-3</v>
      </c>
    </row>
    <row r="268" spans="1:5" x14ac:dyDescent="0.2">
      <c r="A268" s="588">
        <v>11</v>
      </c>
      <c r="B268" s="587" t="s">
        <v>721</v>
      </c>
      <c r="C268" s="622">
        <f>+C260*C267</f>
        <v>5687259.5927899508</v>
      </c>
      <c r="D268" s="644">
        <f>+D260*D267</f>
        <v>6344709.0102750305</v>
      </c>
      <c r="E268" s="622">
        <f t="shared" si="30"/>
        <v>657449.41748507973</v>
      </c>
    </row>
    <row r="269" spans="1:5" x14ac:dyDescent="0.2">
      <c r="A269" s="588">
        <v>12</v>
      </c>
      <c r="B269" s="587" t="s">
        <v>843</v>
      </c>
      <c r="C269" s="622">
        <f>((C17+C18+C28+C29)*C267)-(C50+C51+C61+C62)</f>
        <v>21261934.563522868</v>
      </c>
      <c r="D269" s="644">
        <f>((D17+D18+D28+D29)*D267)-(D50+D51+D61+D62)</f>
        <v>23774256.417047963</v>
      </c>
      <c r="E269" s="622">
        <f t="shared" si="30"/>
        <v>2512321.8535250947</v>
      </c>
    </row>
    <row r="270" spans="1:5" s="648" customFormat="1" x14ac:dyDescent="0.2">
      <c r="A270" s="645">
        <v>13</v>
      </c>
      <c r="B270" s="646" t="s">
        <v>844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845</v>
      </c>
      <c r="C271" s="622">
        <f>+C268+C269+C270</f>
        <v>26949194.15631282</v>
      </c>
      <c r="D271" s="622">
        <f>+D268+D269+D270</f>
        <v>30118965.427322991</v>
      </c>
      <c r="E271" s="625">
        <f t="shared" si="30"/>
        <v>3169771.2710101716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846</v>
      </c>
      <c r="B273" s="626" t="s">
        <v>847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848</v>
      </c>
      <c r="C275" s="425"/>
      <c r="D275" s="425"/>
      <c r="E275" s="596"/>
    </row>
    <row r="276" spans="1:5" x14ac:dyDescent="0.2">
      <c r="A276" s="588">
        <v>1</v>
      </c>
      <c r="B276" s="587" t="s">
        <v>661</v>
      </c>
      <c r="C276" s="623">
        <f t="shared" ref="C276:D284" si="31">IF(C14=0,0,+C47/C14)</f>
        <v>0.44611823645445275</v>
      </c>
      <c r="D276" s="623">
        <f t="shared" si="31"/>
        <v>0.44966683989806466</v>
      </c>
      <c r="E276" s="650">
        <f t="shared" ref="E276:E284" si="32">D276-C276</f>
        <v>3.5486034436119085E-3</v>
      </c>
    </row>
    <row r="277" spans="1:5" x14ac:dyDescent="0.2">
      <c r="A277" s="588">
        <v>2</v>
      </c>
      <c r="B277" s="587" t="s">
        <v>640</v>
      </c>
      <c r="C277" s="623">
        <f t="shared" si="31"/>
        <v>0.20858766542051516</v>
      </c>
      <c r="D277" s="623">
        <f t="shared" si="31"/>
        <v>0.23177895675570614</v>
      </c>
      <c r="E277" s="650">
        <f t="shared" si="32"/>
        <v>2.3191291335190989E-2</v>
      </c>
    </row>
    <row r="278" spans="1:5" x14ac:dyDescent="0.2">
      <c r="A278" s="588">
        <v>3</v>
      </c>
      <c r="B278" s="587" t="s">
        <v>782</v>
      </c>
      <c r="C278" s="623">
        <f t="shared" si="31"/>
        <v>0.15017671093497878</v>
      </c>
      <c r="D278" s="623">
        <f t="shared" si="31"/>
        <v>0.13958555985035836</v>
      </c>
      <c r="E278" s="650">
        <f t="shared" si="32"/>
        <v>-1.0591151084620415E-2</v>
      </c>
    </row>
    <row r="279" spans="1:5" x14ac:dyDescent="0.2">
      <c r="A279" s="588">
        <v>4</v>
      </c>
      <c r="B279" s="587" t="s">
        <v>115</v>
      </c>
      <c r="C279" s="623">
        <f t="shared" si="31"/>
        <v>0.15017671093497878</v>
      </c>
      <c r="D279" s="623">
        <f t="shared" si="31"/>
        <v>0.13958555985035836</v>
      </c>
      <c r="E279" s="650">
        <f t="shared" si="32"/>
        <v>-1.0591151084620415E-2</v>
      </c>
    </row>
    <row r="280" spans="1:5" x14ac:dyDescent="0.2">
      <c r="A280" s="588">
        <v>5</v>
      </c>
      <c r="B280" s="587" t="s">
        <v>748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0.22630024748931052</v>
      </c>
      <c r="D281" s="623">
        <f t="shared" si="31"/>
        <v>0.20433751402512859</v>
      </c>
      <c r="E281" s="650">
        <f t="shared" si="32"/>
        <v>-2.1962733464181927E-2</v>
      </c>
    </row>
    <row r="282" spans="1:5" x14ac:dyDescent="0.2">
      <c r="A282" s="588">
        <v>7</v>
      </c>
      <c r="B282" s="587" t="s">
        <v>763</v>
      </c>
      <c r="C282" s="623">
        <f t="shared" si="31"/>
        <v>0.64160157575064314</v>
      </c>
      <c r="D282" s="623">
        <f t="shared" si="31"/>
        <v>0.28406907631391498</v>
      </c>
      <c r="E282" s="650">
        <f t="shared" si="32"/>
        <v>-0.35753249943672816</v>
      </c>
    </row>
    <row r="283" spans="1:5" ht="29.25" customHeight="1" x14ac:dyDescent="0.2">
      <c r="A283" s="588"/>
      <c r="B283" s="592" t="s">
        <v>849</v>
      </c>
      <c r="C283" s="651">
        <f t="shared" si="31"/>
        <v>0.1987166286608458</v>
      </c>
      <c r="D283" s="651">
        <f t="shared" si="31"/>
        <v>0.21492341762606579</v>
      </c>
      <c r="E283" s="652">
        <f t="shared" si="32"/>
        <v>1.6206788965219987E-2</v>
      </c>
    </row>
    <row r="284" spans="1:5" x14ac:dyDescent="0.2">
      <c r="A284" s="588"/>
      <c r="B284" s="592" t="s">
        <v>850</v>
      </c>
      <c r="C284" s="651">
        <f t="shared" si="31"/>
        <v>0.26583349584930061</v>
      </c>
      <c r="D284" s="651">
        <f t="shared" si="31"/>
        <v>0.27734297227866617</v>
      </c>
      <c r="E284" s="652">
        <f t="shared" si="32"/>
        <v>1.1509476429365562E-2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851</v>
      </c>
      <c r="C286" s="596"/>
      <c r="D286" s="596"/>
      <c r="E286" s="596"/>
    </row>
    <row r="287" spans="1:5" x14ac:dyDescent="0.2">
      <c r="A287" s="588">
        <v>1</v>
      </c>
      <c r="B287" s="587" t="s">
        <v>661</v>
      </c>
      <c r="C287" s="623">
        <f t="shared" ref="C287:D295" si="33">IF(C25=0,0,+C58/C25)</f>
        <v>0.42370556046891533</v>
      </c>
      <c r="D287" s="623">
        <f t="shared" si="33"/>
        <v>0.39594373827802665</v>
      </c>
      <c r="E287" s="650">
        <f t="shared" ref="E287:E295" si="34">D287-C287</f>
        <v>-2.7761822190888685E-2</v>
      </c>
    </row>
    <row r="288" spans="1:5" x14ac:dyDescent="0.2">
      <c r="A288" s="588">
        <v>2</v>
      </c>
      <c r="B288" s="587" t="s">
        <v>640</v>
      </c>
      <c r="C288" s="623">
        <f t="shared" si="33"/>
        <v>0.22734199138912684</v>
      </c>
      <c r="D288" s="623">
        <f t="shared" si="33"/>
        <v>0.20090882815865041</v>
      </c>
      <c r="E288" s="650">
        <f t="shared" si="34"/>
        <v>-2.6433163230476425E-2</v>
      </c>
    </row>
    <row r="289" spans="1:5" x14ac:dyDescent="0.2">
      <c r="A289" s="588">
        <v>3</v>
      </c>
      <c r="B289" s="587" t="s">
        <v>782</v>
      </c>
      <c r="C289" s="623">
        <f t="shared" si="33"/>
        <v>0.18143868971302016</v>
      </c>
      <c r="D289" s="623">
        <f t="shared" si="33"/>
        <v>0.1754276037411355</v>
      </c>
      <c r="E289" s="650">
        <f t="shared" si="34"/>
        <v>-6.0110859718846554E-3</v>
      </c>
    </row>
    <row r="290" spans="1:5" x14ac:dyDescent="0.2">
      <c r="A290" s="588">
        <v>4</v>
      </c>
      <c r="B290" s="587" t="s">
        <v>115</v>
      </c>
      <c r="C290" s="623">
        <f t="shared" si="33"/>
        <v>0.18143868971302016</v>
      </c>
      <c r="D290" s="623">
        <f t="shared" si="33"/>
        <v>0.1754276037411355</v>
      </c>
      <c r="E290" s="650">
        <f t="shared" si="34"/>
        <v>-6.0110859718846554E-3</v>
      </c>
    </row>
    <row r="291" spans="1:5" x14ac:dyDescent="0.2">
      <c r="A291" s="588">
        <v>5</v>
      </c>
      <c r="B291" s="587" t="s">
        <v>748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0.13531628309611785</v>
      </c>
      <c r="D292" s="623">
        <f t="shared" si="33"/>
        <v>9.3383763712071077E-2</v>
      </c>
      <c r="E292" s="650">
        <f t="shared" si="34"/>
        <v>-4.1932519384046768E-2</v>
      </c>
    </row>
    <row r="293" spans="1:5" x14ac:dyDescent="0.2">
      <c r="A293" s="588">
        <v>7</v>
      </c>
      <c r="B293" s="587" t="s">
        <v>763</v>
      </c>
      <c r="C293" s="623">
        <f t="shared" si="33"/>
        <v>0.30608989043740936</v>
      </c>
      <c r="D293" s="623">
        <f t="shared" si="33"/>
        <v>0.16742031846514133</v>
      </c>
      <c r="E293" s="650">
        <f t="shared" si="34"/>
        <v>-0.13866957197226804</v>
      </c>
    </row>
    <row r="294" spans="1:5" ht="29.25" customHeight="1" x14ac:dyDescent="0.2">
      <c r="A294" s="588"/>
      <c r="B294" s="592" t="s">
        <v>852</v>
      </c>
      <c r="C294" s="651">
        <f t="shared" si="33"/>
        <v>0.21279021368611734</v>
      </c>
      <c r="D294" s="651">
        <f t="shared" si="33"/>
        <v>0.19195039278170878</v>
      </c>
      <c r="E294" s="652">
        <f t="shared" si="34"/>
        <v>-2.0839820904408557E-2</v>
      </c>
    </row>
    <row r="295" spans="1:5" x14ac:dyDescent="0.2">
      <c r="A295" s="588"/>
      <c r="B295" s="592" t="s">
        <v>853</v>
      </c>
      <c r="C295" s="651">
        <f t="shared" si="33"/>
        <v>0.3097748363677526</v>
      </c>
      <c r="D295" s="651">
        <f t="shared" si="33"/>
        <v>0.2850179411563345</v>
      </c>
      <c r="E295" s="652">
        <f t="shared" si="34"/>
        <v>-2.4756895211418106E-2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854</v>
      </c>
      <c r="B297" s="579" t="s">
        <v>855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856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659</v>
      </c>
      <c r="C301" s="590">
        <f>+C48+C47+C50+C51+C52+C59+C58+C61+C62+C63</f>
        <v>351590037</v>
      </c>
      <c r="D301" s="590">
        <f>+D48+D47+D50+D51+D52+D59+D58+D61+D62+D63</f>
        <v>358162968</v>
      </c>
      <c r="E301" s="590">
        <f>D301-C301</f>
        <v>6572931</v>
      </c>
    </row>
    <row r="302" spans="1:5" ht="25.5" x14ac:dyDescent="0.2">
      <c r="A302" s="588">
        <v>2</v>
      </c>
      <c r="B302" s="587" t="s">
        <v>857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858</v>
      </c>
      <c r="C303" s="593">
        <f>+C301+C302</f>
        <v>351590037</v>
      </c>
      <c r="D303" s="593">
        <f>+D301+D302</f>
        <v>358162968</v>
      </c>
      <c r="E303" s="593">
        <f>D303-C303</f>
        <v>6572931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859</v>
      </c>
      <c r="C305" s="589">
        <v>-4419016</v>
      </c>
      <c r="D305" s="654">
        <v>-4152362</v>
      </c>
      <c r="E305" s="655">
        <f>D305-C305</f>
        <v>266654</v>
      </c>
    </row>
    <row r="306" spans="1:5" x14ac:dyDescent="0.2">
      <c r="A306" s="588">
        <v>4</v>
      </c>
      <c r="B306" s="592" t="s">
        <v>860</v>
      </c>
      <c r="C306" s="593">
        <f>+C303+C305+C194+C190-C191</f>
        <v>364724383</v>
      </c>
      <c r="D306" s="593">
        <f>+D303+D305</f>
        <v>354010606</v>
      </c>
      <c r="E306" s="656">
        <f>D306-C306</f>
        <v>-10713777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861</v>
      </c>
      <c r="C308" s="589">
        <v>347171019</v>
      </c>
      <c r="D308" s="589">
        <v>354010685</v>
      </c>
      <c r="E308" s="590">
        <f>D308-C308</f>
        <v>6839666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862</v>
      </c>
      <c r="C310" s="657">
        <f>C306-C308</f>
        <v>17553364</v>
      </c>
      <c r="D310" s="658">
        <f>D306-D308</f>
        <v>-79</v>
      </c>
      <c r="E310" s="656">
        <f>D310-C310</f>
        <v>-17553443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863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864</v>
      </c>
      <c r="C314" s="590">
        <f>+C14+C15+C16+C19+C25+C26+C27+C30</f>
        <v>1216521478</v>
      </c>
      <c r="D314" s="590">
        <f>+D14+D15+D16+D19+D25+D26+D27+D30</f>
        <v>1272225607</v>
      </c>
      <c r="E314" s="590">
        <f>D314-C314</f>
        <v>55704129</v>
      </c>
    </row>
    <row r="315" spans="1:5" x14ac:dyDescent="0.2">
      <c r="A315" s="588">
        <v>2</v>
      </c>
      <c r="B315" s="659" t="s">
        <v>865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866</v>
      </c>
      <c r="C316" s="657">
        <f>C314+C315</f>
        <v>1216521478</v>
      </c>
      <c r="D316" s="657">
        <f>D314+D315</f>
        <v>1272225607</v>
      </c>
      <c r="E316" s="593">
        <f>D316-C316</f>
        <v>55704129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867</v>
      </c>
      <c r="C318" s="589">
        <v>1216521478</v>
      </c>
      <c r="D318" s="589">
        <v>1272225607</v>
      </c>
      <c r="E318" s="590">
        <f>D318-C318</f>
        <v>55704129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862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868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869</v>
      </c>
      <c r="C324" s="589">
        <f>+C193+C194</f>
        <v>19624809</v>
      </c>
      <c r="D324" s="589">
        <f>+D193+D194</f>
        <v>22468915</v>
      </c>
      <c r="E324" s="590">
        <f>D324-C324</f>
        <v>2844106</v>
      </c>
    </row>
    <row r="325" spans="1:5" x14ac:dyDescent="0.2">
      <c r="A325" s="588">
        <v>2</v>
      </c>
      <c r="B325" s="587" t="s">
        <v>870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871</v>
      </c>
      <c r="C326" s="657">
        <f>C324+C325</f>
        <v>19624809</v>
      </c>
      <c r="D326" s="657">
        <f>D324+D325</f>
        <v>22468915</v>
      </c>
      <c r="E326" s="593">
        <f>D326-C326</f>
        <v>2844106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872</v>
      </c>
      <c r="C328" s="589">
        <v>19624809</v>
      </c>
      <c r="D328" s="589">
        <v>22468915</v>
      </c>
      <c r="E328" s="590">
        <f>D328-C328</f>
        <v>2844106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873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FILING&amp;RMIDDLESEX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634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874</v>
      </c>
      <c r="B5" s="824"/>
      <c r="C5" s="825"/>
      <c r="D5" s="661"/>
    </row>
    <row r="6" spans="1:58" s="662" customFormat="1" ht="15.75" customHeight="1" x14ac:dyDescent="0.25">
      <c r="A6" s="823" t="s">
        <v>875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876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877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781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661</v>
      </c>
      <c r="C14" s="589">
        <v>153971318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640</v>
      </c>
      <c r="C15" s="591">
        <v>346094124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782</v>
      </c>
      <c r="C16" s="591">
        <v>77179588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77179588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748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1800340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763</v>
      </c>
      <c r="C20" s="591">
        <v>4804078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783</v>
      </c>
      <c r="C21" s="593">
        <f>SUM(C15+C16+C19)</f>
        <v>425074052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579045370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784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661</v>
      </c>
      <c r="C25" s="589">
        <v>316248479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640</v>
      </c>
      <c r="C26" s="591">
        <v>254538108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782</v>
      </c>
      <c r="C27" s="591">
        <v>119249249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119249249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748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3144401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763</v>
      </c>
      <c r="C31" s="594">
        <v>14751065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785</v>
      </c>
      <c r="C32" s="593">
        <f>SUM(C26+C27+C30)</f>
        <v>376931758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693180237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658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878</v>
      </c>
      <c r="C36" s="590">
        <f>SUM(C14+C25)</f>
        <v>470219797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879</v>
      </c>
      <c r="C37" s="594">
        <f>SUM(C21+C32)</f>
        <v>802005810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658</v>
      </c>
      <c r="C38" s="593">
        <f>SUM(+C36+C37)</f>
        <v>1272225607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794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661</v>
      </c>
      <c r="C41" s="589">
        <v>69235796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640</v>
      </c>
      <c r="C42" s="591">
        <v>80217335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782</v>
      </c>
      <c r="C43" s="591">
        <v>10773156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10773156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748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367877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763</v>
      </c>
      <c r="C47" s="591">
        <v>1364690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795</v>
      </c>
      <c r="C48" s="593">
        <f>SUM(C42+C43+C46)</f>
        <v>91358368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160594164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796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661</v>
      </c>
      <c r="C52" s="589">
        <v>125216605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640</v>
      </c>
      <c r="C53" s="591">
        <v>51138953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782</v>
      </c>
      <c r="C54" s="591">
        <v>20919610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20919610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748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293636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763</v>
      </c>
      <c r="C58" s="591">
        <v>2469628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797</v>
      </c>
      <c r="C59" s="593">
        <f>SUM(C53+C54+C57)</f>
        <v>72352199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197568804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659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880</v>
      </c>
      <c r="C63" s="590">
        <f>SUM(C41+C52)</f>
        <v>194452401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881</v>
      </c>
      <c r="C64" s="594">
        <f>SUM(C48+C59)</f>
        <v>163710567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659</v>
      </c>
      <c r="C65" s="593">
        <f>SUM(+C63+C64)</f>
        <v>358162968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882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883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661</v>
      </c>
      <c r="C70" s="606">
        <v>4216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640</v>
      </c>
      <c r="C71" s="606">
        <v>7760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782</v>
      </c>
      <c r="C72" s="606">
        <v>2263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2263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748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57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763</v>
      </c>
      <c r="C76" s="621">
        <v>139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812</v>
      </c>
      <c r="C77" s="608">
        <f>SUM(C71+C72+C75)</f>
        <v>10080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14296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816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661</v>
      </c>
      <c r="C81" s="617">
        <v>1.1889099999999999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640</v>
      </c>
      <c r="C82" s="617">
        <v>1.37202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782</v>
      </c>
      <c r="C83" s="617">
        <f>((C73*C84)+(C74*C85))/(C73+C74)</f>
        <v>1.04375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1.04375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748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1.0518000000000001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763</v>
      </c>
      <c r="C87" s="617">
        <v>1.12178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817</v>
      </c>
      <c r="C88" s="619">
        <f>((C71*C82)+(C73*C84)+(C74*C85)+(C75*C86))/(C71+C73+C74+C75)</f>
        <v>1.2965113144841272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728</v>
      </c>
      <c r="C89" s="619">
        <f>((C70*C81)+(C71*C82)+(C73*C84)+(C74*C85)+(C75*C86))/(C70+C71+C73+C74+C75)</f>
        <v>1.264778861919418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818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819</v>
      </c>
      <c r="C92" s="589">
        <v>429305698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820</v>
      </c>
      <c r="C93" s="622">
        <v>195659148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673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752</v>
      </c>
      <c r="C95" s="589">
        <f>+C92-C93</f>
        <v>233646550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675</v>
      </c>
      <c r="C96" s="681">
        <f>(+C92-C93)/C92</f>
        <v>0.5442428346245709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767</v>
      </c>
      <c r="C98" s="589">
        <v>25158869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753</v>
      </c>
      <c r="C99" s="589">
        <v>18567411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884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822</v>
      </c>
      <c r="C103" s="589">
        <v>8559951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823</v>
      </c>
      <c r="C104" s="589">
        <v>13908964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824</v>
      </c>
      <c r="C105" s="654">
        <f>+C103+C104</f>
        <v>22468915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825</v>
      </c>
      <c r="C107" s="589">
        <v>12557059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715</v>
      </c>
      <c r="C108" s="589">
        <v>345860614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855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856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659</v>
      </c>
      <c r="C114" s="590">
        <f>+C65</f>
        <v>358162968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857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858</v>
      </c>
      <c r="C116" s="593">
        <f>+C114+C115</f>
        <v>358162968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859</v>
      </c>
      <c r="C118" s="654">
        <v>-4152362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860</v>
      </c>
      <c r="C119" s="656">
        <f>+C116+C118</f>
        <v>354010606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861</v>
      </c>
      <c r="C121" s="589">
        <v>354010685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862</v>
      </c>
      <c r="C123" s="658">
        <f>C119-C121</f>
        <v>-79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863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864</v>
      </c>
      <c r="C127" s="590">
        <f>C38</f>
        <v>1272225607</v>
      </c>
      <c r="D127" s="664"/>
      <c r="AR127" s="485"/>
    </row>
    <row r="128" spans="1:58" s="421" customFormat="1" ht="12.75" x14ac:dyDescent="0.2">
      <c r="A128" s="588">
        <v>2</v>
      </c>
      <c r="B128" s="659" t="s">
        <v>865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866</v>
      </c>
      <c r="C129" s="657">
        <f>C127+C128</f>
        <v>1272225607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867</v>
      </c>
      <c r="C131" s="589">
        <v>1272225607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862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868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869</v>
      </c>
      <c r="C137" s="589">
        <f>C105</f>
        <v>22468915</v>
      </c>
      <c r="D137" s="664"/>
      <c r="AR137" s="485"/>
    </row>
    <row r="138" spans="1:44" s="421" customFormat="1" ht="12.75" x14ac:dyDescent="0.2">
      <c r="A138" s="588">
        <v>2</v>
      </c>
      <c r="B138" s="669" t="s">
        <v>885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871</v>
      </c>
      <c r="C139" s="657">
        <f>C137+C138</f>
        <v>22468915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886</v>
      </c>
      <c r="C141" s="589">
        <v>22468915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873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FILING&amp;RMIDDLESEX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H56" sqref="H56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634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887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637</v>
      </c>
      <c r="D8" s="177" t="s">
        <v>637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888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889</v>
      </c>
      <c r="C12" s="185">
        <v>4478</v>
      </c>
      <c r="D12" s="185">
        <v>3635</v>
      </c>
      <c r="E12" s="185">
        <f>+D12-C12</f>
        <v>-843</v>
      </c>
      <c r="F12" s="77">
        <f>IF(C12=0,0,+E12/C12)</f>
        <v>-0.188253684680661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890</v>
      </c>
      <c r="C13" s="185">
        <v>2895</v>
      </c>
      <c r="D13" s="185">
        <v>2474</v>
      </c>
      <c r="E13" s="185">
        <f>+D13-C13</f>
        <v>-421</v>
      </c>
      <c r="F13" s="77">
        <f>IF(C13=0,0,+E13/C13)</f>
        <v>-0.14542314335060449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891</v>
      </c>
      <c r="C15" s="76">
        <v>8529846</v>
      </c>
      <c r="D15" s="76">
        <v>8559951</v>
      </c>
      <c r="E15" s="76">
        <f>+D15-C15</f>
        <v>30105</v>
      </c>
      <c r="F15" s="77">
        <f>IF(C15=0,0,+E15/C15)</f>
        <v>3.529372042590218E-3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892</v>
      </c>
      <c r="C16" s="79">
        <f>IF(C13=0,0,+C15/+C13)</f>
        <v>2946.4062176165803</v>
      </c>
      <c r="D16" s="79">
        <f>IF(D13=0,0,+D15/+D13)</f>
        <v>3459.9640258690379</v>
      </c>
      <c r="E16" s="79">
        <f>+D16-C16</f>
        <v>513.55780825245756</v>
      </c>
      <c r="F16" s="80">
        <f>IF(C16=0,0,+E16/C16)</f>
        <v>0.17429973001750146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893</v>
      </c>
      <c r="C18" s="704">
        <v>0.29578300000000002</v>
      </c>
      <c r="D18" s="704">
        <v>0.27857100000000001</v>
      </c>
      <c r="E18" s="704">
        <f>+D18-C18</f>
        <v>-1.7212000000000005E-2</v>
      </c>
      <c r="F18" s="77">
        <f>IF(C18=0,0,+E18/C18)</f>
        <v>-5.8191309169222043E-2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894</v>
      </c>
      <c r="C19" s="79">
        <f>+C15*C18</f>
        <v>2522983.4394180002</v>
      </c>
      <c r="D19" s="79">
        <f>+D15*D18</f>
        <v>2384554.1100210003</v>
      </c>
      <c r="E19" s="79">
        <f>+D19-C19</f>
        <v>-138429.32939699991</v>
      </c>
      <c r="F19" s="80">
        <f>IF(C19=0,0,+E19/C19)</f>
        <v>-5.4867315906335347E-2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895</v>
      </c>
      <c r="C20" s="79">
        <f>IF(C13=0,0,+C19/C13)</f>
        <v>871.496870265285</v>
      </c>
      <c r="D20" s="79">
        <f>IF(D13=0,0,+D19/D13)</f>
        <v>963.84563865036387</v>
      </c>
      <c r="E20" s="79">
        <f>+D20-C20</f>
        <v>92.34876838507887</v>
      </c>
      <c r="F20" s="80">
        <f>IF(C20=0,0,+E20/C20)</f>
        <v>0.10596569137071916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896</v>
      </c>
      <c r="C22" s="76">
        <v>2148665</v>
      </c>
      <c r="D22" s="76">
        <v>2238441</v>
      </c>
      <c r="E22" s="76">
        <f>+D22-C22</f>
        <v>89776</v>
      </c>
      <c r="F22" s="77">
        <f>IF(C22=0,0,+E22/C22)</f>
        <v>4.1782222915158949E-2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897</v>
      </c>
      <c r="C23" s="185">
        <v>3180582</v>
      </c>
      <c r="D23" s="185">
        <v>3416309</v>
      </c>
      <c r="E23" s="185">
        <f>+D23-C23</f>
        <v>235727</v>
      </c>
      <c r="F23" s="77">
        <f>IF(C23=0,0,+E23/C23)</f>
        <v>7.4114423083574008E-2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898</v>
      </c>
      <c r="C24" s="185">
        <v>3200599</v>
      </c>
      <c r="D24" s="185">
        <v>2905201</v>
      </c>
      <c r="E24" s="185">
        <f>+D24-C24</f>
        <v>-295398</v>
      </c>
      <c r="F24" s="77">
        <f>IF(C24=0,0,+E24/C24)</f>
        <v>-9.2294598604823655E-2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899</v>
      </c>
      <c r="C25" s="79">
        <f>+C22+C23+C24</f>
        <v>8529846</v>
      </c>
      <c r="D25" s="79">
        <f>+D22+D23+D24</f>
        <v>8559951</v>
      </c>
      <c r="E25" s="79">
        <f>+E22+E23+E24</f>
        <v>30105</v>
      </c>
      <c r="F25" s="80">
        <f>IF(C25=0,0,+E25/C25)</f>
        <v>3.529372042590218E-3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900</v>
      </c>
      <c r="C27" s="185">
        <v>286</v>
      </c>
      <c r="D27" s="185">
        <v>214</v>
      </c>
      <c r="E27" s="185">
        <f>+D27-C27</f>
        <v>-72</v>
      </c>
      <c r="F27" s="77">
        <f>IF(C27=0,0,+E27/C27)</f>
        <v>-0.25174825174825177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901</v>
      </c>
      <c r="C28" s="185">
        <v>69</v>
      </c>
      <c r="D28" s="185">
        <v>78</v>
      </c>
      <c r="E28" s="185">
        <f>+D28-C28</f>
        <v>9</v>
      </c>
      <c r="F28" s="77">
        <f>IF(C28=0,0,+E28/C28)</f>
        <v>0.13043478260869565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902</v>
      </c>
      <c r="C29" s="185">
        <v>1299</v>
      </c>
      <c r="D29" s="185">
        <v>1091</v>
      </c>
      <c r="E29" s="185">
        <f>+D29-C29</f>
        <v>-208</v>
      </c>
      <c r="F29" s="77">
        <f>IF(C29=0,0,+E29/C29)</f>
        <v>-0.16012317167051579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903</v>
      </c>
      <c r="C30" s="185">
        <v>2148</v>
      </c>
      <c r="D30" s="185">
        <v>1553</v>
      </c>
      <c r="E30" s="185">
        <f>+D30-C30</f>
        <v>-595</v>
      </c>
      <c r="F30" s="77">
        <f>IF(C30=0,0,+E30/C30)</f>
        <v>-0.27700186219739292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904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905</v>
      </c>
      <c r="C33" s="76">
        <v>2778668</v>
      </c>
      <c r="D33" s="76">
        <v>4466117</v>
      </c>
      <c r="E33" s="76">
        <f>+D33-C33</f>
        <v>1687449</v>
      </c>
      <c r="F33" s="77">
        <f>IF(C33=0,0,+E33/C33)</f>
        <v>0.60728701665690177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906</v>
      </c>
      <c r="C34" s="185">
        <v>2225289</v>
      </c>
      <c r="D34" s="185">
        <v>2568461</v>
      </c>
      <c r="E34" s="185">
        <f>+D34-C34</f>
        <v>343172</v>
      </c>
      <c r="F34" s="77">
        <f>IF(C34=0,0,+E34/C34)</f>
        <v>0.15421457617415085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907</v>
      </c>
      <c r="C35" s="185">
        <v>6091006</v>
      </c>
      <c r="D35" s="185">
        <v>6874386</v>
      </c>
      <c r="E35" s="185">
        <f>+D35-C35</f>
        <v>783380</v>
      </c>
      <c r="F35" s="77">
        <f>IF(C35=0,0,+E35/C35)</f>
        <v>0.12861258058192687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908</v>
      </c>
      <c r="C36" s="79">
        <f>+C33+C34+C35</f>
        <v>11094963</v>
      </c>
      <c r="D36" s="79">
        <f>+D33+D34+D35</f>
        <v>13908964</v>
      </c>
      <c r="E36" s="79">
        <f>+E33+E34+E35</f>
        <v>2814001</v>
      </c>
      <c r="F36" s="80">
        <f>IF(C36=0,0,+E36/C36)</f>
        <v>0.25362869619303824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909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910</v>
      </c>
      <c r="C39" s="76">
        <f>+C25</f>
        <v>8529846</v>
      </c>
      <c r="D39" s="76">
        <f>+D25</f>
        <v>8559951</v>
      </c>
      <c r="E39" s="76">
        <f>+D39-C39</f>
        <v>30105</v>
      </c>
      <c r="F39" s="77">
        <f>IF(C39=0,0,+E39/C39)</f>
        <v>3.529372042590218E-3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911</v>
      </c>
      <c r="C40" s="185">
        <f>+C36</f>
        <v>11094963</v>
      </c>
      <c r="D40" s="185">
        <f>+D36</f>
        <v>13908964</v>
      </c>
      <c r="E40" s="185">
        <f>+D40-C40</f>
        <v>2814001</v>
      </c>
      <c r="F40" s="77">
        <f>IF(C40=0,0,+E40/C40)</f>
        <v>0.25362869619303824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912</v>
      </c>
      <c r="C41" s="79">
        <f>+C39+C40</f>
        <v>19624809</v>
      </c>
      <c r="D41" s="79">
        <f>+D39+D40</f>
        <v>22468915</v>
      </c>
      <c r="E41" s="79">
        <f>+E39+E40</f>
        <v>2844106</v>
      </c>
      <c r="F41" s="80">
        <f>IF(C41=0,0,+E41/C41)</f>
        <v>0.14492400919672646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913</v>
      </c>
      <c r="C43" s="76">
        <f t="shared" ref="C43:D45" si="0">+C22+C33</f>
        <v>4927333</v>
      </c>
      <c r="D43" s="76">
        <f t="shared" si="0"/>
        <v>6704558</v>
      </c>
      <c r="E43" s="76">
        <f>+D43-C43</f>
        <v>1777225</v>
      </c>
      <c r="F43" s="77">
        <f>IF(C43=0,0,+E43/C43)</f>
        <v>0.3606870085703564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914</v>
      </c>
      <c r="C44" s="185">
        <f t="shared" si="0"/>
        <v>5405871</v>
      </c>
      <c r="D44" s="185">
        <f t="shared" si="0"/>
        <v>5984770</v>
      </c>
      <c r="E44" s="185">
        <f>+D44-C44</f>
        <v>578899</v>
      </c>
      <c r="F44" s="77">
        <f>IF(C44=0,0,+E44/C44)</f>
        <v>0.10708709105341212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915</v>
      </c>
      <c r="C45" s="185">
        <f t="shared" si="0"/>
        <v>9291605</v>
      </c>
      <c r="D45" s="185">
        <f t="shared" si="0"/>
        <v>9779587</v>
      </c>
      <c r="E45" s="185">
        <f>+D45-C45</f>
        <v>487982</v>
      </c>
      <c r="F45" s="77">
        <f>IF(C45=0,0,+E45/C45)</f>
        <v>5.2518590706341906E-2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912</v>
      </c>
      <c r="C46" s="79">
        <f>+C43+C44+C45</f>
        <v>19624809</v>
      </c>
      <c r="D46" s="79">
        <f>+D43+D44+D45</f>
        <v>22468915</v>
      </c>
      <c r="E46" s="79">
        <f>+E43+E44+E45</f>
        <v>2844106</v>
      </c>
      <c r="F46" s="80">
        <f>IF(C46=0,0,+E46/C46)</f>
        <v>0.14492400919672646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916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634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917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918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919</v>
      </c>
      <c r="D10" s="177" t="s">
        <v>919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920</v>
      </c>
      <c r="D11" s="693" t="s">
        <v>920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921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414396424</v>
      </c>
      <c r="D15" s="76">
        <v>429305698</v>
      </c>
      <c r="E15" s="76">
        <f>+D15-C15</f>
        <v>14909274</v>
      </c>
      <c r="F15" s="77">
        <f>IF(C15=0,0,E15/C15)</f>
        <v>3.5978288268240462E-2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922</v>
      </c>
      <c r="C17" s="76">
        <v>218498518</v>
      </c>
      <c r="D17" s="76">
        <v>233646550</v>
      </c>
      <c r="E17" s="76">
        <f>+D17-C17</f>
        <v>15148032</v>
      </c>
      <c r="F17" s="77">
        <f>IF(C17=0,0,E17/C17)</f>
        <v>6.932784779803404E-2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923</v>
      </c>
      <c r="C19" s="79">
        <f>+C15-C17</f>
        <v>195897906</v>
      </c>
      <c r="D19" s="79">
        <f>+D15-D17</f>
        <v>195659148</v>
      </c>
      <c r="E19" s="79">
        <f>+D19-C19</f>
        <v>-238758</v>
      </c>
      <c r="F19" s="80">
        <f>IF(C19=0,0,E19/C19)</f>
        <v>-1.2187879129243984E-3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924</v>
      </c>
      <c r="C21" s="720">
        <f>IF(C15=0,0,C17/C15)</f>
        <v>0.52726931350160489</v>
      </c>
      <c r="D21" s="720">
        <f>IF(D15=0,0,D17/D15)</f>
        <v>0.5442428346245709</v>
      </c>
      <c r="E21" s="720">
        <f>+D21-C21</f>
        <v>1.6973521122966018E-2</v>
      </c>
      <c r="F21" s="80">
        <f>IF(C21=0,0,E21/C21)</f>
        <v>3.2191369170044358E-2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925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926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927</v>
      </c>
      <c r="B6" s="734" t="s">
        <v>928</v>
      </c>
      <c r="C6" s="734" t="s">
        <v>929</v>
      </c>
      <c r="D6" s="734" t="s">
        <v>930</v>
      </c>
      <c r="E6" s="734" t="s">
        <v>931</v>
      </c>
    </row>
    <row r="7" spans="1:6" ht="37.5" customHeight="1" x14ac:dyDescent="0.25">
      <c r="A7" s="735" t="s">
        <v>8</v>
      </c>
      <c r="B7" s="736" t="s">
        <v>9</v>
      </c>
      <c r="C7" s="737" t="s">
        <v>932</v>
      </c>
      <c r="D7" s="737" t="s">
        <v>933</v>
      </c>
      <c r="E7" s="737" t="s">
        <v>934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935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936</v>
      </c>
      <c r="C10" s="744">
        <v>506827583</v>
      </c>
      <c r="D10" s="744">
        <v>574805058</v>
      </c>
      <c r="E10" s="744">
        <v>579045370</v>
      </c>
    </row>
    <row r="11" spans="1:6" ht="26.1" customHeight="1" x14ac:dyDescent="0.25">
      <c r="A11" s="742">
        <v>2</v>
      </c>
      <c r="B11" s="743" t="s">
        <v>937</v>
      </c>
      <c r="C11" s="744">
        <v>612322696</v>
      </c>
      <c r="D11" s="744">
        <v>641716420</v>
      </c>
      <c r="E11" s="744">
        <v>693180237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1119150279</v>
      </c>
      <c r="D12" s="744">
        <f>+D11+D10</f>
        <v>1216521478</v>
      </c>
      <c r="E12" s="744">
        <f>+E11+E10</f>
        <v>1272225607</v>
      </c>
    </row>
    <row r="13" spans="1:6" ht="26.1" customHeight="1" x14ac:dyDescent="0.25">
      <c r="A13" s="742">
        <v>4</v>
      </c>
      <c r="B13" s="743" t="s">
        <v>507</v>
      </c>
      <c r="C13" s="744">
        <v>347835624</v>
      </c>
      <c r="D13" s="744">
        <v>347171019</v>
      </c>
      <c r="E13" s="744">
        <v>354010685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938</v>
      </c>
      <c r="C16" s="744">
        <v>334537291</v>
      </c>
      <c r="D16" s="744">
        <v>342279038</v>
      </c>
      <c r="E16" s="744">
        <v>345860614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939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59473</v>
      </c>
      <c r="D19" s="747">
        <v>62546</v>
      </c>
      <c r="E19" s="747">
        <v>59299</v>
      </c>
    </row>
    <row r="20" spans="1:5" ht="26.1" customHeight="1" x14ac:dyDescent="0.25">
      <c r="A20" s="742">
        <v>2</v>
      </c>
      <c r="B20" s="743" t="s">
        <v>381</v>
      </c>
      <c r="C20" s="748">
        <v>14158</v>
      </c>
      <c r="D20" s="748">
        <v>15162</v>
      </c>
      <c r="E20" s="748">
        <v>14296</v>
      </c>
    </row>
    <row r="21" spans="1:5" ht="26.1" customHeight="1" x14ac:dyDescent="0.25">
      <c r="A21" s="742">
        <v>3</v>
      </c>
      <c r="B21" s="743" t="s">
        <v>940</v>
      </c>
      <c r="C21" s="749">
        <f>IF(C20=0,0,+C19/C20)</f>
        <v>4.2006639355841218</v>
      </c>
      <c r="D21" s="749">
        <f>IF(D20=0,0,+D19/D20)</f>
        <v>4.1251813744888537</v>
      </c>
      <c r="E21" s="749">
        <f>IF(E20=0,0,+E19/E20)</f>
        <v>4.1479434806939004</v>
      </c>
    </row>
    <row r="22" spans="1:5" ht="26.1" customHeight="1" x14ac:dyDescent="0.25">
      <c r="A22" s="742">
        <v>4</v>
      </c>
      <c r="B22" s="743" t="s">
        <v>941</v>
      </c>
      <c r="C22" s="748">
        <f>IF(C10=0,0,C19*(C12/C10))</f>
        <v>131325.18192674412</v>
      </c>
      <c r="D22" s="748">
        <f>IF(D10=0,0,D19*(D12/D10))</f>
        <v>132372.79544430869</v>
      </c>
      <c r="E22" s="748">
        <f>IF(E10=0,0,E19*(E12/E10))</f>
        <v>130286.34745752823</v>
      </c>
    </row>
    <row r="23" spans="1:5" ht="26.1" customHeight="1" x14ac:dyDescent="0.25">
      <c r="A23" s="742">
        <v>0</v>
      </c>
      <c r="B23" s="743" t="s">
        <v>942</v>
      </c>
      <c r="C23" s="748">
        <f>IF(C10=0,0,C20*(C12/C10))</f>
        <v>31262.958413378223</v>
      </c>
      <c r="D23" s="748">
        <f>IF(D10=0,0,D20*(D12/D10))</f>
        <v>32088.963715131398</v>
      </c>
      <c r="E23" s="748">
        <f>IF(E10=0,0,E20*(E12/E10))</f>
        <v>31409.865651239037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943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1.2326168173470831</v>
      </c>
      <c r="D26" s="750">
        <v>1.2225429494789604</v>
      </c>
      <c r="E26" s="750">
        <v>1.264778861919418</v>
      </c>
    </row>
    <row r="27" spans="1:5" ht="26.1" customHeight="1" x14ac:dyDescent="0.25">
      <c r="A27" s="742">
        <v>2</v>
      </c>
      <c r="B27" s="743" t="s">
        <v>944</v>
      </c>
      <c r="C27" s="748">
        <f>C19*C26</f>
        <v>73307.419978083068</v>
      </c>
      <c r="D27" s="748">
        <f>D19*D26</f>
        <v>76465.171318111054</v>
      </c>
      <c r="E27" s="748">
        <f>E19*E26</f>
        <v>75000.121732959567</v>
      </c>
    </row>
    <row r="28" spans="1:5" ht="26.1" customHeight="1" x14ac:dyDescent="0.25">
      <c r="A28" s="742">
        <v>3</v>
      </c>
      <c r="B28" s="743" t="s">
        <v>945</v>
      </c>
      <c r="C28" s="748">
        <f>C20*C26</f>
        <v>17451.388900000002</v>
      </c>
      <c r="D28" s="748">
        <f>D20*D26</f>
        <v>18536.196199999998</v>
      </c>
      <c r="E28" s="748">
        <f>E20*E26</f>
        <v>18081.278610000001</v>
      </c>
    </row>
    <row r="29" spans="1:5" ht="26.1" customHeight="1" x14ac:dyDescent="0.25">
      <c r="A29" s="742">
        <v>4</v>
      </c>
      <c r="B29" s="743" t="s">
        <v>946</v>
      </c>
      <c r="C29" s="748">
        <f>C22*C26</f>
        <v>161873.62778407001</v>
      </c>
      <c r="D29" s="748">
        <f>D22*D26</f>
        <v>161831.42777326025</v>
      </c>
      <c r="E29" s="748">
        <f>E22*E26</f>
        <v>164783.41826097041</v>
      </c>
    </row>
    <row r="30" spans="1:5" ht="26.1" customHeight="1" x14ac:dyDescent="0.25">
      <c r="A30" s="742">
        <v>5</v>
      </c>
      <c r="B30" s="743" t="s">
        <v>947</v>
      </c>
      <c r="C30" s="748">
        <f>C23*C26</f>
        <v>38535.248300352476</v>
      </c>
      <c r="D30" s="748">
        <f>D23*D26</f>
        <v>39230.136346020074</v>
      </c>
      <c r="E30" s="748">
        <f>E23*E26</f>
        <v>39726.53413141593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948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949</v>
      </c>
      <c r="C33" s="744">
        <f>IF(C19=0,0,C12/C19)</f>
        <v>18817.787550653236</v>
      </c>
      <c r="D33" s="744">
        <f>IF(D19=0,0,D12/D19)</f>
        <v>19450.028427077672</v>
      </c>
      <c r="E33" s="744">
        <f>IF(E19=0,0,E12/E19)</f>
        <v>21454.419248216665</v>
      </c>
    </row>
    <row r="34" spans="1:5" ht="26.1" customHeight="1" x14ac:dyDescent="0.25">
      <c r="A34" s="742">
        <v>2</v>
      </c>
      <c r="B34" s="743" t="s">
        <v>950</v>
      </c>
      <c r="C34" s="744">
        <f>IF(C20=0,0,C12/C20)</f>
        <v>79047.201511512932</v>
      </c>
      <c r="D34" s="744">
        <f>IF(D20=0,0,D12/D20)</f>
        <v>80234.895000659541</v>
      </c>
      <c r="E34" s="744">
        <f>IF(E20=0,0,E12/E20)</f>
        <v>88991.718452714049</v>
      </c>
    </row>
    <row r="35" spans="1:5" ht="26.1" customHeight="1" x14ac:dyDescent="0.25">
      <c r="A35" s="742">
        <v>3</v>
      </c>
      <c r="B35" s="743" t="s">
        <v>951</v>
      </c>
      <c r="C35" s="744">
        <f>IF(C22=0,0,C12/C22)</f>
        <v>8521.9777546113364</v>
      </c>
      <c r="D35" s="744">
        <f>IF(D22=0,0,D12/D22)</f>
        <v>9190.1170018866123</v>
      </c>
      <c r="E35" s="744">
        <f>IF(E22=0,0,E12/E22)</f>
        <v>9764.842071535777</v>
      </c>
    </row>
    <row r="36" spans="1:5" ht="26.1" customHeight="1" x14ac:dyDescent="0.25">
      <c r="A36" s="742">
        <v>4</v>
      </c>
      <c r="B36" s="743" t="s">
        <v>952</v>
      </c>
      <c r="C36" s="744">
        <f>IF(C23=0,0,C12/C23)</f>
        <v>35797.964613646</v>
      </c>
      <c r="D36" s="744">
        <f>IF(D23=0,0,D12/D23)</f>
        <v>37910.899485556001</v>
      </c>
      <c r="E36" s="744">
        <f>IF(E23=0,0,E12/E23)</f>
        <v>40504.013010632349</v>
      </c>
    </row>
    <row r="37" spans="1:5" ht="26.1" customHeight="1" x14ac:dyDescent="0.25">
      <c r="A37" s="742">
        <v>5</v>
      </c>
      <c r="B37" s="743" t="s">
        <v>953</v>
      </c>
      <c r="C37" s="744">
        <f>IF(C29=0,0,C12/C29)</f>
        <v>6913.7282849611629</v>
      </c>
      <c r="D37" s="744">
        <f>IF(D29=0,0,D12/D29)</f>
        <v>7517.2140216451107</v>
      </c>
      <c r="E37" s="744">
        <f>IF(E29=0,0,E12/E29)</f>
        <v>7720.5924019924978</v>
      </c>
    </row>
    <row r="38" spans="1:5" ht="26.1" customHeight="1" x14ac:dyDescent="0.25">
      <c r="A38" s="742">
        <v>6</v>
      </c>
      <c r="B38" s="743" t="s">
        <v>954</v>
      </c>
      <c r="C38" s="744">
        <f>IF(C30=0,0,C12/C30)</f>
        <v>29042.249067064226</v>
      </c>
      <c r="D38" s="744">
        <f>IF(D30=0,0,D12/D30)</f>
        <v>31009.871270136868</v>
      </c>
      <c r="E38" s="744">
        <f>IF(E30=0,0,E12/E30)</f>
        <v>32024.580920939639</v>
      </c>
    </row>
    <row r="39" spans="1:5" ht="26.1" customHeight="1" x14ac:dyDescent="0.25">
      <c r="A39" s="742">
        <v>7</v>
      </c>
      <c r="B39" s="743" t="s">
        <v>955</v>
      </c>
      <c r="C39" s="744">
        <f>IF(C22=0,0,C10/C22)</f>
        <v>3859.3328070371062</v>
      </c>
      <c r="D39" s="744">
        <f>IF(D22=0,0,D10/D22)</f>
        <v>4342.3201577836999</v>
      </c>
      <c r="E39" s="744">
        <f>IF(E22=0,0,E10/E22)</f>
        <v>4444.4055827780558</v>
      </c>
    </row>
    <row r="40" spans="1:5" ht="26.1" customHeight="1" x14ac:dyDescent="0.25">
      <c r="A40" s="742">
        <v>8</v>
      </c>
      <c r="B40" s="743" t="s">
        <v>956</v>
      </c>
      <c r="C40" s="744">
        <f>IF(C23=0,0,C10/C23)</f>
        <v>16211.760137937408</v>
      </c>
      <c r="D40" s="744">
        <f>IF(D23=0,0,D10/D23)</f>
        <v>17912.858236956821</v>
      </c>
      <c r="E40" s="744">
        <f>IF(E23=0,0,E10/E23)</f>
        <v>18435.14316264381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957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958</v>
      </c>
      <c r="C43" s="744">
        <f>IF(C19=0,0,C13/C19)</f>
        <v>5848.6308745144852</v>
      </c>
      <c r="D43" s="744">
        <f>IF(D19=0,0,D13/D19)</f>
        <v>5550.6510248457134</v>
      </c>
      <c r="E43" s="744">
        <f>IF(E19=0,0,E13/E19)</f>
        <v>5969.9267272635288</v>
      </c>
    </row>
    <row r="44" spans="1:5" ht="26.1" customHeight="1" x14ac:dyDescent="0.25">
      <c r="A44" s="742">
        <v>2</v>
      </c>
      <c r="B44" s="743" t="s">
        <v>959</v>
      </c>
      <c r="C44" s="744">
        <f>IF(C20=0,0,C13/C20)</f>
        <v>24568.132787116825</v>
      </c>
      <c r="D44" s="744">
        <f>IF(D20=0,0,D13/D20)</f>
        <v>22897.442223981005</v>
      </c>
      <c r="E44" s="744">
        <f>IF(E20=0,0,E13/E20)</f>
        <v>24762.918648573028</v>
      </c>
    </row>
    <row r="45" spans="1:5" ht="26.1" customHeight="1" x14ac:dyDescent="0.25">
      <c r="A45" s="742">
        <v>3</v>
      </c>
      <c r="B45" s="743" t="s">
        <v>960</v>
      </c>
      <c r="C45" s="744">
        <f>IF(C22=0,0,C13/C22)</f>
        <v>2648.6589921042701</v>
      </c>
      <c r="D45" s="744">
        <f>IF(D22=0,0,D13/D22)</f>
        <v>2622.6764935704655</v>
      </c>
      <c r="E45" s="744">
        <f>IF(E22=0,0,E13/E22)</f>
        <v>2717.1740701028034</v>
      </c>
    </row>
    <row r="46" spans="1:5" ht="26.1" customHeight="1" x14ac:dyDescent="0.25">
      <c r="A46" s="742">
        <v>4</v>
      </c>
      <c r="B46" s="743" t="s">
        <v>961</v>
      </c>
      <c r="C46" s="744">
        <f>IF(C23=0,0,C13/C23)</f>
        <v>11126.126305792999</v>
      </c>
      <c r="D46" s="744">
        <f>IF(D23=0,0,D13/D23)</f>
        <v>10819.016222586619</v>
      </c>
      <c r="E46" s="744">
        <f>IF(E23=0,0,E13/E23)</f>
        <v>11270.684469993434</v>
      </c>
    </row>
    <row r="47" spans="1:5" ht="26.1" customHeight="1" x14ac:dyDescent="0.25">
      <c r="A47" s="742">
        <v>5</v>
      </c>
      <c r="B47" s="743" t="s">
        <v>962</v>
      </c>
      <c r="C47" s="744">
        <f>IF(C29=0,0,C13/C29)</f>
        <v>2148.8097150944964</v>
      </c>
      <c r="D47" s="744">
        <f>IF(D29=0,0,D13/D29)</f>
        <v>2145.2632765893686</v>
      </c>
      <c r="E47" s="744">
        <f>IF(E29=0,0,E13/E29)</f>
        <v>2148.3392487910828</v>
      </c>
    </row>
    <row r="48" spans="1:5" ht="26.1" customHeight="1" x14ac:dyDescent="0.25">
      <c r="A48" s="742">
        <v>6</v>
      </c>
      <c r="B48" s="743" t="s">
        <v>963</v>
      </c>
      <c r="C48" s="744">
        <f>IF(C30=0,0,C13/C30)</f>
        <v>9026.4274746302435</v>
      </c>
      <c r="D48" s="744">
        <f>IF(D30=0,0,D13/D30)</f>
        <v>8849.6001119613938</v>
      </c>
      <c r="E48" s="744">
        <f>IF(E30=0,0,E13/E30)</f>
        <v>8911.1897813418036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964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965</v>
      </c>
      <c r="C51" s="744">
        <f>IF(C19=0,0,C16/C19)</f>
        <v>5625.0280127116503</v>
      </c>
      <c r="D51" s="744">
        <f>IF(D19=0,0,D16/D19)</f>
        <v>5472.4368944456883</v>
      </c>
      <c r="E51" s="744">
        <f>IF(E19=0,0,E16/E19)</f>
        <v>5832.4864500244521</v>
      </c>
    </row>
    <row r="52" spans="1:6" ht="26.1" customHeight="1" x14ac:dyDescent="0.25">
      <c r="A52" s="742">
        <v>2</v>
      </c>
      <c r="B52" s="743" t="s">
        <v>966</v>
      </c>
      <c r="C52" s="744">
        <f>IF(C20=0,0,C16/C20)</f>
        <v>23628.852309648257</v>
      </c>
      <c r="D52" s="744">
        <f>IF(D20=0,0,D16/D20)</f>
        <v>22574.794750032976</v>
      </c>
      <c r="E52" s="744">
        <f>IF(E20=0,0,E16/E20)</f>
        <v>24192.824146614439</v>
      </c>
    </row>
    <row r="53" spans="1:6" ht="26.1" customHeight="1" x14ac:dyDescent="0.25">
      <c r="A53" s="742">
        <v>3</v>
      </c>
      <c r="B53" s="743" t="s">
        <v>967</v>
      </c>
      <c r="C53" s="744">
        <f>IF(C22=0,0,C16/C22)</f>
        <v>2547.3963644429732</v>
      </c>
      <c r="D53" s="744">
        <f>IF(D22=0,0,D16/D22)</f>
        <v>2585.7204031322444</v>
      </c>
      <c r="E53" s="744">
        <f>IF(E22=0,0,E16/E22)</f>
        <v>2654.6190045948319</v>
      </c>
    </row>
    <row r="54" spans="1:6" ht="26.1" customHeight="1" x14ac:dyDescent="0.25">
      <c r="A54" s="742">
        <v>4</v>
      </c>
      <c r="B54" s="743" t="s">
        <v>968</v>
      </c>
      <c r="C54" s="744">
        <f>IF(C23=0,0,C16/C23)</f>
        <v>10700.756037753705</v>
      </c>
      <c r="D54" s="744">
        <f>IF(D23=0,0,D16/D23)</f>
        <v>10666.565646636946</v>
      </c>
      <c r="E54" s="744">
        <f>IF(E23=0,0,E16/E23)</f>
        <v>11011.209593835263</v>
      </c>
    </row>
    <row r="55" spans="1:6" ht="26.1" customHeight="1" x14ac:dyDescent="0.25">
      <c r="A55" s="742">
        <v>5</v>
      </c>
      <c r="B55" s="743" t="s">
        <v>969</v>
      </c>
      <c r="C55" s="744">
        <f>IF(C29=0,0,C16/C29)</f>
        <v>2066.6571545937877</v>
      </c>
      <c r="D55" s="744">
        <f>IF(D29=0,0,D16/D29)</f>
        <v>2115.0344077762347</v>
      </c>
      <c r="E55" s="744">
        <f>IF(E29=0,0,E16/E29)</f>
        <v>2098.8799580079981</v>
      </c>
    </row>
    <row r="56" spans="1:6" ht="26.1" customHeight="1" x14ac:dyDescent="0.25">
      <c r="A56" s="742">
        <v>6</v>
      </c>
      <c r="B56" s="743" t="s">
        <v>970</v>
      </c>
      <c r="C56" s="744">
        <f>IF(C30=0,0,C16/C30)</f>
        <v>8681.3321765190249</v>
      </c>
      <c r="D56" s="744">
        <f>IF(D30=0,0,D16/D30)</f>
        <v>8724.9005453615882</v>
      </c>
      <c r="E56" s="744">
        <f>IF(E30=0,0,E16/E30)</f>
        <v>8706.035438578363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971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972</v>
      </c>
      <c r="C59" s="752">
        <v>47712048</v>
      </c>
      <c r="D59" s="752">
        <v>48997371</v>
      </c>
      <c r="E59" s="752">
        <v>45660781</v>
      </c>
    </row>
    <row r="60" spans="1:6" ht="26.1" customHeight="1" x14ac:dyDescent="0.25">
      <c r="A60" s="742">
        <v>2</v>
      </c>
      <c r="B60" s="743" t="s">
        <v>973</v>
      </c>
      <c r="C60" s="752">
        <v>11105634</v>
      </c>
      <c r="D60" s="752">
        <v>11061300</v>
      </c>
      <c r="E60" s="752">
        <v>10194297</v>
      </c>
    </row>
    <row r="61" spans="1:6" ht="26.1" customHeight="1" x14ac:dyDescent="0.25">
      <c r="A61" s="753">
        <v>3</v>
      </c>
      <c r="B61" s="754" t="s">
        <v>974</v>
      </c>
      <c r="C61" s="755">
        <f>C59+C60</f>
        <v>58817682</v>
      </c>
      <c r="D61" s="755">
        <f>D59+D60</f>
        <v>60058671</v>
      </c>
      <c r="E61" s="755">
        <f>E59+E60</f>
        <v>55855078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975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976</v>
      </c>
      <c r="C64" s="744">
        <v>26601785</v>
      </c>
      <c r="D64" s="744">
        <v>27684896</v>
      </c>
      <c r="E64" s="752">
        <v>28083459</v>
      </c>
      <c r="F64" s="756"/>
    </row>
    <row r="65" spans="1:6" ht="26.1" customHeight="1" x14ac:dyDescent="0.25">
      <c r="A65" s="742">
        <v>2</v>
      </c>
      <c r="B65" s="743" t="s">
        <v>977</v>
      </c>
      <c r="C65" s="752">
        <v>6191930</v>
      </c>
      <c r="D65" s="752">
        <v>6249946</v>
      </c>
      <c r="E65" s="752">
        <v>6269956</v>
      </c>
      <c r="F65" s="756"/>
    </row>
    <row r="66" spans="1:6" ht="26.1" customHeight="1" x14ac:dyDescent="0.25">
      <c r="A66" s="753">
        <v>3</v>
      </c>
      <c r="B66" s="754" t="s">
        <v>978</v>
      </c>
      <c r="C66" s="757">
        <f>C64+C65</f>
        <v>32793715</v>
      </c>
      <c r="D66" s="757">
        <f>D64+D65</f>
        <v>33934842</v>
      </c>
      <c r="E66" s="757">
        <f>E64+E65</f>
        <v>34353415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979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980</v>
      </c>
      <c r="C69" s="752">
        <v>87361080</v>
      </c>
      <c r="D69" s="752">
        <v>87711038</v>
      </c>
      <c r="E69" s="752">
        <v>91101334</v>
      </c>
    </row>
    <row r="70" spans="1:6" ht="26.1" customHeight="1" x14ac:dyDescent="0.25">
      <c r="A70" s="742">
        <v>2</v>
      </c>
      <c r="B70" s="743" t="s">
        <v>981</v>
      </c>
      <c r="C70" s="752">
        <v>20334489</v>
      </c>
      <c r="D70" s="752">
        <v>19801024</v>
      </c>
      <c r="E70" s="752">
        <v>20339427</v>
      </c>
    </row>
    <row r="71" spans="1:6" ht="26.1" customHeight="1" x14ac:dyDescent="0.25">
      <c r="A71" s="753">
        <v>3</v>
      </c>
      <c r="B71" s="754" t="s">
        <v>982</v>
      </c>
      <c r="C71" s="755">
        <f>C69+C70</f>
        <v>107695569</v>
      </c>
      <c r="D71" s="755">
        <f>D69+D70</f>
        <v>107512062</v>
      </c>
      <c r="E71" s="755">
        <f>E69+E70</f>
        <v>111440761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983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984</v>
      </c>
      <c r="C75" s="744">
        <f t="shared" ref="C75:E76" si="0">+C59+C64+C69</f>
        <v>161674913</v>
      </c>
      <c r="D75" s="744">
        <f t="shared" si="0"/>
        <v>164393305</v>
      </c>
      <c r="E75" s="744">
        <f t="shared" si="0"/>
        <v>164845574</v>
      </c>
    </row>
    <row r="76" spans="1:6" ht="26.1" customHeight="1" x14ac:dyDescent="0.25">
      <c r="A76" s="742">
        <v>2</v>
      </c>
      <c r="B76" s="743" t="s">
        <v>985</v>
      </c>
      <c r="C76" s="744">
        <f t="shared" si="0"/>
        <v>37632053</v>
      </c>
      <c r="D76" s="744">
        <f t="shared" si="0"/>
        <v>37112270</v>
      </c>
      <c r="E76" s="744">
        <f t="shared" si="0"/>
        <v>36803680</v>
      </c>
    </row>
    <row r="77" spans="1:6" ht="26.1" customHeight="1" x14ac:dyDescent="0.25">
      <c r="A77" s="753">
        <v>3</v>
      </c>
      <c r="B77" s="754" t="s">
        <v>983</v>
      </c>
      <c r="C77" s="757">
        <f>C75+C76</f>
        <v>199306966</v>
      </c>
      <c r="D77" s="757">
        <f>D75+D76</f>
        <v>201505575</v>
      </c>
      <c r="E77" s="757">
        <f>E75+E76</f>
        <v>201649254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986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522</v>
      </c>
      <c r="D80" s="749">
        <v>534</v>
      </c>
      <c r="E80" s="749">
        <v>520.4</v>
      </c>
    </row>
    <row r="81" spans="1:5" ht="26.1" customHeight="1" x14ac:dyDescent="0.25">
      <c r="A81" s="742">
        <v>2</v>
      </c>
      <c r="B81" s="743" t="s">
        <v>617</v>
      </c>
      <c r="C81" s="749">
        <v>134</v>
      </c>
      <c r="D81" s="749">
        <v>135</v>
      </c>
      <c r="E81" s="749">
        <v>134.5</v>
      </c>
    </row>
    <row r="82" spans="1:5" ht="26.1" customHeight="1" x14ac:dyDescent="0.25">
      <c r="A82" s="742">
        <v>3</v>
      </c>
      <c r="B82" s="743" t="s">
        <v>987</v>
      </c>
      <c r="C82" s="749">
        <v>1424</v>
      </c>
      <c r="D82" s="749">
        <v>1450</v>
      </c>
      <c r="E82" s="749">
        <v>1426.3</v>
      </c>
    </row>
    <row r="83" spans="1:5" ht="26.1" customHeight="1" x14ac:dyDescent="0.25">
      <c r="A83" s="753">
        <v>4</v>
      </c>
      <c r="B83" s="754" t="s">
        <v>986</v>
      </c>
      <c r="C83" s="759">
        <f>C80+C81+C82</f>
        <v>2080</v>
      </c>
      <c r="D83" s="759">
        <f>D80+D81+D82</f>
        <v>2119</v>
      </c>
      <c r="E83" s="759">
        <f>E80+E81+E82</f>
        <v>2081.1999999999998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988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989</v>
      </c>
      <c r="C86" s="752">
        <f>IF(C80=0,0,C59/C80)</f>
        <v>91402.3908045977</v>
      </c>
      <c r="D86" s="752">
        <f>IF(D80=0,0,D59/D80)</f>
        <v>91755.376404494382</v>
      </c>
      <c r="E86" s="752">
        <f>IF(E80=0,0,E59/E80)</f>
        <v>87741.700614911606</v>
      </c>
    </row>
    <row r="87" spans="1:5" ht="26.1" customHeight="1" x14ac:dyDescent="0.25">
      <c r="A87" s="742">
        <v>2</v>
      </c>
      <c r="B87" s="743" t="s">
        <v>990</v>
      </c>
      <c r="C87" s="752">
        <f>IF(C80=0,0,C60/C80)</f>
        <v>21275.160919540231</v>
      </c>
      <c r="D87" s="752">
        <f>IF(D80=0,0,D60/D80)</f>
        <v>20714.044943820223</v>
      </c>
      <c r="E87" s="752">
        <f>IF(E80=0,0,E60/E80)</f>
        <v>19589.34857801691</v>
      </c>
    </row>
    <row r="88" spans="1:5" ht="26.1" customHeight="1" x14ac:dyDescent="0.25">
      <c r="A88" s="753">
        <v>3</v>
      </c>
      <c r="B88" s="754" t="s">
        <v>991</v>
      </c>
      <c r="C88" s="755">
        <f>+C86+C87</f>
        <v>112677.55172413793</v>
      </c>
      <c r="D88" s="755">
        <f>+D86+D87</f>
        <v>112469.4213483146</v>
      </c>
      <c r="E88" s="755">
        <f>+E86+E87</f>
        <v>107331.04919292852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992</v>
      </c>
    </row>
    <row r="91" spans="1:5" ht="26.1" customHeight="1" x14ac:dyDescent="0.25">
      <c r="A91" s="742">
        <v>1</v>
      </c>
      <c r="B91" s="743" t="s">
        <v>993</v>
      </c>
      <c r="C91" s="744">
        <f>IF(C81=0,0,C64/C81)</f>
        <v>198520.78358208956</v>
      </c>
      <c r="D91" s="744">
        <f>IF(D81=0,0,D64/D81)</f>
        <v>205073.30370370371</v>
      </c>
      <c r="E91" s="744">
        <f>IF(E81=0,0,E64/E81)</f>
        <v>208798.95167286246</v>
      </c>
    </row>
    <row r="92" spans="1:5" ht="26.1" customHeight="1" x14ac:dyDescent="0.25">
      <c r="A92" s="742">
        <v>2</v>
      </c>
      <c r="B92" s="743" t="s">
        <v>994</v>
      </c>
      <c r="C92" s="744">
        <f>IF(C81=0,0,C65/C81)</f>
        <v>46208.432835820895</v>
      </c>
      <c r="D92" s="744">
        <f>IF(D81=0,0,D65/D81)</f>
        <v>46295.896296296298</v>
      </c>
      <c r="E92" s="744">
        <f>IF(E81=0,0,E65/E81)</f>
        <v>46616.773234200744</v>
      </c>
    </row>
    <row r="93" spans="1:5" ht="26.1" customHeight="1" x14ac:dyDescent="0.25">
      <c r="A93" s="753">
        <v>3</v>
      </c>
      <c r="B93" s="754" t="s">
        <v>995</v>
      </c>
      <c r="C93" s="757">
        <f>+C91+C92</f>
        <v>244729.21641791044</v>
      </c>
      <c r="D93" s="757">
        <f>+D91+D92</f>
        <v>251369.2</v>
      </c>
      <c r="E93" s="757">
        <f>+E91+E92</f>
        <v>255415.72490706321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996</v>
      </c>
      <c r="B95" s="745" t="s">
        <v>997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998</v>
      </c>
      <c r="C96" s="752">
        <f>IF(C82=0,0,C69/C82)</f>
        <v>61349.073033707864</v>
      </c>
      <c r="D96" s="752">
        <f>IF(D82=0,0,D69/D82)</f>
        <v>60490.371034482756</v>
      </c>
      <c r="E96" s="752">
        <f>IF(E82=0,0,E69/E82)</f>
        <v>63872.491060786655</v>
      </c>
    </row>
    <row r="97" spans="1:5" ht="26.1" customHeight="1" x14ac:dyDescent="0.25">
      <c r="A97" s="742">
        <v>2</v>
      </c>
      <c r="B97" s="743" t="s">
        <v>999</v>
      </c>
      <c r="C97" s="752">
        <f>IF(C82=0,0,C70/C82)</f>
        <v>14279.837780898877</v>
      </c>
      <c r="D97" s="752">
        <f>IF(D82=0,0,D70/D82)</f>
        <v>13655.878620689655</v>
      </c>
      <c r="E97" s="752">
        <f>IF(E82=0,0,E70/E82)</f>
        <v>14260.272733646498</v>
      </c>
    </row>
    <row r="98" spans="1:5" ht="26.1" customHeight="1" x14ac:dyDescent="0.25">
      <c r="A98" s="753">
        <v>3</v>
      </c>
      <c r="B98" s="754" t="s">
        <v>1000</v>
      </c>
      <c r="C98" s="757">
        <f>+C96+C97</f>
        <v>75628.910814606745</v>
      </c>
      <c r="D98" s="757">
        <f>+D96+D97</f>
        <v>74146.249655172403</v>
      </c>
      <c r="E98" s="757">
        <f>+E96+E97</f>
        <v>78132.763794433151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1001</v>
      </c>
      <c r="B100" s="745" t="s">
        <v>1002</v>
      </c>
    </row>
    <row r="101" spans="1:5" ht="26.1" customHeight="1" x14ac:dyDescent="0.25">
      <c r="A101" s="742">
        <v>1</v>
      </c>
      <c r="B101" s="743" t="s">
        <v>1003</v>
      </c>
      <c r="C101" s="744">
        <f>IF(C83=0,0,C75/C83)</f>
        <v>77728.323557692303</v>
      </c>
      <c r="D101" s="744">
        <f>IF(D83=0,0,D75/D83)</f>
        <v>77580.606418121752</v>
      </c>
      <c r="E101" s="744">
        <f>IF(E83=0,0,E75/E83)</f>
        <v>79206.983471074389</v>
      </c>
    </row>
    <row r="102" spans="1:5" ht="26.1" customHeight="1" x14ac:dyDescent="0.25">
      <c r="A102" s="742">
        <v>2</v>
      </c>
      <c r="B102" s="743" t="s">
        <v>1004</v>
      </c>
      <c r="C102" s="761">
        <f>IF(C83=0,0,C76/C83)</f>
        <v>18092.333173076924</v>
      </c>
      <c r="D102" s="761">
        <f>IF(D83=0,0,D76/D83)</f>
        <v>17514.049079754601</v>
      </c>
      <c r="E102" s="761">
        <f>IF(E83=0,0,E76/E83)</f>
        <v>17683.874687680185</v>
      </c>
    </row>
    <row r="103" spans="1:5" ht="26.1" customHeight="1" x14ac:dyDescent="0.25">
      <c r="A103" s="753">
        <v>3</v>
      </c>
      <c r="B103" s="754" t="s">
        <v>1002</v>
      </c>
      <c r="C103" s="757">
        <f>+C101+C102</f>
        <v>95820.656730769231</v>
      </c>
      <c r="D103" s="757">
        <f>+D101+D102</f>
        <v>95094.655497876345</v>
      </c>
      <c r="E103" s="757">
        <f>+E101+E102</f>
        <v>96890.858158754578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1005</v>
      </c>
      <c r="B107" s="736" t="s">
        <v>1006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1007</v>
      </c>
      <c r="C108" s="744">
        <f>IF(C19=0,0,C77/C19)</f>
        <v>3351.2176281674037</v>
      </c>
      <c r="D108" s="744">
        <f>IF(D19=0,0,D77/D19)</f>
        <v>3221.7180155405622</v>
      </c>
      <c r="E108" s="744">
        <f>IF(E19=0,0,E77/E19)</f>
        <v>3400.5506669589709</v>
      </c>
    </row>
    <row r="109" spans="1:5" ht="26.1" customHeight="1" x14ac:dyDescent="0.25">
      <c r="A109" s="742">
        <v>2</v>
      </c>
      <c r="B109" s="743" t="s">
        <v>1008</v>
      </c>
      <c r="C109" s="744">
        <f>IF(C20=0,0,C77/C20)</f>
        <v>14077.339030936573</v>
      </c>
      <c r="D109" s="744">
        <f>IF(D20=0,0,D77/D20)</f>
        <v>13290.171151563118</v>
      </c>
      <c r="E109" s="744">
        <f>IF(E20=0,0,E77/E20)</f>
        <v>14105.291969781758</v>
      </c>
    </row>
    <row r="110" spans="1:5" ht="26.1" customHeight="1" x14ac:dyDescent="0.25">
      <c r="A110" s="742">
        <v>3</v>
      </c>
      <c r="B110" s="743" t="s">
        <v>1009</v>
      </c>
      <c r="C110" s="744">
        <f>IF(C22=0,0,C77/C22)</f>
        <v>1517.6599268766101</v>
      </c>
      <c r="D110" s="744">
        <f>IF(D22=0,0,D77/D22)</f>
        <v>1522.2582126761579</v>
      </c>
      <c r="E110" s="744">
        <f>IF(E22=0,0,E77/E22)</f>
        <v>1547.7389452930609</v>
      </c>
    </row>
    <row r="111" spans="1:5" ht="26.1" customHeight="1" x14ac:dyDescent="0.25">
      <c r="A111" s="742">
        <v>4</v>
      </c>
      <c r="B111" s="743" t="s">
        <v>1010</v>
      </c>
      <c r="C111" s="744">
        <f>IF(C23=0,0,C77/C23)</f>
        <v>6375.1793213118126</v>
      </c>
      <c r="D111" s="744">
        <f>IF(D23=0,0,D77/D23)</f>
        <v>6279.5912260943787</v>
      </c>
      <c r="E111" s="744">
        <f>IF(E23=0,0,E77/E23)</f>
        <v>6419.933667944405</v>
      </c>
    </row>
    <row r="112" spans="1:5" ht="26.1" customHeight="1" x14ac:dyDescent="0.25">
      <c r="A112" s="742">
        <v>5</v>
      </c>
      <c r="B112" s="743" t="s">
        <v>1011</v>
      </c>
      <c r="C112" s="744">
        <f>IF(C29=0,0,C77/C29)</f>
        <v>1231.2503817228578</v>
      </c>
      <c r="D112" s="744">
        <f>IF(D29=0,0,D77/D29)</f>
        <v>1245.1572464795074</v>
      </c>
      <c r="E112" s="744">
        <f>IF(E29=0,0,E77/E29)</f>
        <v>1223.7229699935251</v>
      </c>
    </row>
    <row r="113" spans="1:7" ht="25.5" customHeight="1" x14ac:dyDescent="0.25">
      <c r="A113" s="742">
        <v>6</v>
      </c>
      <c r="B113" s="743" t="s">
        <v>1012</v>
      </c>
      <c r="C113" s="744">
        <f>IF(C30=0,0,C77/C30)</f>
        <v>5172.0690741773933</v>
      </c>
      <c r="D113" s="744">
        <f>IF(D30=0,0,D77/D30)</f>
        <v>5136.4994814870915</v>
      </c>
      <c r="E113" s="744">
        <f>IF(E30=0,0,E77/E30)</f>
        <v>5075.9337155600197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FILING&amp;R&amp;"Arial,Bold"&amp;12MIDDLESEX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1216521478</v>
      </c>
      <c r="D12" s="76">
        <v>1272225607</v>
      </c>
      <c r="E12" s="76">
        <f t="shared" ref="E12:E21" si="0">D12-C12</f>
        <v>55704129</v>
      </c>
      <c r="F12" s="77">
        <f t="shared" ref="F12:F21" si="1">IF(C12=0,0,E12/C12)</f>
        <v>4.5789679843202903E-2</v>
      </c>
    </row>
    <row r="13" spans="1:8" ht="23.1" customHeight="1" x14ac:dyDescent="0.2">
      <c r="A13" s="74">
        <v>2</v>
      </c>
      <c r="B13" s="75" t="s">
        <v>72</v>
      </c>
      <c r="C13" s="76">
        <v>849725650</v>
      </c>
      <c r="D13" s="76">
        <v>895746007</v>
      </c>
      <c r="E13" s="76">
        <f t="shared" si="0"/>
        <v>46020357</v>
      </c>
      <c r="F13" s="77">
        <f t="shared" si="1"/>
        <v>5.415907710918224E-2</v>
      </c>
    </row>
    <row r="14" spans="1:8" ht="23.1" customHeight="1" x14ac:dyDescent="0.2">
      <c r="A14" s="74">
        <v>3</v>
      </c>
      <c r="B14" s="75" t="s">
        <v>73</v>
      </c>
      <c r="C14" s="76">
        <v>8529846</v>
      </c>
      <c r="D14" s="76">
        <v>8559951</v>
      </c>
      <c r="E14" s="76">
        <f t="shared" si="0"/>
        <v>30105</v>
      </c>
      <c r="F14" s="77">
        <f t="shared" si="1"/>
        <v>3.529372042590218E-3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358265982</v>
      </c>
      <c r="D16" s="79">
        <f>D12-D13-D14-D15</f>
        <v>367919649</v>
      </c>
      <c r="E16" s="79">
        <f t="shared" si="0"/>
        <v>9653667</v>
      </c>
      <c r="F16" s="80">
        <f t="shared" si="1"/>
        <v>2.6945530653256385E-2</v>
      </c>
    </row>
    <row r="17" spans="1:7" ht="23.1" customHeight="1" x14ac:dyDescent="0.2">
      <c r="A17" s="74">
        <v>5</v>
      </c>
      <c r="B17" s="75" t="s">
        <v>76</v>
      </c>
      <c r="C17" s="76">
        <v>11094963</v>
      </c>
      <c r="D17" s="76">
        <v>13908964</v>
      </c>
      <c r="E17" s="76">
        <f t="shared" si="0"/>
        <v>2814001</v>
      </c>
      <c r="F17" s="77">
        <f t="shared" si="1"/>
        <v>0.25362869619303824</v>
      </c>
      <c r="G17" s="65"/>
    </row>
    <row r="18" spans="1:7" ht="31.5" customHeight="1" x14ac:dyDescent="0.25">
      <c r="A18" s="71"/>
      <c r="B18" s="81" t="s">
        <v>77</v>
      </c>
      <c r="C18" s="79">
        <f>C16-C17</f>
        <v>347171019</v>
      </c>
      <c r="D18" s="79">
        <f>D16-D17</f>
        <v>354010685</v>
      </c>
      <c r="E18" s="79">
        <f t="shared" si="0"/>
        <v>6839666</v>
      </c>
      <c r="F18" s="80">
        <f t="shared" si="1"/>
        <v>1.970114331461521E-2</v>
      </c>
    </row>
    <row r="19" spans="1:7" ht="23.1" customHeight="1" x14ac:dyDescent="0.2">
      <c r="A19" s="74">
        <v>6</v>
      </c>
      <c r="B19" s="75" t="s">
        <v>78</v>
      </c>
      <c r="C19" s="76">
        <v>12173148</v>
      </c>
      <c r="D19" s="76">
        <v>12557059</v>
      </c>
      <c r="E19" s="76">
        <f t="shared" si="0"/>
        <v>383911</v>
      </c>
      <c r="F19" s="77">
        <f t="shared" si="1"/>
        <v>3.1537528336959345E-2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359344167</v>
      </c>
      <c r="D21" s="79">
        <f>SUM(D18:D20)</f>
        <v>366567744</v>
      </c>
      <c r="E21" s="79">
        <f t="shared" si="0"/>
        <v>7223577</v>
      </c>
      <c r="F21" s="80">
        <f t="shared" si="1"/>
        <v>2.0102112858283852E-2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164393305</v>
      </c>
      <c r="D24" s="76">
        <v>164845574</v>
      </c>
      <c r="E24" s="76">
        <f t="shared" ref="E24:E33" si="2">D24-C24</f>
        <v>452269</v>
      </c>
      <c r="F24" s="77">
        <f t="shared" ref="F24:F33" si="3">IF(C24=0,0,E24/C24)</f>
        <v>2.7511400175329525E-3</v>
      </c>
    </row>
    <row r="25" spans="1:7" ht="23.1" customHeight="1" x14ac:dyDescent="0.2">
      <c r="A25" s="74">
        <v>2</v>
      </c>
      <c r="B25" s="75" t="s">
        <v>83</v>
      </c>
      <c r="C25" s="76">
        <v>37112270</v>
      </c>
      <c r="D25" s="76">
        <v>36803680</v>
      </c>
      <c r="E25" s="76">
        <f t="shared" si="2"/>
        <v>-308590</v>
      </c>
      <c r="F25" s="77">
        <f t="shared" si="3"/>
        <v>-8.3150397429206033E-3</v>
      </c>
    </row>
    <row r="26" spans="1:7" ht="23.1" customHeight="1" x14ac:dyDescent="0.2">
      <c r="A26" s="74">
        <v>3</v>
      </c>
      <c r="B26" s="75" t="s">
        <v>84</v>
      </c>
      <c r="C26" s="76">
        <v>3449731</v>
      </c>
      <c r="D26" s="76">
        <v>3624974</v>
      </c>
      <c r="E26" s="76">
        <f t="shared" si="2"/>
        <v>175243</v>
      </c>
      <c r="F26" s="77">
        <f t="shared" si="3"/>
        <v>5.0799033315931011E-2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36955430</v>
      </c>
      <c r="D27" s="76">
        <v>36253957</v>
      </c>
      <c r="E27" s="76">
        <f t="shared" si="2"/>
        <v>-701473</v>
      </c>
      <c r="F27" s="77">
        <f t="shared" si="3"/>
        <v>-1.8981594856290401E-2</v>
      </c>
    </row>
    <row r="28" spans="1:7" ht="23.1" customHeight="1" x14ac:dyDescent="0.2">
      <c r="A28" s="74">
        <v>5</v>
      </c>
      <c r="B28" s="75" t="s">
        <v>86</v>
      </c>
      <c r="C28" s="76">
        <v>22127207</v>
      </c>
      <c r="D28" s="76">
        <v>22309482</v>
      </c>
      <c r="E28" s="76">
        <f t="shared" si="2"/>
        <v>182275</v>
      </c>
      <c r="F28" s="77">
        <f t="shared" si="3"/>
        <v>8.2375963672233921E-3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3016511</v>
      </c>
      <c r="D30" s="76">
        <v>2896503</v>
      </c>
      <c r="E30" s="76">
        <f t="shared" si="2"/>
        <v>-120008</v>
      </c>
      <c r="F30" s="77">
        <f t="shared" si="3"/>
        <v>-3.9783710385939253E-2</v>
      </c>
    </row>
    <row r="31" spans="1:7" ht="23.1" customHeight="1" x14ac:dyDescent="0.2">
      <c r="A31" s="74">
        <v>8</v>
      </c>
      <c r="B31" s="75" t="s">
        <v>89</v>
      </c>
      <c r="C31" s="76">
        <v>4466100</v>
      </c>
      <c r="D31" s="76">
        <v>3379448</v>
      </c>
      <c r="E31" s="76">
        <f t="shared" si="2"/>
        <v>-1086652</v>
      </c>
      <c r="F31" s="77">
        <f t="shared" si="3"/>
        <v>-0.24331116634199862</v>
      </c>
    </row>
    <row r="32" spans="1:7" ht="23.1" customHeight="1" x14ac:dyDescent="0.2">
      <c r="A32" s="74">
        <v>9</v>
      </c>
      <c r="B32" s="75" t="s">
        <v>90</v>
      </c>
      <c r="C32" s="76">
        <v>70758484</v>
      </c>
      <c r="D32" s="76">
        <v>75746996</v>
      </c>
      <c r="E32" s="76">
        <f t="shared" si="2"/>
        <v>4988512</v>
      </c>
      <c r="F32" s="77">
        <f t="shared" si="3"/>
        <v>7.0500549446480515E-2</v>
      </c>
    </row>
    <row r="33" spans="1:6" ht="23.1" customHeight="1" x14ac:dyDescent="0.25">
      <c r="A33" s="71"/>
      <c r="B33" s="78" t="s">
        <v>91</v>
      </c>
      <c r="C33" s="79">
        <f>SUM(C24:C32)</f>
        <v>342279038</v>
      </c>
      <c r="D33" s="79">
        <f>SUM(D24:D32)</f>
        <v>345860614</v>
      </c>
      <c r="E33" s="79">
        <f t="shared" si="2"/>
        <v>3581576</v>
      </c>
      <c r="F33" s="80">
        <f t="shared" si="3"/>
        <v>1.0463906936655583E-2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17065129</v>
      </c>
      <c r="D35" s="79">
        <f>+D21-D33</f>
        <v>20707130</v>
      </c>
      <c r="E35" s="79">
        <f>D35-C35</f>
        <v>3642001</v>
      </c>
      <c r="F35" s="80">
        <f>IF(C35=0,0,E35/C35)</f>
        <v>0.2134177245305324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5700710</v>
      </c>
      <c r="D38" s="76">
        <v>13450948</v>
      </c>
      <c r="E38" s="76">
        <f>D38-C38</f>
        <v>7750238</v>
      </c>
      <c r="F38" s="77">
        <f>IF(C38=0,0,E38/C38)</f>
        <v>1.3595215332826964</v>
      </c>
    </row>
    <row r="39" spans="1:6" ht="23.1" customHeight="1" x14ac:dyDescent="0.2">
      <c r="A39" s="85">
        <v>2</v>
      </c>
      <c r="B39" s="75" t="s">
        <v>95</v>
      </c>
      <c r="C39" s="76">
        <v>293141</v>
      </c>
      <c r="D39" s="76">
        <v>563644</v>
      </c>
      <c r="E39" s="76">
        <f>D39-C39</f>
        <v>270503</v>
      </c>
      <c r="F39" s="77">
        <f>IF(C39=0,0,E39/C39)</f>
        <v>0.92277436455494111</v>
      </c>
    </row>
    <row r="40" spans="1:6" ht="23.1" customHeight="1" x14ac:dyDescent="0.2">
      <c r="A40" s="85">
        <v>3</v>
      </c>
      <c r="B40" s="75" t="s">
        <v>96</v>
      </c>
      <c r="C40" s="76">
        <v>1069187</v>
      </c>
      <c r="D40" s="76">
        <v>961884</v>
      </c>
      <c r="E40" s="76">
        <f>D40-C40</f>
        <v>-107303</v>
      </c>
      <c r="F40" s="77">
        <f>IF(C40=0,0,E40/C40)</f>
        <v>-0.10035943197962564</v>
      </c>
    </row>
    <row r="41" spans="1:6" ht="23.1" customHeight="1" x14ac:dyDescent="0.25">
      <c r="A41" s="83"/>
      <c r="B41" s="78" t="s">
        <v>97</v>
      </c>
      <c r="C41" s="79">
        <f>SUM(C38:C40)</f>
        <v>7063038</v>
      </c>
      <c r="D41" s="79">
        <f>SUM(D38:D40)</f>
        <v>14976476</v>
      </c>
      <c r="E41" s="79">
        <f>D41-C41</f>
        <v>7913438</v>
      </c>
      <c r="F41" s="80">
        <f>IF(C41=0,0,E41/C41)</f>
        <v>1.1204014476490145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24128167</v>
      </c>
      <c r="D43" s="79">
        <f>D35+D41</f>
        <v>35683606</v>
      </c>
      <c r="E43" s="79">
        <f>D43-C43</f>
        <v>11555439</v>
      </c>
      <c r="F43" s="80">
        <f>IF(C43=0,0,E43/C43)</f>
        <v>0.47891905754796871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24128167</v>
      </c>
      <c r="D50" s="79">
        <f>D43+D48</f>
        <v>35683606</v>
      </c>
      <c r="E50" s="79">
        <f>D50-C50</f>
        <v>11555439</v>
      </c>
      <c r="F50" s="80">
        <f>IF(C50=0,0,E50/C50)</f>
        <v>0.47891905754796871</v>
      </c>
    </row>
    <row r="51" spans="1:6" ht="23.1" customHeight="1" x14ac:dyDescent="0.2">
      <c r="A51" s="85"/>
      <c r="B51" s="75" t="s">
        <v>104</v>
      </c>
      <c r="C51" s="76">
        <v>4618000</v>
      </c>
      <c r="D51" s="76">
        <v>3156000</v>
      </c>
      <c r="E51" s="76">
        <f>D51-C51</f>
        <v>-1462000</v>
      </c>
      <c r="F51" s="77">
        <f>IF(C51=0,0,E51/C51)</f>
        <v>-0.31658726721524472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280884938</v>
      </c>
      <c r="D14" s="113">
        <v>280860334</v>
      </c>
      <c r="E14" s="113">
        <f t="shared" ref="E14:E25" si="0">D14-C14</f>
        <v>-24604</v>
      </c>
      <c r="F14" s="114">
        <f t="shared" ref="F14:F25" si="1">IF(C14=0,0,E14/C14)</f>
        <v>-8.7594586506450559E-5</v>
      </c>
    </row>
    <row r="15" spans="1:6" x14ac:dyDescent="0.2">
      <c r="A15" s="115">
        <v>2</v>
      </c>
      <c r="B15" s="116" t="s">
        <v>114</v>
      </c>
      <c r="C15" s="113">
        <v>65021901</v>
      </c>
      <c r="D15" s="113">
        <v>65233790</v>
      </c>
      <c r="E15" s="113">
        <f t="shared" si="0"/>
        <v>211889</v>
      </c>
      <c r="F15" s="114">
        <f t="shared" si="1"/>
        <v>3.2587327768223819E-3</v>
      </c>
    </row>
    <row r="16" spans="1:6" x14ac:dyDescent="0.2">
      <c r="A16" s="115">
        <v>3</v>
      </c>
      <c r="B16" s="116" t="s">
        <v>115</v>
      </c>
      <c r="C16" s="113">
        <v>71291853</v>
      </c>
      <c r="D16" s="113">
        <v>77179588</v>
      </c>
      <c r="E16" s="113">
        <f t="shared" si="0"/>
        <v>5887735</v>
      </c>
      <c r="F16" s="114">
        <f t="shared" si="1"/>
        <v>8.2586365092796793E-2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1669163</v>
      </c>
      <c r="D18" s="113">
        <v>1800340</v>
      </c>
      <c r="E18" s="113">
        <f t="shared" si="0"/>
        <v>131177</v>
      </c>
      <c r="F18" s="114">
        <f t="shared" si="1"/>
        <v>7.8588490159439195E-2</v>
      </c>
    </row>
    <row r="19" spans="1:6" x14ac:dyDescent="0.2">
      <c r="A19" s="115">
        <v>6</v>
      </c>
      <c r="B19" s="116" t="s">
        <v>118</v>
      </c>
      <c r="C19" s="113">
        <v>11015330</v>
      </c>
      <c r="D19" s="113">
        <v>11352746</v>
      </c>
      <c r="E19" s="113">
        <f t="shared" si="0"/>
        <v>337416</v>
      </c>
      <c r="F19" s="114">
        <f t="shared" si="1"/>
        <v>3.0631492656143757E-2</v>
      </c>
    </row>
    <row r="20" spans="1:6" x14ac:dyDescent="0.2">
      <c r="A20" s="115">
        <v>7</v>
      </c>
      <c r="B20" s="116" t="s">
        <v>119</v>
      </c>
      <c r="C20" s="113">
        <v>134817686</v>
      </c>
      <c r="D20" s="113">
        <v>132500711</v>
      </c>
      <c r="E20" s="113">
        <f t="shared" si="0"/>
        <v>-2316975</v>
      </c>
      <c r="F20" s="114">
        <f t="shared" si="1"/>
        <v>-1.7185987007669008E-2</v>
      </c>
    </row>
    <row r="21" spans="1:6" x14ac:dyDescent="0.2">
      <c r="A21" s="115">
        <v>8</v>
      </c>
      <c r="B21" s="116" t="s">
        <v>120</v>
      </c>
      <c r="C21" s="113">
        <v>4281946</v>
      </c>
      <c r="D21" s="113">
        <v>5313783</v>
      </c>
      <c r="E21" s="113">
        <f t="shared" si="0"/>
        <v>1031837</v>
      </c>
      <c r="F21" s="114">
        <f t="shared" si="1"/>
        <v>0.24097384693781754</v>
      </c>
    </row>
    <row r="22" spans="1:6" x14ac:dyDescent="0.2">
      <c r="A22" s="115">
        <v>9</v>
      </c>
      <c r="B22" s="116" t="s">
        <v>121</v>
      </c>
      <c r="C22" s="113">
        <v>5822241</v>
      </c>
      <c r="D22" s="113">
        <v>4804078</v>
      </c>
      <c r="E22" s="113">
        <f t="shared" si="0"/>
        <v>-1018163</v>
      </c>
      <c r="F22" s="114">
        <f t="shared" si="1"/>
        <v>-0.17487476042300551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574805058</v>
      </c>
      <c r="D25" s="119">
        <f>SUM(D14:D24)</f>
        <v>579045370</v>
      </c>
      <c r="E25" s="119">
        <f t="shared" si="0"/>
        <v>4240312</v>
      </c>
      <c r="F25" s="120">
        <f t="shared" si="1"/>
        <v>7.3769566585824998E-3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187944456</v>
      </c>
      <c r="D27" s="113">
        <v>200714915</v>
      </c>
      <c r="E27" s="113">
        <f t="shared" ref="E27:E38" si="2">D27-C27</f>
        <v>12770459</v>
      </c>
      <c r="F27" s="114">
        <f t="shared" ref="F27:F38" si="3">IF(C27=0,0,E27/C27)</f>
        <v>6.794804843831094E-2</v>
      </c>
    </row>
    <row r="28" spans="1:6" x14ac:dyDescent="0.2">
      <c r="A28" s="115">
        <v>2</v>
      </c>
      <c r="B28" s="116" t="s">
        <v>114</v>
      </c>
      <c r="C28" s="113">
        <v>51578756</v>
      </c>
      <c r="D28" s="113">
        <v>53823193</v>
      </c>
      <c r="E28" s="113">
        <f t="shared" si="2"/>
        <v>2244437</v>
      </c>
      <c r="F28" s="114">
        <f t="shared" si="3"/>
        <v>4.351475634658579E-2</v>
      </c>
    </row>
    <row r="29" spans="1:6" x14ac:dyDescent="0.2">
      <c r="A29" s="115">
        <v>3</v>
      </c>
      <c r="B29" s="116" t="s">
        <v>115</v>
      </c>
      <c r="C29" s="113">
        <v>104354788</v>
      </c>
      <c r="D29" s="113">
        <v>119249249</v>
      </c>
      <c r="E29" s="113">
        <f t="shared" si="2"/>
        <v>14894461</v>
      </c>
      <c r="F29" s="114">
        <f t="shared" si="3"/>
        <v>0.14272906193820259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2759727</v>
      </c>
      <c r="D31" s="113">
        <v>3144401</v>
      </c>
      <c r="E31" s="113">
        <f t="shared" si="2"/>
        <v>384674</v>
      </c>
      <c r="F31" s="114">
        <f t="shared" si="3"/>
        <v>0.13938842501450324</v>
      </c>
    </row>
    <row r="32" spans="1:6" x14ac:dyDescent="0.2">
      <c r="A32" s="115">
        <v>6</v>
      </c>
      <c r="B32" s="116" t="s">
        <v>118</v>
      </c>
      <c r="C32" s="113">
        <v>26613437</v>
      </c>
      <c r="D32" s="113">
        <v>26552286</v>
      </c>
      <c r="E32" s="113">
        <f t="shared" si="2"/>
        <v>-61151</v>
      </c>
      <c r="F32" s="114">
        <f t="shared" si="3"/>
        <v>-2.2977490656317708E-3</v>
      </c>
    </row>
    <row r="33" spans="1:6" x14ac:dyDescent="0.2">
      <c r="A33" s="115">
        <v>7</v>
      </c>
      <c r="B33" s="116" t="s">
        <v>119</v>
      </c>
      <c r="C33" s="113">
        <v>245404510</v>
      </c>
      <c r="D33" s="113">
        <v>265366297</v>
      </c>
      <c r="E33" s="113">
        <f t="shared" si="2"/>
        <v>19961787</v>
      </c>
      <c r="F33" s="114">
        <f t="shared" si="3"/>
        <v>8.1342380382495819E-2</v>
      </c>
    </row>
    <row r="34" spans="1:6" x14ac:dyDescent="0.2">
      <c r="A34" s="115">
        <v>8</v>
      </c>
      <c r="B34" s="116" t="s">
        <v>120</v>
      </c>
      <c r="C34" s="113">
        <v>8197096</v>
      </c>
      <c r="D34" s="113">
        <v>9578831</v>
      </c>
      <c r="E34" s="113">
        <f t="shared" si="2"/>
        <v>1381735</v>
      </c>
      <c r="F34" s="114">
        <f t="shared" si="3"/>
        <v>0.16856396460405002</v>
      </c>
    </row>
    <row r="35" spans="1:6" x14ac:dyDescent="0.2">
      <c r="A35" s="115">
        <v>9</v>
      </c>
      <c r="B35" s="116" t="s">
        <v>121</v>
      </c>
      <c r="C35" s="113">
        <v>14863650</v>
      </c>
      <c r="D35" s="113">
        <v>14751065</v>
      </c>
      <c r="E35" s="113">
        <f t="shared" si="2"/>
        <v>-112585</v>
      </c>
      <c r="F35" s="114">
        <f t="shared" si="3"/>
        <v>-7.5745190447837505E-3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641716420</v>
      </c>
      <c r="D38" s="119">
        <f>SUM(D27:D37)</f>
        <v>693180237</v>
      </c>
      <c r="E38" s="119">
        <f t="shared" si="2"/>
        <v>51463817</v>
      </c>
      <c r="F38" s="120">
        <f t="shared" si="3"/>
        <v>8.0197132870622204E-2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468829394</v>
      </c>
      <c r="D41" s="119">
        <f t="shared" si="4"/>
        <v>481575249</v>
      </c>
      <c r="E41" s="123">
        <f t="shared" ref="E41:E52" si="5">D41-C41</f>
        <v>12745855</v>
      </c>
      <c r="F41" s="124">
        <f t="shared" ref="F41:F52" si="6">IF(C41=0,0,E41/C41)</f>
        <v>2.7186552641791057E-2</v>
      </c>
    </row>
    <row r="42" spans="1:6" ht="15.75" x14ac:dyDescent="0.25">
      <c r="A42" s="121">
        <v>2</v>
      </c>
      <c r="B42" s="122" t="s">
        <v>114</v>
      </c>
      <c r="C42" s="119">
        <f t="shared" si="4"/>
        <v>116600657</v>
      </c>
      <c r="D42" s="119">
        <f t="shared" si="4"/>
        <v>119056983</v>
      </c>
      <c r="E42" s="123">
        <f t="shared" si="5"/>
        <v>2456326</v>
      </c>
      <c r="F42" s="124">
        <f t="shared" si="6"/>
        <v>2.1066142020108859E-2</v>
      </c>
    </row>
    <row r="43" spans="1:6" ht="15.75" x14ac:dyDescent="0.25">
      <c r="A43" s="121">
        <v>3</v>
      </c>
      <c r="B43" s="122" t="s">
        <v>115</v>
      </c>
      <c r="C43" s="119">
        <f t="shared" si="4"/>
        <v>175646641</v>
      </c>
      <c r="D43" s="119">
        <f t="shared" si="4"/>
        <v>196428837</v>
      </c>
      <c r="E43" s="123">
        <f t="shared" si="5"/>
        <v>20782196</v>
      </c>
      <c r="F43" s="124">
        <f t="shared" si="6"/>
        <v>0.11831820911394486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4428890</v>
      </c>
      <c r="D45" s="119">
        <f t="shared" si="4"/>
        <v>4944741</v>
      </c>
      <c r="E45" s="123">
        <f t="shared" si="5"/>
        <v>515851</v>
      </c>
      <c r="F45" s="124">
        <f t="shared" si="6"/>
        <v>0.11647410524984815</v>
      </c>
    </row>
    <row r="46" spans="1:6" ht="15.75" x14ac:dyDescent="0.25">
      <c r="A46" s="121">
        <v>6</v>
      </c>
      <c r="B46" s="122" t="s">
        <v>118</v>
      </c>
      <c r="C46" s="119">
        <f t="shared" si="4"/>
        <v>37628767</v>
      </c>
      <c r="D46" s="119">
        <f t="shared" si="4"/>
        <v>37905032</v>
      </c>
      <c r="E46" s="123">
        <f t="shared" si="5"/>
        <v>276265</v>
      </c>
      <c r="F46" s="124">
        <f t="shared" si="6"/>
        <v>7.3418562984006357E-3</v>
      </c>
    </row>
    <row r="47" spans="1:6" ht="15.75" x14ac:dyDescent="0.25">
      <c r="A47" s="121">
        <v>7</v>
      </c>
      <c r="B47" s="122" t="s">
        <v>119</v>
      </c>
      <c r="C47" s="119">
        <f t="shared" si="4"/>
        <v>380222196</v>
      </c>
      <c r="D47" s="119">
        <f t="shared" si="4"/>
        <v>397867008</v>
      </c>
      <c r="E47" s="123">
        <f t="shared" si="5"/>
        <v>17644812</v>
      </c>
      <c r="F47" s="124">
        <f t="shared" si="6"/>
        <v>4.6406580640547347E-2</v>
      </c>
    </row>
    <row r="48" spans="1:6" ht="15.75" x14ac:dyDescent="0.25">
      <c r="A48" s="121">
        <v>8</v>
      </c>
      <c r="B48" s="122" t="s">
        <v>120</v>
      </c>
      <c r="C48" s="119">
        <f t="shared" si="4"/>
        <v>12479042</v>
      </c>
      <c r="D48" s="119">
        <f t="shared" si="4"/>
        <v>14892614</v>
      </c>
      <c r="E48" s="123">
        <f t="shared" si="5"/>
        <v>2413572</v>
      </c>
      <c r="F48" s="124">
        <f t="shared" si="6"/>
        <v>0.19341003900780204</v>
      </c>
    </row>
    <row r="49" spans="1:6" ht="15.75" x14ac:dyDescent="0.25">
      <c r="A49" s="121">
        <v>9</v>
      </c>
      <c r="B49" s="122" t="s">
        <v>121</v>
      </c>
      <c r="C49" s="119">
        <f t="shared" si="4"/>
        <v>20685891</v>
      </c>
      <c r="D49" s="119">
        <f t="shared" si="4"/>
        <v>19555143</v>
      </c>
      <c r="E49" s="123">
        <f t="shared" si="5"/>
        <v>-1130748</v>
      </c>
      <c r="F49" s="124">
        <f t="shared" si="6"/>
        <v>-5.4662765070163037E-2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1216521478</v>
      </c>
      <c r="D52" s="128">
        <f>SUM(D41:D51)</f>
        <v>1272225607</v>
      </c>
      <c r="E52" s="127">
        <f t="shared" si="5"/>
        <v>55704129</v>
      </c>
      <c r="F52" s="129">
        <f t="shared" si="6"/>
        <v>4.5789679843202903E-2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58003502</v>
      </c>
      <c r="D57" s="113">
        <v>65352824</v>
      </c>
      <c r="E57" s="113">
        <f t="shared" ref="E57:E68" si="7">D57-C57</f>
        <v>7349322</v>
      </c>
      <c r="F57" s="114">
        <f t="shared" ref="F57:F68" si="8">IF(C57=0,0,E57/C57)</f>
        <v>0.12670479792754583</v>
      </c>
    </row>
    <row r="58" spans="1:6" x14ac:dyDescent="0.2">
      <c r="A58" s="115">
        <v>2</v>
      </c>
      <c r="B58" s="116" t="s">
        <v>114</v>
      </c>
      <c r="C58" s="113">
        <v>14148398</v>
      </c>
      <c r="D58" s="113">
        <v>14864511</v>
      </c>
      <c r="E58" s="113">
        <f t="shared" si="7"/>
        <v>716113</v>
      </c>
      <c r="F58" s="114">
        <f t="shared" si="8"/>
        <v>5.0614422919117767E-2</v>
      </c>
    </row>
    <row r="59" spans="1:6" x14ac:dyDescent="0.2">
      <c r="A59" s="115">
        <v>3</v>
      </c>
      <c r="B59" s="116" t="s">
        <v>115</v>
      </c>
      <c r="C59" s="113">
        <v>10706376</v>
      </c>
      <c r="D59" s="113">
        <v>10773156</v>
      </c>
      <c r="E59" s="113">
        <f t="shared" si="7"/>
        <v>66780</v>
      </c>
      <c r="F59" s="114">
        <f t="shared" si="8"/>
        <v>6.2374047016469439E-3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377732</v>
      </c>
      <c r="D61" s="113">
        <v>367877</v>
      </c>
      <c r="E61" s="113">
        <f t="shared" si="7"/>
        <v>-9855</v>
      </c>
      <c r="F61" s="114">
        <f t="shared" si="8"/>
        <v>-2.6089926191056094E-2</v>
      </c>
    </row>
    <row r="62" spans="1:6" x14ac:dyDescent="0.2">
      <c r="A62" s="115">
        <v>6</v>
      </c>
      <c r="B62" s="116" t="s">
        <v>118</v>
      </c>
      <c r="C62" s="113">
        <v>4066243</v>
      </c>
      <c r="D62" s="113">
        <v>4654241</v>
      </c>
      <c r="E62" s="113">
        <f t="shared" si="7"/>
        <v>587998</v>
      </c>
      <c r="F62" s="114">
        <f t="shared" si="8"/>
        <v>0.14460473710007002</v>
      </c>
    </row>
    <row r="63" spans="1:6" x14ac:dyDescent="0.2">
      <c r="A63" s="115">
        <v>7</v>
      </c>
      <c r="B63" s="116" t="s">
        <v>119</v>
      </c>
      <c r="C63" s="113">
        <v>58186843</v>
      </c>
      <c r="D63" s="113">
        <v>59469601</v>
      </c>
      <c r="E63" s="113">
        <f t="shared" si="7"/>
        <v>1282758</v>
      </c>
      <c r="F63" s="114">
        <f t="shared" si="8"/>
        <v>2.2045499186130444E-2</v>
      </c>
    </row>
    <row r="64" spans="1:6" x14ac:dyDescent="0.2">
      <c r="A64" s="115">
        <v>8</v>
      </c>
      <c r="B64" s="116" t="s">
        <v>120</v>
      </c>
      <c r="C64" s="113">
        <v>3577785</v>
      </c>
      <c r="D64" s="113">
        <v>3747264</v>
      </c>
      <c r="E64" s="113">
        <f t="shared" si="7"/>
        <v>169479</v>
      </c>
      <c r="F64" s="114">
        <f t="shared" si="8"/>
        <v>4.7369811210008425E-2</v>
      </c>
    </row>
    <row r="65" spans="1:6" x14ac:dyDescent="0.2">
      <c r="A65" s="115">
        <v>9</v>
      </c>
      <c r="B65" s="116" t="s">
        <v>121</v>
      </c>
      <c r="C65" s="113">
        <v>3735559</v>
      </c>
      <c r="D65" s="113">
        <v>1364690</v>
      </c>
      <c r="E65" s="113">
        <f t="shared" si="7"/>
        <v>-2370869</v>
      </c>
      <c r="F65" s="114">
        <f t="shared" si="8"/>
        <v>-0.63467582763382935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152802438</v>
      </c>
      <c r="D68" s="119">
        <f>SUM(D57:D67)</f>
        <v>160594164</v>
      </c>
      <c r="E68" s="119">
        <f t="shared" si="7"/>
        <v>7791726</v>
      </c>
      <c r="F68" s="120">
        <f t="shared" si="8"/>
        <v>5.0992157598951399E-2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45431759</v>
      </c>
      <c r="D70" s="113">
        <v>42106080</v>
      </c>
      <c r="E70" s="113">
        <f t="shared" ref="E70:E81" si="9">D70-C70</f>
        <v>-3325679</v>
      </c>
      <c r="F70" s="114">
        <f t="shared" ref="F70:F81" si="10">IF(C70=0,0,E70/C70)</f>
        <v>-7.3201634125590428E-2</v>
      </c>
    </row>
    <row r="71" spans="1:6" x14ac:dyDescent="0.2">
      <c r="A71" s="115">
        <v>2</v>
      </c>
      <c r="B71" s="116" t="s">
        <v>114</v>
      </c>
      <c r="C71" s="113">
        <v>9021925</v>
      </c>
      <c r="D71" s="113">
        <v>9032873</v>
      </c>
      <c r="E71" s="113">
        <f t="shared" si="9"/>
        <v>10948</v>
      </c>
      <c r="F71" s="114">
        <f t="shared" si="10"/>
        <v>1.2134882522299843E-3</v>
      </c>
    </row>
    <row r="72" spans="1:6" x14ac:dyDescent="0.2">
      <c r="A72" s="115">
        <v>3</v>
      </c>
      <c r="B72" s="116" t="s">
        <v>115</v>
      </c>
      <c r="C72" s="113">
        <v>18933996</v>
      </c>
      <c r="D72" s="113">
        <v>20919610</v>
      </c>
      <c r="E72" s="113">
        <f t="shared" si="9"/>
        <v>1985614</v>
      </c>
      <c r="F72" s="114">
        <f t="shared" si="10"/>
        <v>0.104870308412445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373436</v>
      </c>
      <c r="D74" s="113">
        <v>293636</v>
      </c>
      <c r="E74" s="113">
        <f t="shared" si="9"/>
        <v>-79800</v>
      </c>
      <c r="F74" s="114">
        <f t="shared" si="10"/>
        <v>-0.21369123491039965</v>
      </c>
    </row>
    <row r="75" spans="1:6" x14ac:dyDescent="0.2">
      <c r="A75" s="115">
        <v>6</v>
      </c>
      <c r="B75" s="116" t="s">
        <v>118</v>
      </c>
      <c r="C75" s="113">
        <v>10802237</v>
      </c>
      <c r="D75" s="113">
        <v>10433397</v>
      </c>
      <c r="E75" s="113">
        <f t="shared" si="9"/>
        <v>-368840</v>
      </c>
      <c r="F75" s="114">
        <f t="shared" si="10"/>
        <v>-3.414477945632928E-2</v>
      </c>
    </row>
    <row r="76" spans="1:6" x14ac:dyDescent="0.2">
      <c r="A76" s="115">
        <v>7</v>
      </c>
      <c r="B76" s="116" t="s">
        <v>119</v>
      </c>
      <c r="C76" s="113">
        <v>104142742</v>
      </c>
      <c r="D76" s="113">
        <v>105723502</v>
      </c>
      <c r="E76" s="113">
        <f t="shared" si="9"/>
        <v>1580760</v>
      </c>
      <c r="F76" s="114">
        <f t="shared" si="10"/>
        <v>1.5178782214126838E-2</v>
      </c>
    </row>
    <row r="77" spans="1:6" x14ac:dyDescent="0.2">
      <c r="A77" s="115">
        <v>8</v>
      </c>
      <c r="B77" s="116" t="s">
        <v>120</v>
      </c>
      <c r="C77" s="113">
        <v>5531891</v>
      </c>
      <c r="D77" s="113">
        <v>6590078</v>
      </c>
      <c r="E77" s="113">
        <f t="shared" si="9"/>
        <v>1058187</v>
      </c>
      <c r="F77" s="114">
        <f t="shared" si="10"/>
        <v>0.19128847621907227</v>
      </c>
    </row>
    <row r="78" spans="1:6" x14ac:dyDescent="0.2">
      <c r="A78" s="115">
        <v>9</v>
      </c>
      <c r="B78" s="116" t="s">
        <v>121</v>
      </c>
      <c r="C78" s="113">
        <v>4549613</v>
      </c>
      <c r="D78" s="113">
        <v>2469628</v>
      </c>
      <c r="E78" s="113">
        <f t="shared" si="9"/>
        <v>-2079985</v>
      </c>
      <c r="F78" s="114">
        <f t="shared" si="10"/>
        <v>-0.45717844572714206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198787599</v>
      </c>
      <c r="D81" s="119">
        <f>SUM(D70:D80)</f>
        <v>197568804</v>
      </c>
      <c r="E81" s="119">
        <f t="shared" si="9"/>
        <v>-1218795</v>
      </c>
      <c r="F81" s="120">
        <f t="shared" si="10"/>
        <v>-6.1311420135418005E-3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103435261</v>
      </c>
      <c r="D84" s="119">
        <f t="shared" si="11"/>
        <v>107458904</v>
      </c>
      <c r="E84" s="119">
        <f t="shared" ref="E84:E95" si="12">D84-C84</f>
        <v>4023643</v>
      </c>
      <c r="F84" s="120">
        <f t="shared" ref="F84:F95" si="13">IF(C84=0,0,E84/C84)</f>
        <v>3.8900109702435036E-2</v>
      </c>
    </row>
    <row r="85" spans="1:6" ht="15.75" x14ac:dyDescent="0.25">
      <c r="A85" s="130">
        <v>2</v>
      </c>
      <c r="B85" s="122" t="s">
        <v>114</v>
      </c>
      <c r="C85" s="119">
        <f t="shared" si="11"/>
        <v>23170323</v>
      </c>
      <c r="D85" s="119">
        <f t="shared" si="11"/>
        <v>23897384</v>
      </c>
      <c r="E85" s="119">
        <f t="shared" si="12"/>
        <v>727061</v>
      </c>
      <c r="F85" s="120">
        <f t="shared" si="13"/>
        <v>3.1378975597362198E-2</v>
      </c>
    </row>
    <row r="86" spans="1:6" ht="15.75" x14ac:dyDescent="0.25">
      <c r="A86" s="130">
        <v>3</v>
      </c>
      <c r="B86" s="122" t="s">
        <v>115</v>
      </c>
      <c r="C86" s="119">
        <f t="shared" si="11"/>
        <v>29640372</v>
      </c>
      <c r="D86" s="119">
        <f t="shared" si="11"/>
        <v>31692766</v>
      </c>
      <c r="E86" s="119">
        <f t="shared" si="12"/>
        <v>2052394</v>
      </c>
      <c r="F86" s="120">
        <f t="shared" si="13"/>
        <v>6.9243193034149497E-2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751168</v>
      </c>
      <c r="D88" s="119">
        <f t="shared" si="11"/>
        <v>661513</v>
      </c>
      <c r="E88" s="119">
        <f t="shared" si="12"/>
        <v>-89655</v>
      </c>
      <c r="F88" s="120">
        <f t="shared" si="13"/>
        <v>-0.11935412584135639</v>
      </c>
    </row>
    <row r="89" spans="1:6" ht="15.75" x14ac:dyDescent="0.25">
      <c r="A89" s="130">
        <v>6</v>
      </c>
      <c r="B89" s="122" t="s">
        <v>118</v>
      </c>
      <c r="C89" s="119">
        <f t="shared" si="11"/>
        <v>14868480</v>
      </c>
      <c r="D89" s="119">
        <f t="shared" si="11"/>
        <v>15087638</v>
      </c>
      <c r="E89" s="119">
        <f t="shared" si="12"/>
        <v>219158</v>
      </c>
      <c r="F89" s="120">
        <f t="shared" si="13"/>
        <v>1.4739771651170798E-2</v>
      </c>
    </row>
    <row r="90" spans="1:6" ht="15.75" x14ac:dyDescent="0.25">
      <c r="A90" s="130">
        <v>7</v>
      </c>
      <c r="B90" s="122" t="s">
        <v>119</v>
      </c>
      <c r="C90" s="119">
        <f t="shared" si="11"/>
        <v>162329585</v>
      </c>
      <c r="D90" s="119">
        <f t="shared" si="11"/>
        <v>165193103</v>
      </c>
      <c r="E90" s="119">
        <f t="shared" si="12"/>
        <v>2863518</v>
      </c>
      <c r="F90" s="120">
        <f t="shared" si="13"/>
        <v>1.7640148590289319E-2</v>
      </c>
    </row>
    <row r="91" spans="1:6" ht="15.75" x14ac:dyDescent="0.25">
      <c r="A91" s="130">
        <v>8</v>
      </c>
      <c r="B91" s="122" t="s">
        <v>120</v>
      </c>
      <c r="C91" s="119">
        <f t="shared" si="11"/>
        <v>9109676</v>
      </c>
      <c r="D91" s="119">
        <f t="shared" si="11"/>
        <v>10337342</v>
      </c>
      <c r="E91" s="119">
        <f t="shared" si="12"/>
        <v>1227666</v>
      </c>
      <c r="F91" s="120">
        <f t="shared" si="13"/>
        <v>0.13476505640815326</v>
      </c>
    </row>
    <row r="92" spans="1:6" ht="15.75" x14ac:dyDescent="0.25">
      <c r="A92" s="130">
        <v>9</v>
      </c>
      <c r="B92" s="122" t="s">
        <v>121</v>
      </c>
      <c r="C92" s="119">
        <f t="shared" si="11"/>
        <v>8285172</v>
      </c>
      <c r="D92" s="119">
        <f t="shared" si="11"/>
        <v>3834318</v>
      </c>
      <c r="E92" s="119">
        <f t="shared" si="12"/>
        <v>-4450854</v>
      </c>
      <c r="F92" s="120">
        <f t="shared" si="13"/>
        <v>-0.53720719376737136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351590037</v>
      </c>
      <c r="D95" s="128">
        <f>SUM(D84:D94)</f>
        <v>358162968</v>
      </c>
      <c r="E95" s="128">
        <f t="shared" si="12"/>
        <v>6572931</v>
      </c>
      <c r="F95" s="129">
        <f t="shared" si="13"/>
        <v>1.8694872744644923E-2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6859</v>
      </c>
      <c r="D100" s="133">
        <v>6359</v>
      </c>
      <c r="E100" s="133">
        <f t="shared" ref="E100:E111" si="14">D100-C100</f>
        <v>-500</v>
      </c>
      <c r="F100" s="114">
        <f t="shared" ref="F100:F111" si="15">IF(C100=0,0,E100/C100)</f>
        <v>-7.2896923749817752E-2</v>
      </c>
    </row>
    <row r="101" spans="1:6" x14ac:dyDescent="0.2">
      <c r="A101" s="115">
        <v>2</v>
      </c>
      <c r="B101" s="116" t="s">
        <v>114</v>
      </c>
      <c r="C101" s="133">
        <v>1411</v>
      </c>
      <c r="D101" s="133">
        <v>1401</v>
      </c>
      <c r="E101" s="133">
        <f t="shared" si="14"/>
        <v>-10</v>
      </c>
      <c r="F101" s="114">
        <f t="shared" si="15"/>
        <v>-7.0871722182849041E-3</v>
      </c>
    </row>
    <row r="102" spans="1:6" x14ac:dyDescent="0.2">
      <c r="A102" s="115">
        <v>3</v>
      </c>
      <c r="B102" s="116" t="s">
        <v>115</v>
      </c>
      <c r="C102" s="133">
        <v>2323</v>
      </c>
      <c r="D102" s="133">
        <v>2263</v>
      </c>
      <c r="E102" s="133">
        <f t="shared" si="14"/>
        <v>-60</v>
      </c>
      <c r="F102" s="114">
        <f t="shared" si="15"/>
        <v>-2.582866982350409E-2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44</v>
      </c>
      <c r="D104" s="133">
        <v>57</v>
      </c>
      <c r="E104" s="133">
        <f t="shared" si="14"/>
        <v>13</v>
      </c>
      <c r="F104" s="114">
        <f t="shared" si="15"/>
        <v>0.29545454545454547</v>
      </c>
    </row>
    <row r="105" spans="1:6" x14ac:dyDescent="0.2">
      <c r="A105" s="115">
        <v>6</v>
      </c>
      <c r="B105" s="116" t="s">
        <v>118</v>
      </c>
      <c r="C105" s="133">
        <v>302</v>
      </c>
      <c r="D105" s="133">
        <v>299</v>
      </c>
      <c r="E105" s="133">
        <f t="shared" si="14"/>
        <v>-3</v>
      </c>
      <c r="F105" s="114">
        <f t="shared" si="15"/>
        <v>-9.9337748344370865E-3</v>
      </c>
    </row>
    <row r="106" spans="1:6" x14ac:dyDescent="0.2">
      <c r="A106" s="115">
        <v>7</v>
      </c>
      <c r="B106" s="116" t="s">
        <v>119</v>
      </c>
      <c r="C106" s="133">
        <v>3992</v>
      </c>
      <c r="D106" s="133">
        <v>3711</v>
      </c>
      <c r="E106" s="133">
        <f t="shared" si="14"/>
        <v>-281</v>
      </c>
      <c r="F106" s="114">
        <f t="shared" si="15"/>
        <v>-7.0390781563126253E-2</v>
      </c>
    </row>
    <row r="107" spans="1:6" x14ac:dyDescent="0.2">
      <c r="A107" s="115">
        <v>8</v>
      </c>
      <c r="B107" s="116" t="s">
        <v>120</v>
      </c>
      <c r="C107" s="133">
        <v>63</v>
      </c>
      <c r="D107" s="133">
        <v>67</v>
      </c>
      <c r="E107" s="133">
        <f t="shared" si="14"/>
        <v>4</v>
      </c>
      <c r="F107" s="114">
        <f t="shared" si="15"/>
        <v>6.3492063492063489E-2</v>
      </c>
    </row>
    <row r="108" spans="1:6" x14ac:dyDescent="0.2">
      <c r="A108" s="115">
        <v>9</v>
      </c>
      <c r="B108" s="116" t="s">
        <v>121</v>
      </c>
      <c r="C108" s="133">
        <v>168</v>
      </c>
      <c r="D108" s="133">
        <v>139</v>
      </c>
      <c r="E108" s="133">
        <f t="shared" si="14"/>
        <v>-29</v>
      </c>
      <c r="F108" s="114">
        <f t="shared" si="15"/>
        <v>-0.17261904761904762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15162</v>
      </c>
      <c r="D111" s="134">
        <f>SUM(D100:D110)</f>
        <v>14296</v>
      </c>
      <c r="E111" s="134">
        <f t="shared" si="14"/>
        <v>-866</v>
      </c>
      <c r="F111" s="120">
        <f t="shared" si="15"/>
        <v>-5.7116475399023876E-2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31677</v>
      </c>
      <c r="D113" s="133">
        <v>29402</v>
      </c>
      <c r="E113" s="133">
        <f t="shared" ref="E113:E124" si="16">D113-C113</f>
        <v>-2275</v>
      </c>
      <c r="F113" s="114">
        <f t="shared" ref="F113:F124" si="17">IF(C113=0,0,E113/C113)</f>
        <v>-7.1818669697256685E-2</v>
      </c>
    </row>
    <row r="114" spans="1:6" x14ac:dyDescent="0.2">
      <c r="A114" s="115">
        <v>2</v>
      </c>
      <c r="B114" s="116" t="s">
        <v>114</v>
      </c>
      <c r="C114" s="133">
        <v>6402</v>
      </c>
      <c r="D114" s="133">
        <v>6184</v>
      </c>
      <c r="E114" s="133">
        <f t="shared" si="16"/>
        <v>-218</v>
      </c>
      <c r="F114" s="114">
        <f t="shared" si="17"/>
        <v>-3.4051858794126838E-2</v>
      </c>
    </row>
    <row r="115" spans="1:6" x14ac:dyDescent="0.2">
      <c r="A115" s="115">
        <v>3</v>
      </c>
      <c r="B115" s="116" t="s">
        <v>115</v>
      </c>
      <c r="C115" s="133">
        <v>9219</v>
      </c>
      <c r="D115" s="133">
        <v>9624</v>
      </c>
      <c r="E115" s="133">
        <f t="shared" si="16"/>
        <v>405</v>
      </c>
      <c r="F115" s="114">
        <f t="shared" si="17"/>
        <v>4.393101204035145E-2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129</v>
      </c>
      <c r="D117" s="133">
        <v>174</v>
      </c>
      <c r="E117" s="133">
        <f t="shared" si="16"/>
        <v>45</v>
      </c>
      <c r="F117" s="114">
        <f t="shared" si="17"/>
        <v>0.34883720930232559</v>
      </c>
    </row>
    <row r="118" spans="1:6" x14ac:dyDescent="0.2">
      <c r="A118" s="115">
        <v>6</v>
      </c>
      <c r="B118" s="116" t="s">
        <v>118</v>
      </c>
      <c r="C118" s="133">
        <v>1050</v>
      </c>
      <c r="D118" s="133">
        <v>1011</v>
      </c>
      <c r="E118" s="133">
        <f t="shared" si="16"/>
        <v>-39</v>
      </c>
      <c r="F118" s="114">
        <f t="shared" si="17"/>
        <v>-3.7142857142857144E-2</v>
      </c>
    </row>
    <row r="119" spans="1:6" x14ac:dyDescent="0.2">
      <c r="A119" s="115">
        <v>7</v>
      </c>
      <c r="B119" s="116" t="s">
        <v>119</v>
      </c>
      <c r="C119" s="133">
        <v>13258</v>
      </c>
      <c r="D119" s="133">
        <v>12362</v>
      </c>
      <c r="E119" s="133">
        <f t="shared" si="16"/>
        <v>-896</v>
      </c>
      <c r="F119" s="114">
        <f t="shared" si="17"/>
        <v>-6.7581837381203796E-2</v>
      </c>
    </row>
    <row r="120" spans="1:6" x14ac:dyDescent="0.2">
      <c r="A120" s="115">
        <v>8</v>
      </c>
      <c r="B120" s="116" t="s">
        <v>120</v>
      </c>
      <c r="C120" s="133">
        <v>181</v>
      </c>
      <c r="D120" s="133">
        <v>234</v>
      </c>
      <c r="E120" s="133">
        <f t="shared" si="16"/>
        <v>53</v>
      </c>
      <c r="F120" s="114">
        <f t="shared" si="17"/>
        <v>0.29281767955801102</v>
      </c>
    </row>
    <row r="121" spans="1:6" x14ac:dyDescent="0.2">
      <c r="A121" s="115">
        <v>9</v>
      </c>
      <c r="B121" s="116" t="s">
        <v>121</v>
      </c>
      <c r="C121" s="133">
        <v>630</v>
      </c>
      <c r="D121" s="133">
        <v>308</v>
      </c>
      <c r="E121" s="133">
        <f t="shared" si="16"/>
        <v>-322</v>
      </c>
      <c r="F121" s="114">
        <f t="shared" si="17"/>
        <v>-0.51111111111111107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62546</v>
      </c>
      <c r="D124" s="134">
        <f>SUM(D113:D123)</f>
        <v>59299</v>
      </c>
      <c r="E124" s="134">
        <f t="shared" si="16"/>
        <v>-3247</v>
      </c>
      <c r="F124" s="120">
        <f t="shared" si="17"/>
        <v>-5.1913791449493173E-2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208364</v>
      </c>
      <c r="D126" s="133">
        <v>217335</v>
      </c>
      <c r="E126" s="133">
        <f t="shared" ref="E126:E137" si="18">D126-C126</f>
        <v>8971</v>
      </c>
      <c r="F126" s="114">
        <f t="shared" ref="F126:F137" si="19">IF(C126=0,0,E126/C126)</f>
        <v>4.3054462383137204E-2</v>
      </c>
    </row>
    <row r="127" spans="1:6" x14ac:dyDescent="0.2">
      <c r="A127" s="115">
        <v>2</v>
      </c>
      <c r="B127" s="116" t="s">
        <v>114</v>
      </c>
      <c r="C127" s="133">
        <v>50571</v>
      </c>
      <c r="D127" s="133">
        <v>46789</v>
      </c>
      <c r="E127" s="133">
        <f t="shared" si="18"/>
        <v>-3782</v>
      </c>
      <c r="F127" s="114">
        <f t="shared" si="19"/>
        <v>-7.4785944513654071E-2</v>
      </c>
    </row>
    <row r="128" spans="1:6" x14ac:dyDescent="0.2">
      <c r="A128" s="115">
        <v>3</v>
      </c>
      <c r="B128" s="116" t="s">
        <v>115</v>
      </c>
      <c r="C128" s="133">
        <v>104366</v>
      </c>
      <c r="D128" s="133">
        <v>111729</v>
      </c>
      <c r="E128" s="133">
        <f t="shared" si="18"/>
        <v>7363</v>
      </c>
      <c r="F128" s="114">
        <f t="shared" si="19"/>
        <v>7.0549795910545582E-2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2408</v>
      </c>
      <c r="D130" s="133">
        <v>2797</v>
      </c>
      <c r="E130" s="133">
        <f t="shared" si="18"/>
        <v>389</v>
      </c>
      <c r="F130" s="114">
        <f t="shared" si="19"/>
        <v>0.16154485049833886</v>
      </c>
    </row>
    <row r="131" spans="1:6" x14ac:dyDescent="0.2">
      <c r="A131" s="115">
        <v>6</v>
      </c>
      <c r="B131" s="116" t="s">
        <v>118</v>
      </c>
      <c r="C131" s="133">
        <v>27680</v>
      </c>
      <c r="D131" s="133">
        <v>19542</v>
      </c>
      <c r="E131" s="133">
        <f t="shared" si="18"/>
        <v>-8138</v>
      </c>
      <c r="F131" s="114">
        <f t="shared" si="19"/>
        <v>-0.29400289017341041</v>
      </c>
    </row>
    <row r="132" spans="1:6" x14ac:dyDescent="0.2">
      <c r="A132" s="115">
        <v>7</v>
      </c>
      <c r="B132" s="116" t="s">
        <v>119</v>
      </c>
      <c r="C132" s="133">
        <v>218991</v>
      </c>
      <c r="D132" s="133">
        <v>217156</v>
      </c>
      <c r="E132" s="133">
        <f t="shared" si="18"/>
        <v>-1835</v>
      </c>
      <c r="F132" s="114">
        <f t="shared" si="19"/>
        <v>-8.3793397902196896E-3</v>
      </c>
    </row>
    <row r="133" spans="1:6" x14ac:dyDescent="0.2">
      <c r="A133" s="115">
        <v>8</v>
      </c>
      <c r="B133" s="116" t="s">
        <v>120</v>
      </c>
      <c r="C133" s="133">
        <v>14170</v>
      </c>
      <c r="D133" s="133">
        <v>15386</v>
      </c>
      <c r="E133" s="133">
        <f t="shared" si="18"/>
        <v>1216</v>
      </c>
      <c r="F133" s="114">
        <f t="shared" si="19"/>
        <v>8.5815102328863802E-2</v>
      </c>
    </row>
    <row r="134" spans="1:6" x14ac:dyDescent="0.2">
      <c r="A134" s="115">
        <v>9</v>
      </c>
      <c r="B134" s="116" t="s">
        <v>121</v>
      </c>
      <c r="C134" s="133">
        <v>12362</v>
      </c>
      <c r="D134" s="133">
        <v>8231</v>
      </c>
      <c r="E134" s="133">
        <f t="shared" si="18"/>
        <v>-4131</v>
      </c>
      <c r="F134" s="114">
        <f t="shared" si="19"/>
        <v>-0.33416922828021356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638912</v>
      </c>
      <c r="D137" s="134">
        <f>SUM(D126:D136)</f>
        <v>638965</v>
      </c>
      <c r="E137" s="134">
        <f t="shared" si="18"/>
        <v>53</v>
      </c>
      <c r="F137" s="120">
        <f t="shared" si="19"/>
        <v>8.2953520985675652E-5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56912928</v>
      </c>
      <c r="D142" s="113">
        <v>66664570</v>
      </c>
      <c r="E142" s="113">
        <f t="shared" ref="E142:E153" si="20">D142-C142</f>
        <v>9751642</v>
      </c>
      <c r="F142" s="114">
        <f t="shared" ref="F142:F153" si="21">IF(C142=0,0,E142/C142)</f>
        <v>0.17134317882924596</v>
      </c>
    </row>
    <row r="143" spans="1:6" x14ac:dyDescent="0.2">
      <c r="A143" s="115">
        <v>2</v>
      </c>
      <c r="B143" s="116" t="s">
        <v>114</v>
      </c>
      <c r="C143" s="113">
        <v>13430570</v>
      </c>
      <c r="D143" s="113">
        <v>16621394</v>
      </c>
      <c r="E143" s="113">
        <f t="shared" si="20"/>
        <v>3190824</v>
      </c>
      <c r="F143" s="114">
        <f t="shared" si="21"/>
        <v>0.23757919433054592</v>
      </c>
    </row>
    <row r="144" spans="1:6" x14ac:dyDescent="0.2">
      <c r="A144" s="115">
        <v>3</v>
      </c>
      <c r="B144" s="116" t="s">
        <v>115</v>
      </c>
      <c r="C144" s="113">
        <v>47510649</v>
      </c>
      <c r="D144" s="113">
        <v>59670269</v>
      </c>
      <c r="E144" s="113">
        <f t="shared" si="20"/>
        <v>12159620</v>
      </c>
      <c r="F144" s="114">
        <f t="shared" si="21"/>
        <v>0.25593462215176221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1333671</v>
      </c>
      <c r="D146" s="113">
        <v>1535427</v>
      </c>
      <c r="E146" s="113">
        <f t="shared" si="20"/>
        <v>201756</v>
      </c>
      <c r="F146" s="114">
        <f t="shared" si="21"/>
        <v>0.15127868867209379</v>
      </c>
    </row>
    <row r="147" spans="1:6" x14ac:dyDescent="0.2">
      <c r="A147" s="115">
        <v>6</v>
      </c>
      <c r="B147" s="116" t="s">
        <v>118</v>
      </c>
      <c r="C147" s="113">
        <v>6745854</v>
      </c>
      <c r="D147" s="113">
        <v>7495450</v>
      </c>
      <c r="E147" s="113">
        <f t="shared" si="20"/>
        <v>749596</v>
      </c>
      <c r="F147" s="114">
        <f t="shared" si="21"/>
        <v>0.11111951133244212</v>
      </c>
    </row>
    <row r="148" spans="1:6" x14ac:dyDescent="0.2">
      <c r="A148" s="115">
        <v>7</v>
      </c>
      <c r="B148" s="116" t="s">
        <v>119</v>
      </c>
      <c r="C148" s="113">
        <v>77528383</v>
      </c>
      <c r="D148" s="113">
        <v>94467190</v>
      </c>
      <c r="E148" s="113">
        <f t="shared" si="20"/>
        <v>16938807</v>
      </c>
      <c r="F148" s="114">
        <f t="shared" si="21"/>
        <v>0.21848523527183586</v>
      </c>
    </row>
    <row r="149" spans="1:6" x14ac:dyDescent="0.2">
      <c r="A149" s="115">
        <v>8</v>
      </c>
      <c r="B149" s="116" t="s">
        <v>120</v>
      </c>
      <c r="C149" s="113">
        <v>2860677</v>
      </c>
      <c r="D149" s="113">
        <v>3687086</v>
      </c>
      <c r="E149" s="113">
        <f t="shared" si="20"/>
        <v>826409</v>
      </c>
      <c r="F149" s="114">
        <f t="shared" si="21"/>
        <v>0.28888581269398816</v>
      </c>
    </row>
    <row r="150" spans="1:6" x14ac:dyDescent="0.2">
      <c r="A150" s="115">
        <v>9</v>
      </c>
      <c r="B150" s="116" t="s">
        <v>121</v>
      </c>
      <c r="C150" s="113">
        <v>10060023</v>
      </c>
      <c r="D150" s="113">
        <v>10338122</v>
      </c>
      <c r="E150" s="113">
        <f t="shared" si="20"/>
        <v>278099</v>
      </c>
      <c r="F150" s="114">
        <f t="shared" si="21"/>
        <v>2.7643972583362882E-2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216382755</v>
      </c>
      <c r="D153" s="119">
        <f>SUM(D142:D152)</f>
        <v>260479508</v>
      </c>
      <c r="E153" s="119">
        <f t="shared" si="20"/>
        <v>44096753</v>
      </c>
      <c r="F153" s="120">
        <f t="shared" si="21"/>
        <v>0.20379051463689887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7596970</v>
      </c>
      <c r="D155" s="113">
        <v>8951059</v>
      </c>
      <c r="E155" s="113">
        <f t="shared" ref="E155:E166" si="22">D155-C155</f>
        <v>1354089</v>
      </c>
      <c r="F155" s="114">
        <f t="shared" ref="F155:F166" si="23">IF(C155=0,0,E155/C155)</f>
        <v>0.17824066700276558</v>
      </c>
    </row>
    <row r="156" spans="1:6" x14ac:dyDescent="0.2">
      <c r="A156" s="115">
        <v>2</v>
      </c>
      <c r="B156" s="116" t="s">
        <v>114</v>
      </c>
      <c r="C156" s="113">
        <v>2093493</v>
      </c>
      <c r="D156" s="113">
        <v>2446705</v>
      </c>
      <c r="E156" s="113">
        <f t="shared" si="22"/>
        <v>353212</v>
      </c>
      <c r="F156" s="114">
        <f t="shared" si="23"/>
        <v>0.16871897828175209</v>
      </c>
    </row>
    <row r="157" spans="1:6" x14ac:dyDescent="0.2">
      <c r="A157" s="115">
        <v>3</v>
      </c>
      <c r="B157" s="116" t="s">
        <v>115</v>
      </c>
      <c r="C157" s="113">
        <v>7926639</v>
      </c>
      <c r="D157" s="113">
        <v>8484648</v>
      </c>
      <c r="E157" s="113">
        <f t="shared" si="22"/>
        <v>558009</v>
      </c>
      <c r="F157" s="114">
        <f t="shared" si="23"/>
        <v>7.0396671275177292E-2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223282</v>
      </c>
      <c r="D159" s="113">
        <v>247333</v>
      </c>
      <c r="E159" s="113">
        <f t="shared" si="22"/>
        <v>24051</v>
      </c>
      <c r="F159" s="114">
        <f t="shared" si="23"/>
        <v>0.10771580333390063</v>
      </c>
    </row>
    <row r="160" spans="1:6" x14ac:dyDescent="0.2">
      <c r="A160" s="115">
        <v>6</v>
      </c>
      <c r="B160" s="116" t="s">
        <v>118</v>
      </c>
      <c r="C160" s="113">
        <v>1734052</v>
      </c>
      <c r="D160" s="113">
        <v>1680023</v>
      </c>
      <c r="E160" s="113">
        <f t="shared" si="22"/>
        <v>-54029</v>
      </c>
      <c r="F160" s="114">
        <f t="shared" si="23"/>
        <v>-3.1157658478523136E-2</v>
      </c>
    </row>
    <row r="161" spans="1:6" x14ac:dyDescent="0.2">
      <c r="A161" s="115">
        <v>7</v>
      </c>
      <c r="B161" s="116" t="s">
        <v>119</v>
      </c>
      <c r="C161" s="113">
        <v>33892900</v>
      </c>
      <c r="D161" s="113">
        <v>35331716</v>
      </c>
      <c r="E161" s="113">
        <f t="shared" si="22"/>
        <v>1438816</v>
      </c>
      <c r="F161" s="114">
        <f t="shared" si="23"/>
        <v>4.2451840946038849E-2</v>
      </c>
    </row>
    <row r="162" spans="1:6" x14ac:dyDescent="0.2">
      <c r="A162" s="115">
        <v>8</v>
      </c>
      <c r="B162" s="116" t="s">
        <v>120</v>
      </c>
      <c r="C162" s="113">
        <v>1757000</v>
      </c>
      <c r="D162" s="113">
        <v>2055544</v>
      </c>
      <c r="E162" s="113">
        <f t="shared" si="22"/>
        <v>298544</v>
      </c>
      <c r="F162" s="114">
        <f t="shared" si="23"/>
        <v>0.16991690381331814</v>
      </c>
    </row>
    <row r="163" spans="1:6" x14ac:dyDescent="0.2">
      <c r="A163" s="115">
        <v>9</v>
      </c>
      <c r="B163" s="116" t="s">
        <v>121</v>
      </c>
      <c r="C163" s="113">
        <v>222548</v>
      </c>
      <c r="D163" s="113">
        <v>306286</v>
      </c>
      <c r="E163" s="113">
        <f t="shared" si="22"/>
        <v>83738</v>
      </c>
      <c r="F163" s="114">
        <f t="shared" si="23"/>
        <v>0.37626938907561513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55446884</v>
      </c>
      <c r="D166" s="119">
        <f>SUM(D155:D165)</f>
        <v>59503314</v>
      </c>
      <c r="E166" s="119">
        <f t="shared" si="22"/>
        <v>4056430</v>
      </c>
      <c r="F166" s="120">
        <f t="shared" si="23"/>
        <v>7.3158845139070394E-2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15450</v>
      </c>
      <c r="D168" s="133">
        <v>15549</v>
      </c>
      <c r="E168" s="133">
        <f t="shared" ref="E168:E179" si="24">D168-C168</f>
        <v>99</v>
      </c>
      <c r="F168" s="114">
        <f t="shared" ref="F168:F179" si="25">IF(C168=0,0,E168/C168)</f>
        <v>6.4077669902912618E-3</v>
      </c>
    </row>
    <row r="169" spans="1:6" x14ac:dyDescent="0.2">
      <c r="A169" s="115">
        <v>2</v>
      </c>
      <c r="B169" s="116" t="s">
        <v>114</v>
      </c>
      <c r="C169" s="133">
        <v>3591</v>
      </c>
      <c r="D169" s="133">
        <v>3815</v>
      </c>
      <c r="E169" s="133">
        <f t="shared" si="24"/>
        <v>224</v>
      </c>
      <c r="F169" s="114">
        <f t="shared" si="25"/>
        <v>6.2378167641325533E-2</v>
      </c>
    </row>
    <row r="170" spans="1:6" x14ac:dyDescent="0.2">
      <c r="A170" s="115">
        <v>3</v>
      </c>
      <c r="B170" s="116" t="s">
        <v>115</v>
      </c>
      <c r="C170" s="133">
        <v>20476</v>
      </c>
      <c r="D170" s="133">
        <v>21676</v>
      </c>
      <c r="E170" s="133">
        <f t="shared" si="24"/>
        <v>1200</v>
      </c>
      <c r="F170" s="114">
        <f t="shared" si="25"/>
        <v>5.8605196327407696E-2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642</v>
      </c>
      <c r="D172" s="133">
        <v>647</v>
      </c>
      <c r="E172" s="133">
        <f t="shared" si="24"/>
        <v>5</v>
      </c>
      <c r="F172" s="114">
        <f t="shared" si="25"/>
        <v>7.7881619937694704E-3</v>
      </c>
    </row>
    <row r="173" spans="1:6" x14ac:dyDescent="0.2">
      <c r="A173" s="115">
        <v>6</v>
      </c>
      <c r="B173" s="116" t="s">
        <v>118</v>
      </c>
      <c r="C173" s="133">
        <v>2568</v>
      </c>
      <c r="D173" s="133">
        <v>2328</v>
      </c>
      <c r="E173" s="133">
        <f t="shared" si="24"/>
        <v>-240</v>
      </c>
      <c r="F173" s="114">
        <f t="shared" si="25"/>
        <v>-9.3457943925233641E-2</v>
      </c>
    </row>
    <row r="174" spans="1:6" x14ac:dyDescent="0.2">
      <c r="A174" s="115">
        <v>7</v>
      </c>
      <c r="B174" s="116" t="s">
        <v>119</v>
      </c>
      <c r="C174" s="133">
        <v>31607</v>
      </c>
      <c r="D174" s="133">
        <v>30820</v>
      </c>
      <c r="E174" s="133">
        <f t="shared" si="24"/>
        <v>-787</v>
      </c>
      <c r="F174" s="114">
        <f t="shared" si="25"/>
        <v>-2.4899547568576583E-2</v>
      </c>
    </row>
    <row r="175" spans="1:6" x14ac:dyDescent="0.2">
      <c r="A175" s="115">
        <v>8</v>
      </c>
      <c r="B175" s="116" t="s">
        <v>120</v>
      </c>
      <c r="C175" s="133">
        <v>1967</v>
      </c>
      <c r="D175" s="133">
        <v>1895</v>
      </c>
      <c r="E175" s="133">
        <f t="shared" si="24"/>
        <v>-72</v>
      </c>
      <c r="F175" s="114">
        <f t="shared" si="25"/>
        <v>-3.6603965429588207E-2</v>
      </c>
    </row>
    <row r="176" spans="1:6" x14ac:dyDescent="0.2">
      <c r="A176" s="115">
        <v>9</v>
      </c>
      <c r="B176" s="116" t="s">
        <v>121</v>
      </c>
      <c r="C176" s="133">
        <v>4892</v>
      </c>
      <c r="D176" s="133">
        <v>3825</v>
      </c>
      <c r="E176" s="133">
        <f t="shared" si="24"/>
        <v>-1067</v>
      </c>
      <c r="F176" s="114">
        <f t="shared" si="25"/>
        <v>-0.21811120196238756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81193</v>
      </c>
      <c r="D179" s="134">
        <f>SUM(D168:D178)</f>
        <v>80555</v>
      </c>
      <c r="E179" s="134">
        <f t="shared" si="24"/>
        <v>-638</v>
      </c>
      <c r="F179" s="120">
        <f t="shared" si="25"/>
        <v>-7.8578202554407395E-3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FILING&amp;RMIDDLESEX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48997371</v>
      </c>
      <c r="D15" s="157">
        <v>45660781</v>
      </c>
      <c r="E15" s="157">
        <f>+D15-C15</f>
        <v>-3336590</v>
      </c>
      <c r="F15" s="161">
        <f>IF(C15=0,0,E15/C15)</f>
        <v>-6.8097327099447852E-2</v>
      </c>
    </row>
    <row r="16" spans="1:6" ht="15" customHeight="1" x14ac:dyDescent="0.2">
      <c r="A16" s="147">
        <v>2</v>
      </c>
      <c r="B16" s="160" t="s">
        <v>157</v>
      </c>
      <c r="C16" s="157">
        <v>27684896</v>
      </c>
      <c r="D16" s="157">
        <v>28083459</v>
      </c>
      <c r="E16" s="157">
        <f>+D16-C16</f>
        <v>398563</v>
      </c>
      <c r="F16" s="161">
        <f>IF(C16=0,0,E16/C16)</f>
        <v>1.4396405895835766E-2</v>
      </c>
    </row>
    <row r="17" spans="1:6" ht="15" customHeight="1" x14ac:dyDescent="0.2">
      <c r="A17" s="147">
        <v>3</v>
      </c>
      <c r="B17" s="160" t="s">
        <v>158</v>
      </c>
      <c r="C17" s="157">
        <v>87711038</v>
      </c>
      <c r="D17" s="157">
        <v>91101334</v>
      </c>
      <c r="E17" s="157">
        <f>+D17-C17</f>
        <v>3390296</v>
      </c>
      <c r="F17" s="161">
        <f>IF(C17=0,0,E17/C17)</f>
        <v>3.8653014230660455E-2</v>
      </c>
    </row>
    <row r="18" spans="1:6" ht="15.75" customHeight="1" x14ac:dyDescent="0.25">
      <c r="A18" s="147"/>
      <c r="B18" s="162" t="s">
        <v>159</v>
      </c>
      <c r="C18" s="158">
        <f>SUM(C15:C17)</f>
        <v>164393305</v>
      </c>
      <c r="D18" s="158">
        <f>SUM(D15:D17)</f>
        <v>164845574</v>
      </c>
      <c r="E18" s="158">
        <f>+D18-C18</f>
        <v>452269</v>
      </c>
      <c r="F18" s="159">
        <f>IF(C18=0,0,E18/C18)</f>
        <v>2.7511400175329525E-3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11061300</v>
      </c>
      <c r="D21" s="157">
        <v>10194297</v>
      </c>
      <c r="E21" s="157">
        <f>+D21-C21</f>
        <v>-867003</v>
      </c>
      <c r="F21" s="161">
        <f>IF(C21=0,0,E21/C21)</f>
        <v>-7.8381654959182007E-2</v>
      </c>
    </row>
    <row r="22" spans="1:6" ht="15" customHeight="1" x14ac:dyDescent="0.2">
      <c r="A22" s="147">
        <v>2</v>
      </c>
      <c r="B22" s="160" t="s">
        <v>162</v>
      </c>
      <c r="C22" s="157">
        <v>6249946</v>
      </c>
      <c r="D22" s="157">
        <v>6269956</v>
      </c>
      <c r="E22" s="157">
        <f>+D22-C22</f>
        <v>20010</v>
      </c>
      <c r="F22" s="161">
        <f>IF(C22=0,0,E22/C22)</f>
        <v>3.2016276620630002E-3</v>
      </c>
    </row>
    <row r="23" spans="1:6" ht="15" customHeight="1" x14ac:dyDescent="0.2">
      <c r="A23" s="147">
        <v>3</v>
      </c>
      <c r="B23" s="160" t="s">
        <v>163</v>
      </c>
      <c r="C23" s="157">
        <v>19801024</v>
      </c>
      <c r="D23" s="157">
        <v>20339427</v>
      </c>
      <c r="E23" s="157">
        <f>+D23-C23</f>
        <v>538403</v>
      </c>
      <c r="F23" s="161">
        <f>IF(C23=0,0,E23/C23)</f>
        <v>2.7190664482806545E-2</v>
      </c>
    </row>
    <row r="24" spans="1:6" ht="15.75" customHeight="1" x14ac:dyDescent="0.25">
      <c r="A24" s="147"/>
      <c r="B24" s="162" t="s">
        <v>164</v>
      </c>
      <c r="C24" s="158">
        <f>SUM(C21:C23)</f>
        <v>37112270</v>
      </c>
      <c r="D24" s="158">
        <f>SUM(D21:D23)</f>
        <v>36803680</v>
      </c>
      <c r="E24" s="158">
        <f>+D24-C24</f>
        <v>-308590</v>
      </c>
      <c r="F24" s="159">
        <f>IF(C24=0,0,E24/C24)</f>
        <v>-8.3150397429206033E-3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558510</v>
      </c>
      <c r="D27" s="157">
        <v>599453</v>
      </c>
      <c r="E27" s="157">
        <f>+D27-C27</f>
        <v>40943</v>
      </c>
      <c r="F27" s="161">
        <f>IF(C27=0,0,E27/C27)</f>
        <v>7.3307550446724323E-2</v>
      </c>
    </row>
    <row r="28" spans="1:6" ht="15" customHeight="1" x14ac:dyDescent="0.2">
      <c r="A28" s="147">
        <v>2</v>
      </c>
      <c r="B28" s="160" t="s">
        <v>167</v>
      </c>
      <c r="C28" s="157">
        <v>3449731</v>
      </c>
      <c r="D28" s="157">
        <v>3624974</v>
      </c>
      <c r="E28" s="157">
        <f>+D28-C28</f>
        <v>175243</v>
      </c>
      <c r="F28" s="161">
        <f>IF(C28=0,0,E28/C28)</f>
        <v>5.0799033315931011E-2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4008241</v>
      </c>
      <c r="D30" s="158">
        <f>SUM(D27:D29)</f>
        <v>4224427</v>
      </c>
      <c r="E30" s="158">
        <f>+D30-C30</f>
        <v>216186</v>
      </c>
      <c r="F30" s="159">
        <f>IF(C30=0,0,E30/C30)</f>
        <v>5.3935379634108827E-2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26475474</v>
      </c>
      <c r="D33" s="157">
        <v>26443627</v>
      </c>
      <c r="E33" s="157">
        <f>+D33-C33</f>
        <v>-31847</v>
      </c>
      <c r="F33" s="161">
        <f>IF(C33=0,0,E33/C33)</f>
        <v>-1.2028868680500301E-3</v>
      </c>
    </row>
    <row r="34" spans="1:6" ht="15" customHeight="1" x14ac:dyDescent="0.2">
      <c r="A34" s="147">
        <v>2</v>
      </c>
      <c r="B34" s="160" t="s">
        <v>173</v>
      </c>
      <c r="C34" s="157">
        <v>10479956</v>
      </c>
      <c r="D34" s="157">
        <v>9810330</v>
      </c>
      <c r="E34" s="157">
        <f>+D34-C34</f>
        <v>-669626</v>
      </c>
      <c r="F34" s="161">
        <f>IF(C34=0,0,E34/C34)</f>
        <v>-6.3895878952163546E-2</v>
      </c>
    </row>
    <row r="35" spans="1:6" ht="15.75" customHeight="1" x14ac:dyDescent="0.25">
      <c r="A35" s="147"/>
      <c r="B35" s="162" t="s">
        <v>174</v>
      </c>
      <c r="C35" s="158">
        <f>SUM(C33:C34)</f>
        <v>36955430</v>
      </c>
      <c r="D35" s="158">
        <f>SUM(D33:D34)</f>
        <v>36253957</v>
      </c>
      <c r="E35" s="158">
        <f>+D35-C35</f>
        <v>-701473</v>
      </c>
      <c r="F35" s="159">
        <f>IF(C35=0,0,E35/C35)</f>
        <v>-1.8981594856290401E-2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10446240</v>
      </c>
      <c r="D38" s="157">
        <v>10461349</v>
      </c>
      <c r="E38" s="157">
        <f>+D38-C38</f>
        <v>15109</v>
      </c>
      <c r="F38" s="161">
        <f>IF(C38=0,0,E38/C38)</f>
        <v>1.4463577325430012E-3</v>
      </c>
    </row>
    <row r="39" spans="1:6" ht="15" customHeight="1" x14ac:dyDescent="0.2">
      <c r="A39" s="147">
        <v>2</v>
      </c>
      <c r="B39" s="160" t="s">
        <v>178</v>
      </c>
      <c r="C39" s="157">
        <v>11698818</v>
      </c>
      <c r="D39" s="157">
        <v>11820262</v>
      </c>
      <c r="E39" s="157">
        <f>+D39-C39</f>
        <v>121444</v>
      </c>
      <c r="F39" s="161">
        <f>IF(C39=0,0,E39/C39)</f>
        <v>1.0380877794662674E-2</v>
      </c>
    </row>
    <row r="40" spans="1:6" ht="15" customHeight="1" x14ac:dyDescent="0.2">
      <c r="A40" s="147">
        <v>3</v>
      </c>
      <c r="B40" s="160" t="s">
        <v>179</v>
      </c>
      <c r="C40" s="157">
        <v>-17851</v>
      </c>
      <c r="D40" s="157">
        <v>27871</v>
      </c>
      <c r="E40" s="157">
        <f>+D40-C40</f>
        <v>45722</v>
      </c>
      <c r="F40" s="161">
        <f>IF(C40=0,0,E40/C40)</f>
        <v>-2.5613130917035458</v>
      </c>
    </row>
    <row r="41" spans="1:6" ht="15.75" customHeight="1" x14ac:dyDescent="0.25">
      <c r="A41" s="147"/>
      <c r="B41" s="162" t="s">
        <v>180</v>
      </c>
      <c r="C41" s="158">
        <f>SUM(C38:C40)</f>
        <v>22127207</v>
      </c>
      <c r="D41" s="158">
        <f>SUM(D38:D40)</f>
        <v>22309482</v>
      </c>
      <c r="E41" s="158">
        <f>+D41-C41</f>
        <v>182275</v>
      </c>
      <c r="F41" s="159">
        <f>IF(C41=0,0,E41/C41)</f>
        <v>8.2375963672233921E-3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3016511</v>
      </c>
      <c r="D47" s="157">
        <v>2896503</v>
      </c>
      <c r="E47" s="157">
        <f>+D47-C47</f>
        <v>-120008</v>
      </c>
      <c r="F47" s="161">
        <f>IF(C47=0,0,E47/C47)</f>
        <v>-3.9783710385939253E-2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4466100</v>
      </c>
      <c r="D50" s="157">
        <v>3379448</v>
      </c>
      <c r="E50" s="157">
        <f>+D50-C50</f>
        <v>-1086652</v>
      </c>
      <c r="F50" s="161">
        <f>IF(C50=0,0,E50/C50)</f>
        <v>-0.24331116634199862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378807</v>
      </c>
      <c r="D53" s="157">
        <v>378725</v>
      </c>
      <c r="E53" s="157">
        <f t="shared" ref="E53:E59" si="0">+D53-C53</f>
        <v>-82</v>
      </c>
      <c r="F53" s="161">
        <f t="shared" ref="F53:F59" si="1">IF(C53=0,0,E53/C53)</f>
        <v>-2.1646907264121306E-4</v>
      </c>
    </row>
    <row r="54" spans="1:6" ht="15" customHeight="1" x14ac:dyDescent="0.2">
      <c r="A54" s="147">
        <v>2</v>
      </c>
      <c r="B54" s="160" t="s">
        <v>189</v>
      </c>
      <c r="C54" s="157">
        <v>147013</v>
      </c>
      <c r="D54" s="157">
        <v>860074</v>
      </c>
      <c r="E54" s="157">
        <f t="shared" si="0"/>
        <v>713061</v>
      </c>
      <c r="F54" s="161">
        <f t="shared" si="1"/>
        <v>4.8503261616319646</v>
      </c>
    </row>
    <row r="55" spans="1:6" ht="15" customHeight="1" x14ac:dyDescent="0.2">
      <c r="A55" s="147">
        <v>3</v>
      </c>
      <c r="B55" s="160" t="s">
        <v>190</v>
      </c>
      <c r="C55" s="157">
        <v>935629</v>
      </c>
      <c r="D55" s="157">
        <v>100641</v>
      </c>
      <c r="E55" s="157">
        <f t="shared" si="0"/>
        <v>-834988</v>
      </c>
      <c r="F55" s="161">
        <f t="shared" si="1"/>
        <v>-0.89243492880190756</v>
      </c>
    </row>
    <row r="56" spans="1:6" ht="15" customHeight="1" x14ac:dyDescent="0.2">
      <c r="A56" s="147">
        <v>4</v>
      </c>
      <c r="B56" s="160" t="s">
        <v>191</v>
      </c>
      <c r="C56" s="157">
        <v>2752920</v>
      </c>
      <c r="D56" s="157">
        <v>2707487</v>
      </c>
      <c r="E56" s="157">
        <f t="shared" si="0"/>
        <v>-45433</v>
      </c>
      <c r="F56" s="161">
        <f t="shared" si="1"/>
        <v>-1.6503567121456491E-2</v>
      </c>
    </row>
    <row r="57" spans="1:6" ht="15" customHeight="1" x14ac:dyDescent="0.2">
      <c r="A57" s="147">
        <v>5</v>
      </c>
      <c r="B57" s="160" t="s">
        <v>192</v>
      </c>
      <c r="C57" s="157">
        <v>1415880</v>
      </c>
      <c r="D57" s="157">
        <v>1532992</v>
      </c>
      <c r="E57" s="157">
        <f t="shared" si="0"/>
        <v>117112</v>
      </c>
      <c r="F57" s="161">
        <f t="shared" si="1"/>
        <v>8.271322428454389E-2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5630249</v>
      </c>
      <c r="D59" s="158">
        <f>SUM(D53:D58)</f>
        <v>5579919</v>
      </c>
      <c r="E59" s="158">
        <f t="shared" si="0"/>
        <v>-50330</v>
      </c>
      <c r="F59" s="159">
        <f t="shared" si="1"/>
        <v>-8.9392138784625697E-3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194525</v>
      </c>
      <c r="D62" s="157">
        <v>219741</v>
      </c>
      <c r="E62" s="157">
        <f t="shared" ref="E62:E90" si="2">+D62-C62</f>
        <v>25216</v>
      </c>
      <c r="F62" s="161">
        <f t="shared" ref="F62:F90" si="3">IF(C62=0,0,E62/C62)</f>
        <v>0.12962858244441589</v>
      </c>
    </row>
    <row r="63" spans="1:6" ht="15" customHeight="1" x14ac:dyDescent="0.2">
      <c r="A63" s="147">
        <v>2</v>
      </c>
      <c r="B63" s="160" t="s">
        <v>198</v>
      </c>
      <c r="C63" s="157">
        <v>447095</v>
      </c>
      <c r="D63" s="157">
        <v>689601</v>
      </c>
      <c r="E63" s="157">
        <f t="shared" si="2"/>
        <v>242506</v>
      </c>
      <c r="F63" s="161">
        <f t="shared" si="3"/>
        <v>0.54240373969737976</v>
      </c>
    </row>
    <row r="64" spans="1:6" ht="15" customHeight="1" x14ac:dyDescent="0.2">
      <c r="A64" s="147">
        <v>3</v>
      </c>
      <c r="B64" s="160" t="s">
        <v>199</v>
      </c>
      <c r="C64" s="157">
        <v>6339117</v>
      </c>
      <c r="D64" s="157">
        <v>3597979</v>
      </c>
      <c r="E64" s="157">
        <f t="shared" si="2"/>
        <v>-2741138</v>
      </c>
      <c r="F64" s="161">
        <f t="shared" si="3"/>
        <v>-0.43241637597160615</v>
      </c>
    </row>
    <row r="65" spans="1:6" ht="15" customHeight="1" x14ac:dyDescent="0.2">
      <c r="A65" s="147">
        <v>4</v>
      </c>
      <c r="B65" s="160" t="s">
        <v>200</v>
      </c>
      <c r="C65" s="157">
        <v>689899</v>
      </c>
      <c r="D65" s="157">
        <v>769384</v>
      </c>
      <c r="E65" s="157">
        <f t="shared" si="2"/>
        <v>79485</v>
      </c>
      <c r="F65" s="161">
        <f t="shared" si="3"/>
        <v>0.11521251661475085</v>
      </c>
    </row>
    <row r="66" spans="1:6" ht="15" customHeight="1" x14ac:dyDescent="0.2">
      <c r="A66" s="147">
        <v>5</v>
      </c>
      <c r="B66" s="160" t="s">
        <v>201</v>
      </c>
      <c r="C66" s="157">
        <v>2274371</v>
      </c>
      <c r="D66" s="157">
        <v>1971166</v>
      </c>
      <c r="E66" s="157">
        <f t="shared" si="2"/>
        <v>-303205</v>
      </c>
      <c r="F66" s="161">
        <f t="shared" si="3"/>
        <v>-0.13331378214020492</v>
      </c>
    </row>
    <row r="67" spans="1:6" ht="15" customHeight="1" x14ac:dyDescent="0.2">
      <c r="A67" s="147">
        <v>6</v>
      </c>
      <c r="B67" s="160" t="s">
        <v>202</v>
      </c>
      <c r="C67" s="157">
        <v>3702608</v>
      </c>
      <c r="D67" s="157">
        <v>3931224</v>
      </c>
      <c r="E67" s="157">
        <f t="shared" si="2"/>
        <v>228616</v>
      </c>
      <c r="F67" s="161">
        <f t="shared" si="3"/>
        <v>6.1744586518475628E-2</v>
      </c>
    </row>
    <row r="68" spans="1:6" ht="15" customHeight="1" x14ac:dyDescent="0.2">
      <c r="A68" s="147">
        <v>7</v>
      </c>
      <c r="B68" s="160" t="s">
        <v>203</v>
      </c>
      <c r="C68" s="157">
        <v>2345532</v>
      </c>
      <c r="D68" s="157">
        <v>1739842</v>
      </c>
      <c r="E68" s="157">
        <f t="shared" si="2"/>
        <v>-605690</v>
      </c>
      <c r="F68" s="161">
        <f t="shared" si="3"/>
        <v>-0.25823139483920921</v>
      </c>
    </row>
    <row r="69" spans="1:6" ht="15" customHeight="1" x14ac:dyDescent="0.2">
      <c r="A69" s="147">
        <v>8</v>
      </c>
      <c r="B69" s="160" t="s">
        <v>204</v>
      </c>
      <c r="C69" s="157">
        <v>542992</v>
      </c>
      <c r="D69" s="157">
        <v>557123</v>
      </c>
      <c r="E69" s="157">
        <f t="shared" si="2"/>
        <v>14131</v>
      </c>
      <c r="F69" s="161">
        <f t="shared" si="3"/>
        <v>2.6024324483601969E-2</v>
      </c>
    </row>
    <row r="70" spans="1:6" ht="15" customHeight="1" x14ac:dyDescent="0.2">
      <c r="A70" s="147">
        <v>9</v>
      </c>
      <c r="B70" s="160" t="s">
        <v>205</v>
      </c>
      <c r="C70" s="157">
        <v>1084051</v>
      </c>
      <c r="D70" s="157">
        <v>1320681</v>
      </c>
      <c r="E70" s="157">
        <f t="shared" si="2"/>
        <v>236630</v>
      </c>
      <c r="F70" s="161">
        <f t="shared" si="3"/>
        <v>0.2182830881572915</v>
      </c>
    </row>
    <row r="71" spans="1:6" ht="15" customHeight="1" x14ac:dyDescent="0.2">
      <c r="A71" s="147">
        <v>10</v>
      </c>
      <c r="B71" s="160" t="s">
        <v>206</v>
      </c>
      <c r="C71" s="157">
        <v>103070</v>
      </c>
      <c r="D71" s="157">
        <v>97707</v>
      </c>
      <c r="E71" s="157">
        <f t="shared" si="2"/>
        <v>-5363</v>
      </c>
      <c r="F71" s="161">
        <f t="shared" si="3"/>
        <v>-5.2032599204424178E-2</v>
      </c>
    </row>
    <row r="72" spans="1:6" ht="15" customHeight="1" x14ac:dyDescent="0.2">
      <c r="A72" s="147">
        <v>11</v>
      </c>
      <c r="B72" s="160" t="s">
        <v>207</v>
      </c>
      <c r="C72" s="157">
        <v>152532</v>
      </c>
      <c r="D72" s="157">
        <v>108499</v>
      </c>
      <c r="E72" s="157">
        <f t="shared" si="2"/>
        <v>-44033</v>
      </c>
      <c r="F72" s="161">
        <f t="shared" si="3"/>
        <v>-0.28868040804552486</v>
      </c>
    </row>
    <row r="73" spans="1:6" ht="15" customHeight="1" x14ac:dyDescent="0.2">
      <c r="A73" s="147">
        <v>12</v>
      </c>
      <c r="B73" s="160" t="s">
        <v>208</v>
      </c>
      <c r="C73" s="157">
        <v>1886005</v>
      </c>
      <c r="D73" s="157">
        <v>1678733</v>
      </c>
      <c r="E73" s="157">
        <f t="shared" si="2"/>
        <v>-207272</v>
      </c>
      <c r="F73" s="161">
        <f t="shared" si="3"/>
        <v>-0.10990002677617504</v>
      </c>
    </row>
    <row r="74" spans="1:6" ht="15" customHeight="1" x14ac:dyDescent="0.2">
      <c r="A74" s="147">
        <v>13</v>
      </c>
      <c r="B74" s="160" t="s">
        <v>209</v>
      </c>
      <c r="C74" s="157">
        <v>364398</v>
      </c>
      <c r="D74" s="157">
        <v>538669</v>
      </c>
      <c r="E74" s="157">
        <f t="shared" si="2"/>
        <v>174271</v>
      </c>
      <c r="F74" s="161">
        <f t="shared" si="3"/>
        <v>0.47824356884505403</v>
      </c>
    </row>
    <row r="75" spans="1:6" ht="15" customHeight="1" x14ac:dyDescent="0.2">
      <c r="A75" s="147">
        <v>14</v>
      </c>
      <c r="B75" s="160" t="s">
        <v>210</v>
      </c>
      <c r="C75" s="157">
        <v>304049</v>
      </c>
      <c r="D75" s="157">
        <v>248412</v>
      </c>
      <c r="E75" s="157">
        <f t="shared" si="2"/>
        <v>-55637</v>
      </c>
      <c r="F75" s="161">
        <f t="shared" si="3"/>
        <v>-0.18298695276090368</v>
      </c>
    </row>
    <row r="76" spans="1:6" ht="15" customHeight="1" x14ac:dyDescent="0.2">
      <c r="A76" s="147">
        <v>15</v>
      </c>
      <c r="B76" s="160" t="s">
        <v>211</v>
      </c>
      <c r="C76" s="157">
        <v>385474</v>
      </c>
      <c r="D76" s="157">
        <v>311953</v>
      </c>
      <c r="E76" s="157">
        <f t="shared" si="2"/>
        <v>-73521</v>
      </c>
      <c r="F76" s="161">
        <f t="shared" si="3"/>
        <v>-0.19072881698895386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3304553</v>
      </c>
      <c r="D78" s="157">
        <v>4104775</v>
      </c>
      <c r="E78" s="157">
        <f t="shared" si="2"/>
        <v>800222</v>
      </c>
      <c r="F78" s="161">
        <f t="shared" si="3"/>
        <v>0.24215741130494806</v>
      </c>
    </row>
    <row r="79" spans="1:6" ht="15" customHeight="1" x14ac:dyDescent="0.2">
      <c r="A79" s="147">
        <v>18</v>
      </c>
      <c r="B79" s="160" t="s">
        <v>214</v>
      </c>
      <c r="C79" s="157">
        <v>384089</v>
      </c>
      <c r="D79" s="157">
        <v>341331</v>
      </c>
      <c r="E79" s="157">
        <f t="shared" si="2"/>
        <v>-42758</v>
      </c>
      <c r="F79" s="161">
        <f t="shared" si="3"/>
        <v>-0.11132315687249569</v>
      </c>
    </row>
    <row r="80" spans="1:6" ht="15" customHeight="1" x14ac:dyDescent="0.2">
      <c r="A80" s="147">
        <v>19</v>
      </c>
      <c r="B80" s="160" t="s">
        <v>215</v>
      </c>
      <c r="C80" s="157">
        <v>2127138</v>
      </c>
      <c r="D80" s="157">
        <v>1620267</v>
      </c>
      <c r="E80" s="157">
        <f t="shared" si="2"/>
        <v>-506871</v>
      </c>
      <c r="F80" s="161">
        <f t="shared" si="3"/>
        <v>-0.23828778386733723</v>
      </c>
    </row>
    <row r="81" spans="1:6" ht="15" customHeight="1" x14ac:dyDescent="0.2">
      <c r="A81" s="147">
        <v>20</v>
      </c>
      <c r="B81" s="160" t="s">
        <v>216</v>
      </c>
      <c r="C81" s="157">
        <v>2706483</v>
      </c>
      <c r="D81" s="157">
        <v>2987587</v>
      </c>
      <c r="E81" s="157">
        <f t="shared" si="2"/>
        <v>281104</v>
      </c>
      <c r="F81" s="161">
        <f t="shared" si="3"/>
        <v>0.10386320549584091</v>
      </c>
    </row>
    <row r="82" spans="1:6" ht="15" customHeight="1" x14ac:dyDescent="0.2">
      <c r="A82" s="147">
        <v>21</v>
      </c>
      <c r="B82" s="160" t="s">
        <v>217</v>
      </c>
      <c r="C82" s="157">
        <v>429731</v>
      </c>
      <c r="D82" s="157">
        <v>562352</v>
      </c>
      <c r="E82" s="157">
        <f t="shared" si="2"/>
        <v>132621</v>
      </c>
      <c r="F82" s="161">
        <f t="shared" si="3"/>
        <v>0.3086139934051767</v>
      </c>
    </row>
    <row r="83" spans="1:6" ht="15" customHeight="1" x14ac:dyDescent="0.2">
      <c r="A83" s="147">
        <v>22</v>
      </c>
      <c r="B83" s="160" t="s">
        <v>218</v>
      </c>
      <c r="C83" s="157">
        <v>991354</v>
      </c>
      <c r="D83" s="157">
        <v>1017654</v>
      </c>
      <c r="E83" s="157">
        <f t="shared" si="2"/>
        <v>26300</v>
      </c>
      <c r="F83" s="161">
        <f t="shared" si="3"/>
        <v>2.6529372958600056E-2</v>
      </c>
    </row>
    <row r="84" spans="1:6" ht="15" customHeight="1" x14ac:dyDescent="0.2">
      <c r="A84" s="147">
        <v>23</v>
      </c>
      <c r="B84" s="160" t="s">
        <v>219</v>
      </c>
      <c r="C84" s="157">
        <v>518898</v>
      </c>
      <c r="D84" s="157">
        <v>496371</v>
      </c>
      <c r="E84" s="157">
        <f t="shared" si="2"/>
        <v>-22527</v>
      </c>
      <c r="F84" s="161">
        <f t="shared" si="3"/>
        <v>-4.3413156342865071E-2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376055</v>
      </c>
      <c r="D86" s="157">
        <v>385609</v>
      </c>
      <c r="E86" s="157">
        <f t="shared" si="2"/>
        <v>9554</v>
      </c>
      <c r="F86" s="161">
        <f t="shared" si="3"/>
        <v>2.5405858185637738E-2</v>
      </c>
    </row>
    <row r="87" spans="1:6" ht="15" customHeight="1" x14ac:dyDescent="0.2">
      <c r="A87" s="147">
        <v>26</v>
      </c>
      <c r="B87" s="160" t="s">
        <v>222</v>
      </c>
      <c r="C87" s="157">
        <v>2839373</v>
      </c>
      <c r="D87" s="157">
        <v>4605290</v>
      </c>
      <c r="E87" s="157">
        <f t="shared" si="2"/>
        <v>1765917</v>
      </c>
      <c r="F87" s="161">
        <f t="shared" si="3"/>
        <v>0.62193906894233342</v>
      </c>
    </row>
    <row r="88" spans="1:6" ht="15" customHeight="1" x14ac:dyDescent="0.2">
      <c r="A88" s="147">
        <v>27</v>
      </c>
      <c r="B88" s="160" t="s">
        <v>223</v>
      </c>
      <c r="C88" s="157">
        <v>19478329</v>
      </c>
      <c r="D88" s="157">
        <v>20097240</v>
      </c>
      <c r="E88" s="157">
        <f t="shared" si="2"/>
        <v>618911</v>
      </c>
      <c r="F88" s="161">
        <f t="shared" si="3"/>
        <v>3.1774337521457821E-2</v>
      </c>
    </row>
    <row r="89" spans="1:6" ht="15" customHeight="1" x14ac:dyDescent="0.2">
      <c r="A89" s="147">
        <v>28</v>
      </c>
      <c r="B89" s="160" t="s">
        <v>224</v>
      </c>
      <c r="C89" s="157">
        <v>10598004</v>
      </c>
      <c r="D89" s="157">
        <v>15568434</v>
      </c>
      <c r="E89" s="157">
        <f t="shared" si="2"/>
        <v>4970430</v>
      </c>
      <c r="F89" s="161">
        <f t="shared" si="3"/>
        <v>0.46899680354904566</v>
      </c>
    </row>
    <row r="90" spans="1:6" ht="15.75" customHeight="1" x14ac:dyDescent="0.25">
      <c r="A90" s="147"/>
      <c r="B90" s="162" t="s">
        <v>225</v>
      </c>
      <c r="C90" s="158">
        <f>SUM(C62:C89)</f>
        <v>64569725</v>
      </c>
      <c r="D90" s="158">
        <f>SUM(D62:D89)</f>
        <v>69567624</v>
      </c>
      <c r="E90" s="158">
        <f t="shared" si="2"/>
        <v>4997899</v>
      </c>
      <c r="F90" s="159">
        <f t="shared" si="3"/>
        <v>7.7403132814953132E-2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342279038</v>
      </c>
      <c r="D95" s="158">
        <f>+D93+D90+D59+D50+D47+D44+D41+D35+D30+D24+D18</f>
        <v>345860614</v>
      </c>
      <c r="E95" s="158">
        <f>+D95-C95</f>
        <v>3581576</v>
      </c>
      <c r="F95" s="159">
        <f>IF(C95=0,0,E95/C95)</f>
        <v>1.0463906936655583E-2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43058154</v>
      </c>
      <c r="D103" s="157">
        <v>44572906</v>
      </c>
      <c r="E103" s="157">
        <f t="shared" ref="E103:E121" si="4">D103-C103</f>
        <v>1514752</v>
      </c>
      <c r="F103" s="161">
        <f t="shared" ref="F103:F121" si="5">IF(C103=0,0,E103/C103)</f>
        <v>3.5179213674603887E-2</v>
      </c>
    </row>
    <row r="104" spans="1:6" ht="15" customHeight="1" x14ac:dyDescent="0.2">
      <c r="A104" s="147">
        <v>2</v>
      </c>
      <c r="B104" s="169" t="s">
        <v>234</v>
      </c>
      <c r="C104" s="157">
        <v>1220835</v>
      </c>
      <c r="D104" s="157">
        <v>1412470</v>
      </c>
      <c r="E104" s="157">
        <f t="shared" si="4"/>
        <v>191635</v>
      </c>
      <c r="F104" s="161">
        <f t="shared" si="5"/>
        <v>0.15697043417005574</v>
      </c>
    </row>
    <row r="105" spans="1:6" ht="15" customHeight="1" x14ac:dyDescent="0.2">
      <c r="A105" s="147">
        <v>3</v>
      </c>
      <c r="B105" s="169" t="s">
        <v>235</v>
      </c>
      <c r="C105" s="157">
        <v>5011446</v>
      </c>
      <c r="D105" s="157">
        <v>5161107</v>
      </c>
      <c r="E105" s="157">
        <f t="shared" si="4"/>
        <v>149661</v>
      </c>
      <c r="F105" s="161">
        <f t="shared" si="5"/>
        <v>2.9863835707298853E-2</v>
      </c>
    </row>
    <row r="106" spans="1:6" ht="15" customHeight="1" x14ac:dyDescent="0.2">
      <c r="A106" s="147">
        <v>4</v>
      </c>
      <c r="B106" s="169" t="s">
        <v>236</v>
      </c>
      <c r="C106" s="157">
        <v>2787997</v>
      </c>
      <c r="D106" s="157">
        <v>2786686</v>
      </c>
      <c r="E106" s="157">
        <f t="shared" si="4"/>
        <v>-1311</v>
      </c>
      <c r="F106" s="161">
        <f t="shared" si="5"/>
        <v>-4.7023006122316486E-4</v>
      </c>
    </row>
    <row r="107" spans="1:6" ht="15" customHeight="1" x14ac:dyDescent="0.2">
      <c r="A107" s="147">
        <v>5</v>
      </c>
      <c r="B107" s="169" t="s">
        <v>237</v>
      </c>
      <c r="C107" s="157">
        <v>14928867</v>
      </c>
      <c r="D107" s="157">
        <v>15538303</v>
      </c>
      <c r="E107" s="157">
        <f t="shared" si="4"/>
        <v>609436</v>
      </c>
      <c r="F107" s="161">
        <f t="shared" si="5"/>
        <v>4.0822655865311148E-2</v>
      </c>
    </row>
    <row r="108" spans="1:6" ht="15" customHeight="1" x14ac:dyDescent="0.2">
      <c r="A108" s="147">
        <v>6</v>
      </c>
      <c r="B108" s="169" t="s">
        <v>238</v>
      </c>
      <c r="C108" s="157">
        <v>1793171</v>
      </c>
      <c r="D108" s="157">
        <v>1951817</v>
      </c>
      <c r="E108" s="157">
        <f t="shared" si="4"/>
        <v>158646</v>
      </c>
      <c r="F108" s="161">
        <f t="shared" si="5"/>
        <v>8.8472320821605971E-2</v>
      </c>
    </row>
    <row r="109" spans="1:6" ht="15" customHeight="1" x14ac:dyDescent="0.2">
      <c r="A109" s="147">
        <v>7</v>
      </c>
      <c r="B109" s="169" t="s">
        <v>239</v>
      </c>
      <c r="C109" s="157">
        <v>39357398</v>
      </c>
      <c r="D109" s="157">
        <v>39362893</v>
      </c>
      <c r="E109" s="157">
        <f t="shared" si="4"/>
        <v>5495</v>
      </c>
      <c r="F109" s="161">
        <f t="shared" si="5"/>
        <v>1.3961796966354331E-4</v>
      </c>
    </row>
    <row r="110" spans="1:6" ht="15" customHeight="1" x14ac:dyDescent="0.2">
      <c r="A110" s="147">
        <v>8</v>
      </c>
      <c r="B110" s="169" t="s">
        <v>240</v>
      </c>
      <c r="C110" s="157">
        <v>3130077</v>
      </c>
      <c r="D110" s="157">
        <v>4099858</v>
      </c>
      <c r="E110" s="157">
        <f t="shared" si="4"/>
        <v>969781</v>
      </c>
      <c r="F110" s="161">
        <f t="shared" si="5"/>
        <v>0.3098265633720832</v>
      </c>
    </row>
    <row r="111" spans="1:6" ht="15" customHeight="1" x14ac:dyDescent="0.2">
      <c r="A111" s="147">
        <v>9</v>
      </c>
      <c r="B111" s="169" t="s">
        <v>241</v>
      </c>
      <c r="C111" s="157">
        <v>1833867</v>
      </c>
      <c r="D111" s="157">
        <v>1649890</v>
      </c>
      <c r="E111" s="157">
        <f t="shared" si="4"/>
        <v>-183977</v>
      </c>
      <c r="F111" s="161">
        <f t="shared" si="5"/>
        <v>-0.1003218881194765</v>
      </c>
    </row>
    <row r="112" spans="1:6" ht="15" customHeight="1" x14ac:dyDescent="0.2">
      <c r="A112" s="147">
        <v>10</v>
      </c>
      <c r="B112" s="169" t="s">
        <v>242</v>
      </c>
      <c r="C112" s="157">
        <v>4005921</v>
      </c>
      <c r="D112" s="157">
        <v>4107082</v>
      </c>
      <c r="E112" s="157">
        <f t="shared" si="4"/>
        <v>101161</v>
      </c>
      <c r="F112" s="161">
        <f t="shared" si="5"/>
        <v>2.5252869440011424E-2</v>
      </c>
    </row>
    <row r="113" spans="1:6" ht="15" customHeight="1" x14ac:dyDescent="0.2">
      <c r="A113" s="147">
        <v>11</v>
      </c>
      <c r="B113" s="169" t="s">
        <v>243</v>
      </c>
      <c r="C113" s="157">
        <v>2976719</v>
      </c>
      <c r="D113" s="157">
        <v>2995638</v>
      </c>
      <c r="E113" s="157">
        <f t="shared" si="4"/>
        <v>18919</v>
      </c>
      <c r="F113" s="161">
        <f t="shared" si="5"/>
        <v>6.3556553373025808E-3</v>
      </c>
    </row>
    <row r="114" spans="1:6" ht="15" customHeight="1" x14ac:dyDescent="0.2">
      <c r="A114" s="147">
        <v>12</v>
      </c>
      <c r="B114" s="169" t="s">
        <v>244</v>
      </c>
      <c r="C114" s="157">
        <v>861012</v>
      </c>
      <c r="D114" s="157">
        <v>140098</v>
      </c>
      <c r="E114" s="157">
        <f t="shared" si="4"/>
        <v>-720914</v>
      </c>
      <c r="F114" s="161">
        <f t="shared" si="5"/>
        <v>-0.8372868206250319</v>
      </c>
    </row>
    <row r="115" spans="1:6" ht="15" customHeight="1" x14ac:dyDescent="0.2">
      <c r="A115" s="147">
        <v>13</v>
      </c>
      <c r="B115" s="169" t="s">
        <v>245</v>
      </c>
      <c r="C115" s="157">
        <v>14166045</v>
      </c>
      <c r="D115" s="157">
        <v>14025518</v>
      </c>
      <c r="E115" s="157">
        <f t="shared" si="4"/>
        <v>-140527</v>
      </c>
      <c r="F115" s="161">
        <f t="shared" si="5"/>
        <v>-9.9199882536021872E-3</v>
      </c>
    </row>
    <row r="116" spans="1:6" ht="15" customHeight="1" x14ac:dyDescent="0.2">
      <c r="A116" s="147">
        <v>14</v>
      </c>
      <c r="B116" s="169" t="s">
        <v>246</v>
      </c>
      <c r="C116" s="157">
        <v>2037934</v>
      </c>
      <c r="D116" s="157">
        <v>2263796</v>
      </c>
      <c r="E116" s="157">
        <f t="shared" si="4"/>
        <v>225862</v>
      </c>
      <c r="F116" s="161">
        <f t="shared" si="5"/>
        <v>0.11082890810006604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3453645</v>
      </c>
      <c r="D118" s="157">
        <v>3327667</v>
      </c>
      <c r="E118" s="157">
        <f t="shared" si="4"/>
        <v>-125978</v>
      </c>
      <c r="F118" s="161">
        <f t="shared" si="5"/>
        <v>-3.6476823761562062E-2</v>
      </c>
    </row>
    <row r="119" spans="1:6" ht="15" customHeight="1" x14ac:dyDescent="0.2">
      <c r="A119" s="147">
        <v>17</v>
      </c>
      <c r="B119" s="169" t="s">
        <v>248</v>
      </c>
      <c r="C119" s="157">
        <v>13684140</v>
      </c>
      <c r="D119" s="157">
        <v>12595208</v>
      </c>
      <c r="E119" s="157">
        <f t="shared" si="4"/>
        <v>-1088932</v>
      </c>
      <c r="F119" s="161">
        <f t="shared" si="5"/>
        <v>-7.9576210123544489E-2</v>
      </c>
    </row>
    <row r="120" spans="1:6" ht="15" customHeight="1" x14ac:dyDescent="0.2">
      <c r="A120" s="147">
        <v>18</v>
      </c>
      <c r="B120" s="169" t="s">
        <v>249</v>
      </c>
      <c r="C120" s="157">
        <v>825329</v>
      </c>
      <c r="D120" s="157">
        <v>810403</v>
      </c>
      <c r="E120" s="157">
        <f t="shared" si="4"/>
        <v>-14926</v>
      </c>
      <c r="F120" s="161">
        <f t="shared" si="5"/>
        <v>-1.8084909169555415E-2</v>
      </c>
    </row>
    <row r="121" spans="1:6" ht="15.75" customHeight="1" x14ac:dyDescent="0.25">
      <c r="A121" s="147"/>
      <c r="B121" s="165" t="s">
        <v>250</v>
      </c>
      <c r="C121" s="158">
        <f>SUM(C103:C120)</f>
        <v>155132557</v>
      </c>
      <c r="D121" s="158">
        <f>SUM(D103:D120)</f>
        <v>156801340</v>
      </c>
      <c r="E121" s="158">
        <f t="shared" si="4"/>
        <v>1668783</v>
      </c>
      <c r="F121" s="159">
        <f t="shared" si="5"/>
        <v>1.0757142357938444E-2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4605155</v>
      </c>
      <c r="D124" s="157">
        <v>4963039</v>
      </c>
      <c r="E124" s="157">
        <f t="shared" ref="E124:E130" si="6">D124-C124</f>
        <v>357884</v>
      </c>
      <c r="F124" s="161">
        <f t="shared" ref="F124:F130" si="7">IF(C124=0,0,E124/C124)</f>
        <v>7.7713779449334497E-2</v>
      </c>
    </row>
    <row r="125" spans="1:6" ht="15" customHeight="1" x14ac:dyDescent="0.2">
      <c r="A125" s="147">
        <v>2</v>
      </c>
      <c r="B125" s="169" t="s">
        <v>253</v>
      </c>
      <c r="C125" s="157">
        <v>4267389</v>
      </c>
      <c r="D125" s="157">
        <v>5132542</v>
      </c>
      <c r="E125" s="157">
        <f t="shared" si="6"/>
        <v>865153</v>
      </c>
      <c r="F125" s="161">
        <f t="shared" si="7"/>
        <v>0.20273591181867881</v>
      </c>
    </row>
    <row r="126" spans="1:6" ht="15" customHeight="1" x14ac:dyDescent="0.2">
      <c r="A126" s="147">
        <v>3</v>
      </c>
      <c r="B126" s="169" t="s">
        <v>254</v>
      </c>
      <c r="C126" s="157">
        <v>2988126</v>
      </c>
      <c r="D126" s="157">
        <v>3004397</v>
      </c>
      <c r="E126" s="157">
        <f t="shared" si="6"/>
        <v>16271</v>
      </c>
      <c r="F126" s="161">
        <f t="shared" si="7"/>
        <v>5.4452188428466535E-3</v>
      </c>
    </row>
    <row r="127" spans="1:6" ht="15" customHeight="1" x14ac:dyDescent="0.2">
      <c r="A127" s="147">
        <v>4</v>
      </c>
      <c r="B127" s="169" t="s">
        <v>255</v>
      </c>
      <c r="C127" s="157">
        <v>4225236</v>
      </c>
      <c r="D127" s="157">
        <v>4566398</v>
      </c>
      <c r="E127" s="157">
        <f t="shared" si="6"/>
        <v>341162</v>
      </c>
      <c r="F127" s="161">
        <f t="shared" si="7"/>
        <v>8.0743892175490314E-2</v>
      </c>
    </row>
    <row r="128" spans="1:6" ht="15" customHeight="1" x14ac:dyDescent="0.2">
      <c r="A128" s="147">
        <v>5</v>
      </c>
      <c r="B128" s="169" t="s">
        <v>256</v>
      </c>
      <c r="C128" s="157">
        <v>380546</v>
      </c>
      <c r="D128" s="157">
        <v>449423</v>
      </c>
      <c r="E128" s="157">
        <f t="shared" si="6"/>
        <v>68877</v>
      </c>
      <c r="F128" s="161">
        <f t="shared" si="7"/>
        <v>0.18099520163134022</v>
      </c>
    </row>
    <row r="129" spans="1:6" ht="15" customHeight="1" x14ac:dyDescent="0.2">
      <c r="A129" s="147">
        <v>6</v>
      </c>
      <c r="B129" s="169" t="s">
        <v>257</v>
      </c>
      <c r="C129" s="157">
        <v>534572</v>
      </c>
      <c r="D129" s="157">
        <v>416372</v>
      </c>
      <c r="E129" s="157">
        <f t="shared" si="6"/>
        <v>-118200</v>
      </c>
      <c r="F129" s="161">
        <f t="shared" si="7"/>
        <v>-0.22111146861414366</v>
      </c>
    </row>
    <row r="130" spans="1:6" ht="15.75" customHeight="1" x14ac:dyDescent="0.25">
      <c r="A130" s="147"/>
      <c r="B130" s="165" t="s">
        <v>258</v>
      </c>
      <c r="C130" s="158">
        <f>SUM(C124:C129)</f>
        <v>17001024</v>
      </c>
      <c r="D130" s="158">
        <f>SUM(D124:D129)</f>
        <v>18532171</v>
      </c>
      <c r="E130" s="158">
        <f t="shared" si="6"/>
        <v>1531147</v>
      </c>
      <c r="F130" s="159">
        <f t="shared" si="7"/>
        <v>9.0062045674425259E-2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21724027</v>
      </c>
      <c r="D133" s="157">
        <v>20956594</v>
      </c>
      <c r="E133" s="157">
        <f t="shared" ref="E133:E167" si="8">D133-C133</f>
        <v>-767433</v>
      </c>
      <c r="F133" s="161">
        <f t="shared" ref="F133:F167" si="9">IF(C133=0,0,E133/C133)</f>
        <v>-3.5326461341628784E-2</v>
      </c>
    </row>
    <row r="134" spans="1:6" ht="15" customHeight="1" x14ac:dyDescent="0.2">
      <c r="A134" s="147">
        <v>2</v>
      </c>
      <c r="B134" s="169" t="s">
        <v>261</v>
      </c>
      <c r="C134" s="157">
        <v>2280084</v>
      </c>
      <c r="D134" s="157">
        <v>2017381</v>
      </c>
      <c r="E134" s="157">
        <f t="shared" si="8"/>
        <v>-262703</v>
      </c>
      <c r="F134" s="161">
        <f t="shared" si="9"/>
        <v>-0.11521636922148482</v>
      </c>
    </row>
    <row r="135" spans="1:6" ht="15" customHeight="1" x14ac:dyDescent="0.2">
      <c r="A135" s="147">
        <v>3</v>
      </c>
      <c r="B135" s="169" t="s">
        <v>262</v>
      </c>
      <c r="C135" s="157">
        <v>1180363</v>
      </c>
      <c r="D135" s="157">
        <v>1108441</v>
      </c>
      <c r="E135" s="157">
        <f t="shared" si="8"/>
        <v>-71922</v>
      </c>
      <c r="F135" s="161">
        <f t="shared" si="9"/>
        <v>-6.0932103090320523E-2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9380821</v>
      </c>
      <c r="D137" s="157">
        <v>9262603</v>
      </c>
      <c r="E137" s="157">
        <f t="shared" si="8"/>
        <v>-118218</v>
      </c>
      <c r="F137" s="161">
        <f t="shared" si="9"/>
        <v>-1.2602095275029765E-2</v>
      </c>
    </row>
    <row r="138" spans="1:6" ht="15" customHeight="1" x14ac:dyDescent="0.2">
      <c r="A138" s="147">
        <v>6</v>
      </c>
      <c r="B138" s="169" t="s">
        <v>265</v>
      </c>
      <c r="C138" s="157">
        <v>1716704</v>
      </c>
      <c r="D138" s="157">
        <v>1831579</v>
      </c>
      <c r="E138" s="157">
        <f t="shared" si="8"/>
        <v>114875</v>
      </c>
      <c r="F138" s="161">
        <f t="shared" si="9"/>
        <v>6.6916020467127704E-2</v>
      </c>
    </row>
    <row r="139" spans="1:6" ht="15" customHeight="1" x14ac:dyDescent="0.2">
      <c r="A139" s="147">
        <v>7</v>
      </c>
      <c r="B139" s="169" t="s">
        <v>266</v>
      </c>
      <c r="C139" s="157">
        <v>3053837</v>
      </c>
      <c r="D139" s="157">
        <v>3453269</v>
      </c>
      <c r="E139" s="157">
        <f t="shared" si="8"/>
        <v>399432</v>
      </c>
      <c r="F139" s="161">
        <f t="shared" si="9"/>
        <v>0.13079676485680147</v>
      </c>
    </row>
    <row r="140" spans="1:6" ht="15" customHeight="1" x14ac:dyDescent="0.2">
      <c r="A140" s="147">
        <v>8</v>
      </c>
      <c r="B140" s="169" t="s">
        <v>267</v>
      </c>
      <c r="C140" s="157">
        <v>761314</v>
      </c>
      <c r="D140" s="157">
        <v>751456</v>
      </c>
      <c r="E140" s="157">
        <f t="shared" si="8"/>
        <v>-9858</v>
      </c>
      <c r="F140" s="161">
        <f t="shared" si="9"/>
        <v>-1.2948665071179566E-2</v>
      </c>
    </row>
    <row r="141" spans="1:6" ht="15" customHeight="1" x14ac:dyDescent="0.2">
      <c r="A141" s="147">
        <v>9</v>
      </c>
      <c r="B141" s="169" t="s">
        <v>268</v>
      </c>
      <c r="C141" s="157">
        <v>2637822</v>
      </c>
      <c r="D141" s="157">
        <v>2746368</v>
      </c>
      <c r="E141" s="157">
        <f t="shared" si="8"/>
        <v>108546</v>
      </c>
      <c r="F141" s="161">
        <f t="shared" si="9"/>
        <v>4.1149857723531004E-2</v>
      </c>
    </row>
    <row r="142" spans="1:6" ht="15" customHeight="1" x14ac:dyDescent="0.2">
      <c r="A142" s="147">
        <v>10</v>
      </c>
      <c r="B142" s="169" t="s">
        <v>269</v>
      </c>
      <c r="C142" s="157">
        <v>14335537</v>
      </c>
      <c r="D142" s="157">
        <v>14248231</v>
      </c>
      <c r="E142" s="157">
        <f t="shared" si="8"/>
        <v>-87306</v>
      </c>
      <c r="F142" s="161">
        <f t="shared" si="9"/>
        <v>-6.0901799493105835E-3</v>
      </c>
    </row>
    <row r="143" spans="1:6" ht="15" customHeight="1" x14ac:dyDescent="0.2">
      <c r="A143" s="147">
        <v>11</v>
      </c>
      <c r="B143" s="169" t="s">
        <v>270</v>
      </c>
      <c r="C143" s="157">
        <v>1726382</v>
      </c>
      <c r="D143" s="157">
        <v>1731523</v>
      </c>
      <c r="E143" s="157">
        <f t="shared" si="8"/>
        <v>5141</v>
      </c>
      <c r="F143" s="161">
        <f t="shared" si="9"/>
        <v>2.9779040791667196E-3</v>
      </c>
    </row>
    <row r="144" spans="1:6" ht="15" customHeight="1" x14ac:dyDescent="0.2">
      <c r="A144" s="147">
        <v>12</v>
      </c>
      <c r="B144" s="169" t="s">
        <v>271</v>
      </c>
      <c r="C144" s="157">
        <v>744557</v>
      </c>
      <c r="D144" s="157">
        <v>846557</v>
      </c>
      <c r="E144" s="157">
        <f t="shared" si="8"/>
        <v>102000</v>
      </c>
      <c r="F144" s="161">
        <f t="shared" si="9"/>
        <v>0.1369942126660551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263956</v>
      </c>
      <c r="D146" s="157">
        <v>325529</v>
      </c>
      <c r="E146" s="157">
        <f t="shared" si="8"/>
        <v>61573</v>
      </c>
      <c r="F146" s="161">
        <f t="shared" si="9"/>
        <v>0.23326993892921546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162675</v>
      </c>
      <c r="D148" s="157">
        <v>172115</v>
      </c>
      <c r="E148" s="157">
        <f t="shared" si="8"/>
        <v>9440</v>
      </c>
      <c r="F148" s="161">
        <f t="shared" si="9"/>
        <v>5.8029814046411554E-2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1228731</v>
      </c>
      <c r="D150" s="157">
        <v>1200177</v>
      </c>
      <c r="E150" s="157">
        <f t="shared" si="8"/>
        <v>-28554</v>
      </c>
      <c r="F150" s="161">
        <f t="shared" si="9"/>
        <v>-2.3238609589893964E-2</v>
      </c>
    </row>
    <row r="151" spans="1:6" ht="15" customHeight="1" x14ac:dyDescent="0.2">
      <c r="A151" s="147">
        <v>19</v>
      </c>
      <c r="B151" s="169" t="s">
        <v>278</v>
      </c>
      <c r="C151" s="157">
        <v>57500</v>
      </c>
      <c r="D151" s="157">
        <v>59661</v>
      </c>
      <c r="E151" s="157">
        <f t="shared" si="8"/>
        <v>2161</v>
      </c>
      <c r="F151" s="161">
        <f t="shared" si="9"/>
        <v>3.7582608695652171E-2</v>
      </c>
    </row>
    <row r="152" spans="1:6" ht="15" customHeight="1" x14ac:dyDescent="0.2">
      <c r="A152" s="147">
        <v>20</v>
      </c>
      <c r="B152" s="169" t="s">
        <v>279</v>
      </c>
      <c r="C152" s="157">
        <v>804343</v>
      </c>
      <c r="D152" s="157">
        <v>789457</v>
      </c>
      <c r="E152" s="157">
        <f t="shared" si="8"/>
        <v>-14886</v>
      </c>
      <c r="F152" s="161">
        <f t="shared" si="9"/>
        <v>-1.8507029961098685E-2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8716764</v>
      </c>
      <c r="D154" s="157">
        <v>9201935</v>
      </c>
      <c r="E154" s="157">
        <f t="shared" si="8"/>
        <v>485171</v>
      </c>
      <c r="F154" s="161">
        <f t="shared" si="9"/>
        <v>5.5659531449973869E-2</v>
      </c>
    </row>
    <row r="155" spans="1:6" ht="15" customHeight="1" x14ac:dyDescent="0.2">
      <c r="A155" s="147">
        <v>23</v>
      </c>
      <c r="B155" s="169" t="s">
        <v>282</v>
      </c>
      <c r="C155" s="157">
        <v>170142</v>
      </c>
      <c r="D155" s="157">
        <v>169738</v>
      </c>
      <c r="E155" s="157">
        <f t="shared" si="8"/>
        <v>-404</v>
      </c>
      <c r="F155" s="161">
        <f t="shared" si="9"/>
        <v>-2.3744871930505107E-3</v>
      </c>
    </row>
    <row r="156" spans="1:6" ht="15" customHeight="1" x14ac:dyDescent="0.2">
      <c r="A156" s="147">
        <v>24</v>
      </c>
      <c r="B156" s="169" t="s">
        <v>283</v>
      </c>
      <c r="C156" s="157">
        <v>23289572</v>
      </c>
      <c r="D156" s="157">
        <v>23075456</v>
      </c>
      <c r="E156" s="157">
        <f t="shared" si="8"/>
        <v>-214116</v>
      </c>
      <c r="F156" s="161">
        <f t="shared" si="9"/>
        <v>-9.193642545255877E-3</v>
      </c>
    </row>
    <row r="157" spans="1:6" ht="15" customHeight="1" x14ac:dyDescent="0.2">
      <c r="A157" s="147">
        <v>25</v>
      </c>
      <c r="B157" s="169" t="s">
        <v>284</v>
      </c>
      <c r="C157" s="157">
        <v>2311168</v>
      </c>
      <c r="D157" s="157">
        <v>2777968</v>
      </c>
      <c r="E157" s="157">
        <f t="shared" si="8"/>
        <v>466800</v>
      </c>
      <c r="F157" s="161">
        <f t="shared" si="9"/>
        <v>0.2019757975188303</v>
      </c>
    </row>
    <row r="158" spans="1:6" ht="15" customHeight="1" x14ac:dyDescent="0.2">
      <c r="A158" s="147">
        <v>26</v>
      </c>
      <c r="B158" s="169" t="s">
        <v>285</v>
      </c>
      <c r="C158" s="157">
        <v>351687</v>
      </c>
      <c r="D158" s="157">
        <v>359282</v>
      </c>
      <c r="E158" s="157">
        <f t="shared" si="8"/>
        <v>7595</v>
      </c>
      <c r="F158" s="161">
        <f t="shared" si="9"/>
        <v>2.1595907724766626E-2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755610</v>
      </c>
      <c r="D160" s="157">
        <v>975459</v>
      </c>
      <c r="E160" s="157">
        <f t="shared" si="8"/>
        <v>219849</v>
      </c>
      <c r="F160" s="161">
        <f t="shared" si="9"/>
        <v>0.2909556517250963</v>
      </c>
    </row>
    <row r="161" spans="1:6" ht="15" customHeight="1" x14ac:dyDescent="0.2">
      <c r="A161" s="147">
        <v>29</v>
      </c>
      <c r="B161" s="169" t="s">
        <v>288</v>
      </c>
      <c r="C161" s="157">
        <v>687797</v>
      </c>
      <c r="D161" s="157">
        <v>666724</v>
      </c>
      <c r="E161" s="157">
        <f t="shared" si="8"/>
        <v>-21073</v>
      </c>
      <c r="F161" s="161">
        <f t="shared" si="9"/>
        <v>-3.0638400574588141E-2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983399</v>
      </c>
      <c r="D163" s="157">
        <v>894347</v>
      </c>
      <c r="E163" s="157">
        <f t="shared" si="8"/>
        <v>-89052</v>
      </c>
      <c r="F163" s="161">
        <f t="shared" si="9"/>
        <v>-9.0555308679386493E-2</v>
      </c>
    </row>
    <row r="164" spans="1:6" ht="15" customHeight="1" x14ac:dyDescent="0.2">
      <c r="A164" s="147">
        <v>32</v>
      </c>
      <c r="B164" s="169" t="s">
        <v>291</v>
      </c>
      <c r="C164" s="157">
        <v>3193308</v>
      </c>
      <c r="D164" s="157">
        <v>3660501</v>
      </c>
      <c r="E164" s="157">
        <f t="shared" si="8"/>
        <v>467193</v>
      </c>
      <c r="F164" s="161">
        <f t="shared" si="9"/>
        <v>0.14630377025955529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4209055</v>
      </c>
      <c r="D166" s="157">
        <v>5189697</v>
      </c>
      <c r="E166" s="157">
        <f t="shared" si="8"/>
        <v>980642</v>
      </c>
      <c r="F166" s="161">
        <f t="shared" si="9"/>
        <v>0.23298388830747044</v>
      </c>
    </row>
    <row r="167" spans="1:6" ht="15.75" customHeight="1" x14ac:dyDescent="0.25">
      <c r="A167" s="147"/>
      <c r="B167" s="165" t="s">
        <v>294</v>
      </c>
      <c r="C167" s="158">
        <f>SUM(C133:C166)</f>
        <v>106727155</v>
      </c>
      <c r="D167" s="158">
        <f>SUM(D133:D166)</f>
        <v>108472048</v>
      </c>
      <c r="E167" s="158">
        <f t="shared" si="8"/>
        <v>1744893</v>
      </c>
      <c r="F167" s="159">
        <f t="shared" si="9"/>
        <v>1.6349100657653621E-2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26432132</v>
      </c>
      <c r="D170" s="157">
        <v>25708282</v>
      </c>
      <c r="E170" s="157">
        <f t="shared" ref="E170:E183" si="10">D170-C170</f>
        <v>-723850</v>
      </c>
      <c r="F170" s="161">
        <f t="shared" ref="F170:F183" si="11">IF(C170=0,0,E170/C170)</f>
        <v>-2.7385229462383132E-2</v>
      </c>
    </row>
    <row r="171" spans="1:6" ht="15" customHeight="1" x14ac:dyDescent="0.2">
      <c r="A171" s="147">
        <v>2</v>
      </c>
      <c r="B171" s="169" t="s">
        <v>297</v>
      </c>
      <c r="C171" s="157">
        <v>6985358</v>
      </c>
      <c r="D171" s="157">
        <v>6422495</v>
      </c>
      <c r="E171" s="157">
        <f t="shared" si="10"/>
        <v>-562863</v>
      </c>
      <c r="F171" s="161">
        <f t="shared" si="11"/>
        <v>-8.057754520240766E-2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2605732</v>
      </c>
      <c r="D173" s="157">
        <v>2485377</v>
      </c>
      <c r="E173" s="157">
        <f t="shared" si="10"/>
        <v>-120355</v>
      </c>
      <c r="F173" s="161">
        <f t="shared" si="11"/>
        <v>-4.6188556612882674E-2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4375043</v>
      </c>
      <c r="D175" s="157">
        <v>4456289</v>
      </c>
      <c r="E175" s="157">
        <f t="shared" si="10"/>
        <v>81246</v>
      </c>
      <c r="F175" s="161">
        <f t="shared" si="11"/>
        <v>1.8570331765882072E-2</v>
      </c>
    </row>
    <row r="176" spans="1:6" ht="15" customHeight="1" x14ac:dyDescent="0.2">
      <c r="A176" s="147">
        <v>7</v>
      </c>
      <c r="B176" s="169" t="s">
        <v>302</v>
      </c>
      <c r="C176" s="157">
        <v>1084001</v>
      </c>
      <c r="D176" s="157">
        <v>1136406</v>
      </c>
      <c r="E176" s="157">
        <f t="shared" si="10"/>
        <v>52405</v>
      </c>
      <c r="F176" s="161">
        <f t="shared" si="11"/>
        <v>4.8344051343126068E-2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1468528</v>
      </c>
      <c r="D179" s="157">
        <v>1561842</v>
      </c>
      <c r="E179" s="157">
        <f t="shared" si="10"/>
        <v>93314</v>
      </c>
      <c r="F179" s="161">
        <f t="shared" si="11"/>
        <v>6.3542540557619598E-2</v>
      </c>
    </row>
    <row r="180" spans="1:6" ht="15" customHeight="1" x14ac:dyDescent="0.2">
      <c r="A180" s="147">
        <v>11</v>
      </c>
      <c r="B180" s="169" t="s">
        <v>306</v>
      </c>
      <c r="C180" s="157">
        <v>11196860</v>
      </c>
      <c r="D180" s="157">
        <v>11099976</v>
      </c>
      <c r="E180" s="157">
        <f t="shared" si="10"/>
        <v>-96884</v>
      </c>
      <c r="F180" s="161">
        <f t="shared" si="11"/>
        <v>-8.6527830123802572E-3</v>
      </c>
    </row>
    <row r="181" spans="1:6" ht="15" customHeight="1" x14ac:dyDescent="0.2">
      <c r="A181" s="147">
        <v>12</v>
      </c>
      <c r="B181" s="169" t="s">
        <v>307</v>
      </c>
      <c r="C181" s="157">
        <v>9090108</v>
      </c>
      <c r="D181" s="157">
        <v>8999314</v>
      </c>
      <c r="E181" s="157">
        <f t="shared" si="10"/>
        <v>-90794</v>
      </c>
      <c r="F181" s="161">
        <f t="shared" si="11"/>
        <v>-9.9882201619606713E-3</v>
      </c>
    </row>
    <row r="182" spans="1:6" ht="15" customHeight="1" x14ac:dyDescent="0.2">
      <c r="A182" s="147">
        <v>13</v>
      </c>
      <c r="B182" s="169" t="s">
        <v>308</v>
      </c>
      <c r="C182" s="157">
        <v>180540</v>
      </c>
      <c r="D182" s="157">
        <v>185074</v>
      </c>
      <c r="E182" s="157">
        <f t="shared" si="10"/>
        <v>4534</v>
      </c>
      <c r="F182" s="161">
        <f t="shared" si="11"/>
        <v>2.511354824415642E-2</v>
      </c>
    </row>
    <row r="183" spans="1:6" ht="15.75" customHeight="1" x14ac:dyDescent="0.25">
      <c r="A183" s="147"/>
      <c r="B183" s="165" t="s">
        <v>309</v>
      </c>
      <c r="C183" s="158">
        <f>SUM(C170:C182)</f>
        <v>63418302</v>
      </c>
      <c r="D183" s="158">
        <f>SUM(D170:D182)</f>
        <v>62055055</v>
      </c>
      <c r="E183" s="158">
        <f t="shared" si="10"/>
        <v>-1363247</v>
      </c>
      <c r="F183" s="159">
        <f t="shared" si="11"/>
        <v>-2.1496113219808377E-2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342279038</v>
      </c>
      <c r="D188" s="158">
        <f>+D186+D183+D167+D130+D121</f>
        <v>345860614</v>
      </c>
      <c r="E188" s="158">
        <f>D188-C188</f>
        <v>3581576</v>
      </c>
      <c r="F188" s="159">
        <f>IF(C188=0,0,E188/C188)</f>
        <v>1.0463906936655583E-2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347835624</v>
      </c>
      <c r="D11" s="183">
        <v>347171019</v>
      </c>
      <c r="E11" s="76">
        <v>354010685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11871399</v>
      </c>
      <c r="D12" s="185">
        <v>12173148</v>
      </c>
      <c r="E12" s="185">
        <v>12557059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359707023</v>
      </c>
      <c r="D13" s="76">
        <f>+D11+D12</f>
        <v>359344167</v>
      </c>
      <c r="E13" s="76">
        <f>+E11+E12</f>
        <v>366567744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334537291</v>
      </c>
      <c r="D14" s="185">
        <v>342279038</v>
      </c>
      <c r="E14" s="185">
        <v>345860614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25169732</v>
      </c>
      <c r="D15" s="76">
        <f>+D13-D14</f>
        <v>17065129</v>
      </c>
      <c r="E15" s="76">
        <f>+E13-E14</f>
        <v>20707130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3903958</v>
      </c>
      <c r="D16" s="185">
        <v>7063038</v>
      </c>
      <c r="E16" s="185">
        <v>14976476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29073690</v>
      </c>
      <c r="D17" s="76">
        <f>D15+D16</f>
        <v>24128167</v>
      </c>
      <c r="E17" s="76">
        <f>E15+E16</f>
        <v>35683606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6.9221594823067237E-2</v>
      </c>
      <c r="D20" s="189">
        <f>IF(+D27=0,0,+D24/+D27)</f>
        <v>4.6574217884170703E-2</v>
      </c>
      <c r="E20" s="189">
        <f>IF(+E27=0,0,+E24/+E27)</f>
        <v>5.4271900646273713E-2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1.0736633941206523E-2</v>
      </c>
      <c r="D21" s="189">
        <f>IF(D27=0,0,+D26/D27)</f>
        <v>1.9276471378339845E-2</v>
      </c>
      <c r="E21" s="189">
        <f>IF(E27=0,0,+E26/E27)</f>
        <v>3.9252268059518765E-2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7.9958228764273762E-2</v>
      </c>
      <c r="D22" s="189">
        <f>IF(D27=0,0,+D28/D27)</f>
        <v>6.5850689262510545E-2</v>
      </c>
      <c r="E22" s="189">
        <f>IF(E27=0,0,+E28/E27)</f>
        <v>9.3524168705792471E-2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25169732</v>
      </c>
      <c r="D24" s="76">
        <f>+D15</f>
        <v>17065129</v>
      </c>
      <c r="E24" s="76">
        <f>+E15</f>
        <v>20707130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359707023</v>
      </c>
      <c r="D25" s="76">
        <f>+D13</f>
        <v>359344167</v>
      </c>
      <c r="E25" s="76">
        <f>+E13</f>
        <v>366567744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3903958</v>
      </c>
      <c r="D26" s="76">
        <f>+D16</f>
        <v>7063038</v>
      </c>
      <c r="E26" s="76">
        <f>+E16</f>
        <v>14976476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363610981</v>
      </c>
      <c r="D27" s="76">
        <f>+D25+D26</f>
        <v>366407205</v>
      </c>
      <c r="E27" s="76">
        <f>+E25+E26</f>
        <v>381544220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29073690</v>
      </c>
      <c r="D28" s="76">
        <f>+D17</f>
        <v>24128167</v>
      </c>
      <c r="E28" s="76">
        <f>+E17</f>
        <v>35683606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144992000</v>
      </c>
      <c r="D31" s="76">
        <v>247940000</v>
      </c>
      <c r="E31" s="76">
        <v>270689000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161005000</v>
      </c>
      <c r="D32" s="76">
        <v>264166000</v>
      </c>
      <c r="E32" s="76">
        <v>287700000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22933000</v>
      </c>
      <c r="D33" s="76">
        <f>+D32-C32</f>
        <v>103161000</v>
      </c>
      <c r="E33" s="76">
        <f>+E32-D32</f>
        <v>23534000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1.1659999999999999</v>
      </c>
      <c r="D34" s="193">
        <f>IF(C32=0,0,+D33/C32)</f>
        <v>0.6407316542964504</v>
      </c>
      <c r="E34" s="193">
        <f>IF(D32=0,0,+E33/D32)</f>
        <v>8.9087921988446658E-2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0.29578327056610138</v>
      </c>
      <c r="D38" s="195">
        <f>IF((D40+D41)=0,0,+D39/(D40+D41))</f>
        <v>0.27857128269070819</v>
      </c>
      <c r="E38" s="195">
        <f>IF((E40+E41)=0,0,+E39/(E40+E41))</f>
        <v>0.26919775861919981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334537291</v>
      </c>
      <c r="D39" s="76">
        <v>342279038</v>
      </c>
      <c r="E39" s="196">
        <v>345860614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1119150279</v>
      </c>
      <c r="D40" s="76">
        <v>1216521478</v>
      </c>
      <c r="E40" s="196">
        <v>1272225607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11871399</v>
      </c>
      <c r="D41" s="76">
        <v>12173148</v>
      </c>
      <c r="E41" s="196">
        <v>12557059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1.4679564193778316</v>
      </c>
      <c r="D43" s="197">
        <f>IF(D38=0,0,IF((D46-D47)=0,0,((+D44-D45)/(D46-D47)/D38)))</f>
        <v>1.5541499812600965</v>
      </c>
      <c r="E43" s="197">
        <f>IF(E38=0,0,IF((E46-E47)=0,0,((+E44-E45)/(E46-E47)/E38)))</f>
        <v>1.5712278223671057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188050908</v>
      </c>
      <c r="D44" s="76">
        <v>194592913</v>
      </c>
      <c r="E44" s="196">
        <v>194452401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7779487</v>
      </c>
      <c r="D45" s="76">
        <v>8285172</v>
      </c>
      <c r="E45" s="196">
        <v>3834318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435228054</v>
      </c>
      <c r="D46" s="76">
        <v>451015896</v>
      </c>
      <c r="E46" s="196">
        <v>470219797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20044528</v>
      </c>
      <c r="D47" s="76">
        <v>20685891</v>
      </c>
      <c r="E47" s="76">
        <v>19555143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0.77354263771045872</v>
      </c>
      <c r="D49" s="198">
        <f>IF(D38=0,0,IF(D51=0,0,(D50/D51)/D38))</f>
        <v>0.77632130570323277</v>
      </c>
      <c r="E49" s="198">
        <f>IF(E38=0,0,IF(E51=0,0,(E50/E51)/E38))</f>
        <v>0.81240164368397405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119065111</v>
      </c>
      <c r="D50" s="199">
        <v>126605584</v>
      </c>
      <c r="E50" s="199">
        <v>131356288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520387262</v>
      </c>
      <c r="D51" s="199">
        <v>585430051</v>
      </c>
      <c r="E51" s="199">
        <v>600632232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0.65856416789215777</v>
      </c>
      <c r="D53" s="198">
        <f>IF(D38=0,0,IF(D55=0,0,(D54/D55)/D38))</f>
        <v>0.60576957520239738</v>
      </c>
      <c r="E53" s="198">
        <f>IF(E38=0,0,IF(E55=0,0,(E54/E55)/E38))</f>
        <v>0.59935407053502399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31082795</v>
      </c>
      <c r="D54" s="199">
        <v>29640372</v>
      </c>
      <c r="E54" s="199">
        <v>31692766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159568940</v>
      </c>
      <c r="D55" s="199">
        <v>175646641</v>
      </c>
      <c r="E55" s="199">
        <v>196428837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5829531.5482335556</v>
      </c>
      <c r="D57" s="88">
        <f>+D60*D38</f>
        <v>5466908.2156901546</v>
      </c>
      <c r="E57" s="88">
        <f>+E60*E38</f>
        <v>6048581.5566053176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7509399</v>
      </c>
      <c r="D58" s="199">
        <v>8529846</v>
      </c>
      <c r="E58" s="199">
        <v>8559951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12199395</v>
      </c>
      <c r="D59" s="199">
        <v>11094963</v>
      </c>
      <c r="E59" s="199">
        <v>13908964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19708794</v>
      </c>
      <c r="D60" s="76">
        <v>19624809</v>
      </c>
      <c r="E60" s="201">
        <v>22468915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1.7425655390488456E-2</v>
      </c>
      <c r="D62" s="202">
        <f>IF(D63=0,0,+D57/D63)</f>
        <v>1.597208011228007E-2</v>
      </c>
      <c r="E62" s="202">
        <f>IF(E63=0,0,+E57/E63)</f>
        <v>1.7488494820648522E-2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334537291</v>
      </c>
      <c r="D63" s="199">
        <v>342279038</v>
      </c>
      <c r="E63" s="199">
        <v>345860614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1.848608478046561</v>
      </c>
      <c r="D67" s="203">
        <f>IF(D69=0,0,D68/D69)</f>
        <v>2.0550224705453664</v>
      </c>
      <c r="E67" s="203">
        <f>IF(E69=0,0,E68/E69)</f>
        <v>1.7684855859228754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121888000</v>
      </c>
      <c r="D68" s="204">
        <v>118433000</v>
      </c>
      <c r="E68" s="204">
        <v>113367000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65935000</v>
      </c>
      <c r="D69" s="204">
        <v>57631000</v>
      </c>
      <c r="E69" s="204">
        <v>64104000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75.725986525109661</v>
      </c>
      <c r="D71" s="203">
        <f>IF((D77/365)=0,0,+D74/(D77/365))</f>
        <v>68.550974490600368</v>
      </c>
      <c r="E71" s="203">
        <f>IF((E77/365)=0,0,+E74/(E77/365))</f>
        <v>65.511376421331761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54769000</v>
      </c>
      <c r="D72" s="183">
        <v>39387000</v>
      </c>
      <c r="E72" s="183">
        <v>36581000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10187000</v>
      </c>
      <c r="D73" s="206">
        <v>20741000</v>
      </c>
      <c r="E73" s="206">
        <v>21491000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64956000</v>
      </c>
      <c r="D74" s="204">
        <f>+D72+D73</f>
        <v>60128000</v>
      </c>
      <c r="E74" s="204">
        <f>+E72+E73</f>
        <v>58072000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334537291</v>
      </c>
      <c r="D75" s="204">
        <f>+D14</f>
        <v>342279038</v>
      </c>
      <c r="E75" s="204">
        <f>+E14</f>
        <v>345860614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21448732</v>
      </c>
      <c r="D76" s="204">
        <v>22127207</v>
      </c>
      <c r="E76" s="204">
        <v>22309482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313088559</v>
      </c>
      <c r="D77" s="204">
        <f>+D75-D76</f>
        <v>320151831</v>
      </c>
      <c r="E77" s="204">
        <f>+E75-E76</f>
        <v>323551132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44.308644476277102</v>
      </c>
      <c r="D79" s="203">
        <f>IF((D84/365)=0,0,+D83/(D84/365))</f>
        <v>49.356913631088545</v>
      </c>
      <c r="E79" s="203">
        <f>IF((E84/365)=0,0,+E83/(E84/365))</f>
        <v>45.685485453638215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45169000</v>
      </c>
      <c r="D80" s="212">
        <v>44032000</v>
      </c>
      <c r="E80" s="212">
        <v>43502000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2914000</v>
      </c>
      <c r="E81" s="212">
        <v>808000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2944000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42225000</v>
      </c>
      <c r="D83" s="212">
        <f>+D80+D81-D82</f>
        <v>46946000</v>
      </c>
      <c r="E83" s="212">
        <f>+E80+E81-E82</f>
        <v>44310000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347835624</v>
      </c>
      <c r="D84" s="204">
        <f>+D11</f>
        <v>347171019</v>
      </c>
      <c r="E84" s="204">
        <f>+E11</f>
        <v>354010685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76.867308971197502</v>
      </c>
      <c r="D86" s="203">
        <f>IF((D90/365)=0,0,+D87/(D90/365))</f>
        <v>65.704184587343491</v>
      </c>
      <c r="E86" s="203">
        <f>IF((E90/365)=0,0,+E87/(E90/365))</f>
        <v>72.316112310804712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65935000</v>
      </c>
      <c r="D87" s="76">
        <f>+D69</f>
        <v>57631000</v>
      </c>
      <c r="E87" s="76">
        <f>+E69</f>
        <v>64104000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334537291</v>
      </c>
      <c r="D88" s="76">
        <f t="shared" si="0"/>
        <v>342279038</v>
      </c>
      <c r="E88" s="76">
        <f t="shared" si="0"/>
        <v>345860614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21448732</v>
      </c>
      <c r="D89" s="201">
        <f t="shared" si="0"/>
        <v>22127207</v>
      </c>
      <c r="E89" s="201">
        <f t="shared" si="0"/>
        <v>22309482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313088559</v>
      </c>
      <c r="D90" s="76">
        <f>+D88-D89</f>
        <v>320151831</v>
      </c>
      <c r="E90" s="76">
        <f>+E88-E89</f>
        <v>323551132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36.298031400203804</v>
      </c>
      <c r="D94" s="214">
        <f>IF(D96=0,0,(D95/D96)*100)</f>
        <v>57.388591626096272</v>
      </c>
      <c r="E94" s="214">
        <f>IF(E96=0,0,(E95/E96)*100)</f>
        <v>59.465369741489958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161005000</v>
      </c>
      <c r="D95" s="76">
        <f>+D32</f>
        <v>264166000</v>
      </c>
      <c r="E95" s="76">
        <f>+E32</f>
        <v>287700000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443564000</v>
      </c>
      <c r="D96" s="76">
        <v>460311000</v>
      </c>
      <c r="E96" s="76">
        <v>483811000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39.083773894342713</v>
      </c>
      <c r="D98" s="214">
        <f>IF(D104=0,0,(D101/D104)*100)</f>
        <v>39.298715399908239</v>
      </c>
      <c r="E98" s="214">
        <f>IF(E104=0,0,(E101/E104)*100)</f>
        <v>48.010305232919123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29073690</v>
      </c>
      <c r="D99" s="76">
        <f>+D28</f>
        <v>24128167</v>
      </c>
      <c r="E99" s="76">
        <f>+E28</f>
        <v>35683606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21448732</v>
      </c>
      <c r="D100" s="201">
        <f>+D76</f>
        <v>22127207</v>
      </c>
      <c r="E100" s="201">
        <f>+E76</f>
        <v>22309482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50522422</v>
      </c>
      <c r="D101" s="76">
        <f>+D99+D100</f>
        <v>46255374</v>
      </c>
      <c r="E101" s="76">
        <f>+E99+E100</f>
        <v>57993088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65935000</v>
      </c>
      <c r="D102" s="204">
        <f>+D69</f>
        <v>57631000</v>
      </c>
      <c r="E102" s="204">
        <f>+E69</f>
        <v>64104000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63332000</v>
      </c>
      <c r="D103" s="216">
        <v>60071000</v>
      </c>
      <c r="E103" s="216">
        <v>56689000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129267000</v>
      </c>
      <c r="D104" s="204">
        <f>+D102+D103</f>
        <v>117702000</v>
      </c>
      <c r="E104" s="204">
        <f>+E102+E103</f>
        <v>120793000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28.230742142401834</v>
      </c>
      <c r="D106" s="214">
        <f>IF(D109=0,0,(D107/D109)*100)</f>
        <v>18.526880029114505</v>
      </c>
      <c r="E106" s="214">
        <f>IF(E109=0,0,(E107/E109)*100)</f>
        <v>16.460746423375891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63332000</v>
      </c>
      <c r="D107" s="204">
        <f>+D103</f>
        <v>60071000</v>
      </c>
      <c r="E107" s="204">
        <f>+E103</f>
        <v>56689000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161005000</v>
      </c>
      <c r="D108" s="204">
        <f>+D32</f>
        <v>264166000</v>
      </c>
      <c r="E108" s="204">
        <f>+E32</f>
        <v>287700000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224337000</v>
      </c>
      <c r="D109" s="204">
        <f>+D107+D108</f>
        <v>324237000</v>
      </c>
      <c r="E109" s="204">
        <f>+E107+E108</f>
        <v>344389000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6.9773914550446836</v>
      </c>
      <c r="D111" s="214">
        <f>IF((+D113+D115)=0,0,((+D112+D113+D114)/(+D113+D115)))</f>
        <v>6.4538364015717571</v>
      </c>
      <c r="E111" s="214">
        <f>IF((+E113+E115)=0,0,((+E112+E113+E114)/(+E113+E115)))</f>
        <v>10.060233096951791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29073690</v>
      </c>
      <c r="D112" s="76">
        <f>+D17</f>
        <v>24128167</v>
      </c>
      <c r="E112" s="76">
        <f>+E17</f>
        <v>35683606</v>
      </c>
    </row>
    <row r="113" spans="1:8" ht="24" customHeight="1" x14ac:dyDescent="0.2">
      <c r="A113" s="85">
        <v>17</v>
      </c>
      <c r="B113" s="75" t="s">
        <v>88</v>
      </c>
      <c r="C113" s="218">
        <v>3106032</v>
      </c>
      <c r="D113" s="76">
        <v>3016511</v>
      </c>
      <c r="E113" s="76">
        <v>2896503</v>
      </c>
    </row>
    <row r="114" spans="1:8" ht="24" customHeight="1" x14ac:dyDescent="0.2">
      <c r="A114" s="85">
        <v>18</v>
      </c>
      <c r="B114" s="75" t="s">
        <v>374</v>
      </c>
      <c r="C114" s="218">
        <v>21448732</v>
      </c>
      <c r="D114" s="76">
        <v>22127207</v>
      </c>
      <c r="E114" s="76">
        <v>22309482</v>
      </c>
    </row>
    <row r="115" spans="1:8" ht="24" customHeight="1" x14ac:dyDescent="0.2">
      <c r="A115" s="85">
        <v>19</v>
      </c>
      <c r="B115" s="75" t="s">
        <v>104</v>
      </c>
      <c r="C115" s="218">
        <v>4580000</v>
      </c>
      <c r="D115" s="76">
        <v>4618000</v>
      </c>
      <c r="E115" s="76">
        <v>3156000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9.6996876085728516</v>
      </c>
      <c r="D119" s="214">
        <f>IF(+D121=0,0,(+D120)/(+D121))</f>
        <v>10.403075272898201</v>
      </c>
      <c r="E119" s="214">
        <f>IF(+E121=0,0,(+E120)/(+E121))</f>
        <v>11.316847249075527</v>
      </c>
    </row>
    <row r="120" spans="1:8" ht="24" customHeight="1" x14ac:dyDescent="0.2">
      <c r="A120" s="85">
        <v>21</v>
      </c>
      <c r="B120" s="75" t="s">
        <v>378</v>
      </c>
      <c r="C120" s="218">
        <v>208046000</v>
      </c>
      <c r="D120" s="218">
        <v>230191000</v>
      </c>
      <c r="E120" s="218">
        <v>252473000</v>
      </c>
    </row>
    <row r="121" spans="1:8" ht="24" customHeight="1" x14ac:dyDescent="0.2">
      <c r="A121" s="85">
        <v>22</v>
      </c>
      <c r="B121" s="75" t="s">
        <v>374</v>
      </c>
      <c r="C121" s="218">
        <v>21448732</v>
      </c>
      <c r="D121" s="218">
        <v>22127207</v>
      </c>
      <c r="E121" s="218">
        <v>22309482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59473</v>
      </c>
      <c r="D124" s="218">
        <v>62546</v>
      </c>
      <c r="E124" s="218">
        <v>59299</v>
      </c>
    </row>
    <row r="125" spans="1:8" ht="24" customHeight="1" x14ac:dyDescent="0.2">
      <c r="A125" s="85">
        <v>2</v>
      </c>
      <c r="B125" s="75" t="s">
        <v>381</v>
      </c>
      <c r="C125" s="218">
        <v>14158</v>
      </c>
      <c r="D125" s="218">
        <v>15162</v>
      </c>
      <c r="E125" s="218">
        <v>14296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4.2006639355841218</v>
      </c>
      <c r="D126" s="219">
        <f>IF(D125=0,0,D124/D125)</f>
        <v>4.1251813744888537</v>
      </c>
      <c r="E126" s="219">
        <f>IF(E125=0,0,E124/E125)</f>
        <v>4.1479434806939004</v>
      </c>
    </row>
    <row r="127" spans="1:8" ht="24" customHeight="1" x14ac:dyDescent="0.2">
      <c r="A127" s="85">
        <v>4</v>
      </c>
      <c r="B127" s="75" t="s">
        <v>383</v>
      </c>
      <c r="C127" s="218">
        <v>183</v>
      </c>
      <c r="D127" s="218">
        <v>189</v>
      </c>
      <c r="E127" s="218">
        <v>183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260</v>
      </c>
      <c r="E128" s="218">
        <v>237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260</v>
      </c>
      <c r="D129" s="218">
        <v>297</v>
      </c>
      <c r="E129" s="218">
        <v>297</v>
      </c>
    </row>
    <row r="130" spans="1:7" ht="24" customHeight="1" x14ac:dyDescent="0.2">
      <c r="A130" s="85">
        <v>7</v>
      </c>
      <c r="B130" s="75" t="s">
        <v>386</v>
      </c>
      <c r="C130" s="193">
        <v>0.89029999999999998</v>
      </c>
      <c r="D130" s="193">
        <v>0.90659999999999996</v>
      </c>
      <c r="E130" s="193">
        <v>0.88770000000000004</v>
      </c>
    </row>
    <row r="131" spans="1:7" ht="24" customHeight="1" x14ac:dyDescent="0.2">
      <c r="A131" s="85">
        <v>8</v>
      </c>
      <c r="B131" s="75" t="s">
        <v>387</v>
      </c>
      <c r="C131" s="193">
        <v>0.62660000000000005</v>
      </c>
      <c r="D131" s="193">
        <v>0.65900000000000003</v>
      </c>
      <c r="E131" s="193">
        <v>0.68540000000000001</v>
      </c>
    </row>
    <row r="132" spans="1:7" ht="24" customHeight="1" x14ac:dyDescent="0.2">
      <c r="A132" s="85">
        <v>9</v>
      </c>
      <c r="B132" s="75" t="s">
        <v>388</v>
      </c>
      <c r="C132" s="219">
        <v>2080</v>
      </c>
      <c r="D132" s="219">
        <v>2119</v>
      </c>
      <c r="E132" s="219">
        <v>2081.1999999999998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0.37098103247669384</v>
      </c>
      <c r="D135" s="227">
        <f>IF(D149=0,0,D143/D149)</f>
        <v>0.35373810720339788</v>
      </c>
      <c r="E135" s="227">
        <f>IF(E149=0,0,E143/E149)</f>
        <v>0.35423328340537008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0.46498425793628384</v>
      </c>
      <c r="D136" s="227">
        <f>IF(D149=0,0,D144/D149)</f>
        <v>0.48123281141116031</v>
      </c>
      <c r="E136" s="227">
        <f>IF(E149=0,0,E144/E149)</f>
        <v>0.47211141537728851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0.14258044070951797</v>
      </c>
      <c r="D137" s="227">
        <f>IF(D149=0,0,D145/D149)</f>
        <v>0.14438433202903139</v>
      </c>
      <c r="E137" s="227">
        <f>IF(E149=0,0,E145/E149)</f>
        <v>0.15439780171002326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1.7910488319683473E-2</v>
      </c>
      <c r="D139" s="227">
        <f>IF(D149=0,0,D147/D149)</f>
        <v>1.7004131348349282E-2</v>
      </c>
      <c r="E139" s="227">
        <f>IF(E149=0,0,E147/E149)</f>
        <v>1.5370813865405871E-2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3.5437805578208679E-3</v>
      </c>
      <c r="D140" s="227">
        <f>IF(D149=0,0,D148/D149)</f>
        <v>3.640618008061178E-3</v>
      </c>
      <c r="E140" s="227">
        <f>IF(E149=0,0,E148/E149)</f>
        <v>3.8866856419122525E-3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1.0000000000000002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415183526</v>
      </c>
      <c r="D143" s="229">
        <f>+D46-D147</f>
        <v>430330005</v>
      </c>
      <c r="E143" s="229">
        <f>+E46-E147</f>
        <v>450664654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520387262</v>
      </c>
      <c r="D144" s="229">
        <f>+D51</f>
        <v>585430051</v>
      </c>
      <c r="E144" s="229">
        <f>+E51</f>
        <v>600632232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159568940</v>
      </c>
      <c r="D145" s="229">
        <f>+D55</f>
        <v>175646641</v>
      </c>
      <c r="E145" s="229">
        <f>+E55</f>
        <v>196428837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20044528</v>
      </c>
      <c r="D147" s="229">
        <f>+D47</f>
        <v>20685891</v>
      </c>
      <c r="E147" s="229">
        <f>+E47</f>
        <v>19555143</v>
      </c>
    </row>
    <row r="148" spans="1:7" ht="20.100000000000001" customHeight="1" x14ac:dyDescent="0.2">
      <c r="A148" s="226">
        <v>13</v>
      </c>
      <c r="B148" s="224" t="s">
        <v>402</v>
      </c>
      <c r="C148" s="230">
        <v>3966023</v>
      </c>
      <c r="D148" s="229">
        <v>4428890</v>
      </c>
      <c r="E148" s="229">
        <v>4944741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1119150279</v>
      </c>
      <c r="D149" s="229">
        <f>SUM(D143:D148)</f>
        <v>1216521478</v>
      </c>
      <c r="E149" s="229">
        <f>SUM(E143:E148)</f>
        <v>1272225607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0.5311823880013401</v>
      </c>
      <c r="D152" s="227">
        <f>IF(D166=0,0,D160/D166)</f>
        <v>0.52990051307966957</v>
      </c>
      <c r="E152" s="227">
        <f>IF(E166=0,0,E160/E166)</f>
        <v>0.53221047408787392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0.3508337019689029</v>
      </c>
      <c r="D153" s="227">
        <f>IF(D166=0,0,D161/D166)</f>
        <v>0.36009434476665786</v>
      </c>
      <c r="E153" s="227">
        <f>IF(E166=0,0,E161/E166)</f>
        <v>0.36675005440540126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9.1587635922923766E-2</v>
      </c>
      <c r="D154" s="227">
        <f>IF(D166=0,0,D162/D166)</f>
        <v>8.4303788164509341E-2</v>
      </c>
      <c r="E154" s="227">
        <f>IF(E166=0,0,E162/E166)</f>
        <v>8.8486998466016736E-2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2.2922804175850929E-2</v>
      </c>
      <c r="D156" s="227">
        <f>IF(D166=0,0,D164/D166)</f>
        <v>2.3564865690434793E-2</v>
      </c>
      <c r="E156" s="227">
        <f>IF(E166=0,0,E164/E166)</f>
        <v>1.070551213435332E-2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3.4734699309823696E-3</v>
      </c>
      <c r="D157" s="227">
        <f>IF(D166=0,0,D165/D166)</f>
        <v>2.1364882987284419E-3</v>
      </c>
      <c r="E157" s="227">
        <f>IF(E166=0,0,E165/E166)</f>
        <v>1.8469609063547854E-3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180271421</v>
      </c>
      <c r="D160" s="229">
        <f>+D44-D164</f>
        <v>186307741</v>
      </c>
      <c r="E160" s="229">
        <f>+E44-E164</f>
        <v>190618083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119065111</v>
      </c>
      <c r="D161" s="229">
        <f>+D50</f>
        <v>126605584</v>
      </c>
      <c r="E161" s="229">
        <f>+E50</f>
        <v>131356288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31082795</v>
      </c>
      <c r="D162" s="229">
        <f>+D54</f>
        <v>29640372</v>
      </c>
      <c r="E162" s="229">
        <f>+E54</f>
        <v>31692766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7779487</v>
      </c>
      <c r="D164" s="229">
        <f>+D45</f>
        <v>8285172</v>
      </c>
      <c r="E164" s="229">
        <f>+E45</f>
        <v>3834318</v>
      </c>
    </row>
    <row r="165" spans="1:6" ht="20.100000000000001" customHeight="1" x14ac:dyDescent="0.2">
      <c r="A165" s="226">
        <v>13</v>
      </c>
      <c r="B165" s="224" t="s">
        <v>417</v>
      </c>
      <c r="C165" s="230">
        <v>1178818</v>
      </c>
      <c r="D165" s="229">
        <v>751168</v>
      </c>
      <c r="E165" s="229">
        <v>661513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339377632</v>
      </c>
      <c r="D166" s="229">
        <f>SUM(D160:D165)</f>
        <v>351590037</v>
      </c>
      <c r="E166" s="229">
        <f>SUM(E160:E165)</f>
        <v>358162968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4421</v>
      </c>
      <c r="D169" s="218">
        <v>4525</v>
      </c>
      <c r="E169" s="218">
        <v>4216</v>
      </c>
    </row>
    <row r="170" spans="1:6" ht="20.100000000000001" customHeight="1" x14ac:dyDescent="0.2">
      <c r="A170" s="226">
        <v>2</v>
      </c>
      <c r="B170" s="224" t="s">
        <v>420</v>
      </c>
      <c r="C170" s="218">
        <v>7537</v>
      </c>
      <c r="D170" s="218">
        <v>8270</v>
      </c>
      <c r="E170" s="218">
        <v>7760</v>
      </c>
    </row>
    <row r="171" spans="1:6" ht="20.100000000000001" customHeight="1" x14ac:dyDescent="0.2">
      <c r="A171" s="226">
        <v>3</v>
      </c>
      <c r="B171" s="224" t="s">
        <v>421</v>
      </c>
      <c r="C171" s="218">
        <v>2138</v>
      </c>
      <c r="D171" s="218">
        <v>2323</v>
      </c>
      <c r="E171" s="218">
        <v>2263</v>
      </c>
    </row>
    <row r="172" spans="1:6" ht="20.100000000000001" customHeight="1" x14ac:dyDescent="0.2">
      <c r="A172" s="226">
        <v>4</v>
      </c>
      <c r="B172" s="224" t="s">
        <v>422</v>
      </c>
      <c r="C172" s="218">
        <v>2138</v>
      </c>
      <c r="D172" s="218">
        <v>2323</v>
      </c>
      <c r="E172" s="218">
        <v>2263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62</v>
      </c>
      <c r="D174" s="218">
        <v>44</v>
      </c>
      <c r="E174" s="218">
        <v>57</v>
      </c>
    </row>
    <row r="175" spans="1:6" ht="20.100000000000001" customHeight="1" x14ac:dyDescent="0.2">
      <c r="A175" s="226">
        <v>7</v>
      </c>
      <c r="B175" s="224" t="s">
        <v>425</v>
      </c>
      <c r="C175" s="218">
        <v>182</v>
      </c>
      <c r="D175" s="218">
        <v>168</v>
      </c>
      <c r="E175" s="218">
        <v>139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14158</v>
      </c>
      <c r="D176" s="218">
        <f>+D169+D170+D171+D174</f>
        <v>15162</v>
      </c>
      <c r="E176" s="218">
        <f>+E169+E170+E171+E174</f>
        <v>14296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1.1101000000000001</v>
      </c>
      <c r="D179" s="231">
        <v>1.1292</v>
      </c>
      <c r="E179" s="231">
        <v>1.1889099999999999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1.38656</v>
      </c>
      <c r="D180" s="231">
        <v>1.3407</v>
      </c>
      <c r="E180" s="231">
        <v>1.37202</v>
      </c>
    </row>
    <row r="181" spans="1:6" ht="20.100000000000001" customHeight="1" x14ac:dyDescent="0.2">
      <c r="A181" s="226">
        <v>3</v>
      </c>
      <c r="B181" s="224" t="s">
        <v>421</v>
      </c>
      <c r="C181" s="231">
        <v>0.95591000000000004</v>
      </c>
      <c r="D181" s="231">
        <v>0.98280000000000001</v>
      </c>
      <c r="E181" s="231">
        <v>1.04375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0.95591000000000004</v>
      </c>
      <c r="D182" s="231">
        <v>0.98280000000000001</v>
      </c>
      <c r="E182" s="231">
        <v>1.04375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0.79674999999999996</v>
      </c>
      <c r="D184" s="231">
        <v>1.2712000000000001</v>
      </c>
      <c r="E184" s="231">
        <v>1.0518000000000001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1.03321</v>
      </c>
      <c r="D185" s="231">
        <v>1.1074999999999999</v>
      </c>
      <c r="E185" s="231">
        <v>1.12178</v>
      </c>
    </row>
    <row r="186" spans="1:6" ht="20.100000000000001" customHeight="1" x14ac:dyDescent="0.2">
      <c r="A186" s="226">
        <v>8</v>
      </c>
      <c r="B186" s="224" t="s">
        <v>429</v>
      </c>
      <c r="C186" s="231">
        <v>1.2326159999999999</v>
      </c>
      <c r="D186" s="231">
        <v>1.222542</v>
      </c>
      <c r="E186" s="231">
        <v>1.264778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8809</v>
      </c>
      <c r="D189" s="218">
        <v>9971</v>
      </c>
      <c r="E189" s="218">
        <v>9060</v>
      </c>
    </row>
    <row r="190" spans="1:6" ht="20.100000000000001" customHeight="1" x14ac:dyDescent="0.2">
      <c r="A190" s="226">
        <v>2</v>
      </c>
      <c r="B190" s="224" t="s">
        <v>433</v>
      </c>
      <c r="C190" s="218">
        <v>85082</v>
      </c>
      <c r="D190" s="218">
        <v>81193</v>
      </c>
      <c r="E190" s="218">
        <v>80555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93891</v>
      </c>
      <c r="D191" s="218">
        <f>+D190+D189</f>
        <v>91164</v>
      </c>
      <c r="E191" s="218">
        <f>+E190+E189</f>
        <v>89615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FILING&amp;RMIDDLESEX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264126</v>
      </c>
      <c r="D14" s="258">
        <v>2805319</v>
      </c>
      <c r="E14" s="258">
        <f t="shared" ref="E14:E24" si="0">D14-C14</f>
        <v>2541193</v>
      </c>
      <c r="F14" s="259">
        <f t="shared" ref="F14:F24" si="1">IF(C14=0,0,E14/C14)</f>
        <v>9.6211391532829023</v>
      </c>
    </row>
    <row r="15" spans="1:7" ht="20.25" customHeight="1" x14ac:dyDescent="0.3">
      <c r="A15" s="256">
        <v>2</v>
      </c>
      <c r="B15" s="257" t="s">
        <v>442</v>
      </c>
      <c r="C15" s="258">
        <v>57472</v>
      </c>
      <c r="D15" s="258">
        <v>639235</v>
      </c>
      <c r="E15" s="258">
        <f t="shared" si="0"/>
        <v>581763</v>
      </c>
      <c r="F15" s="259">
        <f t="shared" si="1"/>
        <v>10.122546631403118</v>
      </c>
    </row>
    <row r="16" spans="1:7" ht="20.25" customHeight="1" x14ac:dyDescent="0.3">
      <c r="A16" s="256">
        <v>3</v>
      </c>
      <c r="B16" s="257" t="s">
        <v>443</v>
      </c>
      <c r="C16" s="258">
        <v>323185</v>
      </c>
      <c r="D16" s="258">
        <v>2416064</v>
      </c>
      <c r="E16" s="258">
        <f t="shared" si="0"/>
        <v>2092879</v>
      </c>
      <c r="F16" s="259">
        <f t="shared" si="1"/>
        <v>6.4757925027461054</v>
      </c>
    </row>
    <row r="17" spans="1:6" ht="20.25" customHeight="1" x14ac:dyDescent="0.3">
      <c r="A17" s="256">
        <v>4</v>
      </c>
      <c r="B17" s="257" t="s">
        <v>444</v>
      </c>
      <c r="C17" s="258">
        <v>56530</v>
      </c>
      <c r="D17" s="258">
        <v>405475</v>
      </c>
      <c r="E17" s="258">
        <f t="shared" si="0"/>
        <v>348945</v>
      </c>
      <c r="F17" s="259">
        <f t="shared" si="1"/>
        <v>6.1727401379798339</v>
      </c>
    </row>
    <row r="18" spans="1:6" ht="20.25" customHeight="1" x14ac:dyDescent="0.3">
      <c r="A18" s="256">
        <v>5</v>
      </c>
      <c r="B18" s="257" t="s">
        <v>381</v>
      </c>
      <c r="C18" s="260">
        <v>4</v>
      </c>
      <c r="D18" s="260">
        <v>69</v>
      </c>
      <c r="E18" s="260">
        <f t="shared" si="0"/>
        <v>65</v>
      </c>
      <c r="F18" s="259">
        <f t="shared" si="1"/>
        <v>16.25</v>
      </c>
    </row>
    <row r="19" spans="1:6" ht="20.25" customHeight="1" x14ac:dyDescent="0.3">
      <c r="A19" s="256">
        <v>6</v>
      </c>
      <c r="B19" s="257" t="s">
        <v>380</v>
      </c>
      <c r="C19" s="260">
        <v>19</v>
      </c>
      <c r="D19" s="260">
        <v>275</v>
      </c>
      <c r="E19" s="260">
        <f t="shared" si="0"/>
        <v>256</v>
      </c>
      <c r="F19" s="259">
        <f t="shared" si="1"/>
        <v>13.473684210526315</v>
      </c>
    </row>
    <row r="20" spans="1:6" ht="20.25" customHeight="1" x14ac:dyDescent="0.3">
      <c r="A20" s="256">
        <v>7</v>
      </c>
      <c r="B20" s="257" t="s">
        <v>445</v>
      </c>
      <c r="C20" s="260">
        <v>294</v>
      </c>
      <c r="D20" s="260">
        <v>1929</v>
      </c>
      <c r="E20" s="260">
        <f t="shared" si="0"/>
        <v>1635</v>
      </c>
      <c r="F20" s="259">
        <f t="shared" si="1"/>
        <v>5.5612244897959187</v>
      </c>
    </row>
    <row r="21" spans="1:6" ht="20.25" customHeight="1" x14ac:dyDescent="0.3">
      <c r="A21" s="256">
        <v>8</v>
      </c>
      <c r="B21" s="257" t="s">
        <v>446</v>
      </c>
      <c r="C21" s="260">
        <v>23</v>
      </c>
      <c r="D21" s="260">
        <v>171</v>
      </c>
      <c r="E21" s="260">
        <f t="shared" si="0"/>
        <v>148</v>
      </c>
      <c r="F21" s="259">
        <f t="shared" si="1"/>
        <v>6.4347826086956523</v>
      </c>
    </row>
    <row r="22" spans="1:6" ht="20.25" customHeight="1" x14ac:dyDescent="0.3">
      <c r="A22" s="256">
        <v>9</v>
      </c>
      <c r="B22" s="257" t="s">
        <v>447</v>
      </c>
      <c r="C22" s="260">
        <v>3</v>
      </c>
      <c r="D22" s="260">
        <v>63</v>
      </c>
      <c r="E22" s="260">
        <f t="shared" si="0"/>
        <v>60</v>
      </c>
      <c r="F22" s="259">
        <f t="shared" si="1"/>
        <v>20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587311</v>
      </c>
      <c r="D23" s="263">
        <f>+D14+D16</f>
        <v>5221383</v>
      </c>
      <c r="E23" s="263">
        <f t="shared" si="0"/>
        <v>4634072</v>
      </c>
      <c r="F23" s="264">
        <f t="shared" si="1"/>
        <v>7.8903204605396455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114002</v>
      </c>
      <c r="D24" s="263">
        <f>+D15+D17</f>
        <v>1044710</v>
      </c>
      <c r="E24" s="263">
        <f t="shared" si="0"/>
        <v>930708</v>
      </c>
      <c r="F24" s="264">
        <f t="shared" si="1"/>
        <v>8.1639620357537588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40591334</v>
      </c>
      <c r="D40" s="258">
        <v>43416862</v>
      </c>
      <c r="E40" s="258">
        <f t="shared" ref="E40:E50" si="4">D40-C40</f>
        <v>2825528</v>
      </c>
      <c r="F40" s="259">
        <f t="shared" ref="F40:F50" si="5">IF(C40=0,0,E40/C40)</f>
        <v>6.960914366598546E-2</v>
      </c>
    </row>
    <row r="41" spans="1:6" ht="20.25" customHeight="1" x14ac:dyDescent="0.3">
      <c r="A41" s="256">
        <v>2</v>
      </c>
      <c r="B41" s="257" t="s">
        <v>442</v>
      </c>
      <c r="C41" s="258">
        <v>8832445</v>
      </c>
      <c r="D41" s="258">
        <v>9893192</v>
      </c>
      <c r="E41" s="258">
        <f t="shared" si="4"/>
        <v>1060747</v>
      </c>
      <c r="F41" s="259">
        <f t="shared" si="5"/>
        <v>0.12009664368133625</v>
      </c>
    </row>
    <row r="42" spans="1:6" ht="20.25" customHeight="1" x14ac:dyDescent="0.3">
      <c r="A42" s="256">
        <v>3</v>
      </c>
      <c r="B42" s="257" t="s">
        <v>443</v>
      </c>
      <c r="C42" s="258">
        <v>35767088</v>
      </c>
      <c r="D42" s="258">
        <v>38020358</v>
      </c>
      <c r="E42" s="258">
        <f t="shared" si="4"/>
        <v>2253270</v>
      </c>
      <c r="F42" s="259">
        <f t="shared" si="5"/>
        <v>6.2998419105295911E-2</v>
      </c>
    </row>
    <row r="43" spans="1:6" ht="20.25" customHeight="1" x14ac:dyDescent="0.3">
      <c r="A43" s="256">
        <v>4</v>
      </c>
      <c r="B43" s="257" t="s">
        <v>444</v>
      </c>
      <c r="C43" s="258">
        <v>6256219</v>
      </c>
      <c r="D43" s="258">
        <v>6380764</v>
      </c>
      <c r="E43" s="258">
        <f t="shared" si="4"/>
        <v>124545</v>
      </c>
      <c r="F43" s="259">
        <f t="shared" si="5"/>
        <v>1.9907391349311781E-2</v>
      </c>
    </row>
    <row r="44" spans="1:6" ht="20.25" customHeight="1" x14ac:dyDescent="0.3">
      <c r="A44" s="256">
        <v>5</v>
      </c>
      <c r="B44" s="257" t="s">
        <v>381</v>
      </c>
      <c r="C44" s="260">
        <v>902</v>
      </c>
      <c r="D44" s="260">
        <v>943</v>
      </c>
      <c r="E44" s="260">
        <f t="shared" si="4"/>
        <v>41</v>
      </c>
      <c r="F44" s="259">
        <f t="shared" si="5"/>
        <v>4.5454545454545456E-2</v>
      </c>
    </row>
    <row r="45" spans="1:6" ht="20.25" customHeight="1" x14ac:dyDescent="0.3">
      <c r="A45" s="256">
        <v>6</v>
      </c>
      <c r="B45" s="257" t="s">
        <v>380</v>
      </c>
      <c r="C45" s="260">
        <v>3992</v>
      </c>
      <c r="D45" s="260">
        <v>4077</v>
      </c>
      <c r="E45" s="260">
        <f t="shared" si="4"/>
        <v>85</v>
      </c>
      <c r="F45" s="259">
        <f t="shared" si="5"/>
        <v>2.1292585170340682E-2</v>
      </c>
    </row>
    <row r="46" spans="1:6" ht="20.25" customHeight="1" x14ac:dyDescent="0.3">
      <c r="A46" s="256">
        <v>7</v>
      </c>
      <c r="B46" s="257" t="s">
        <v>445</v>
      </c>
      <c r="C46" s="260">
        <v>32578</v>
      </c>
      <c r="D46" s="260">
        <v>30357</v>
      </c>
      <c r="E46" s="260">
        <f t="shared" si="4"/>
        <v>-2221</v>
      </c>
      <c r="F46" s="259">
        <f t="shared" si="5"/>
        <v>-6.8174841917858678E-2</v>
      </c>
    </row>
    <row r="47" spans="1:6" ht="20.25" customHeight="1" x14ac:dyDescent="0.3">
      <c r="A47" s="256">
        <v>8</v>
      </c>
      <c r="B47" s="257" t="s">
        <v>446</v>
      </c>
      <c r="C47" s="260">
        <v>2490</v>
      </c>
      <c r="D47" s="260">
        <v>2695</v>
      </c>
      <c r="E47" s="260">
        <f t="shared" si="4"/>
        <v>205</v>
      </c>
      <c r="F47" s="259">
        <f t="shared" si="5"/>
        <v>8.2329317269076302E-2</v>
      </c>
    </row>
    <row r="48" spans="1:6" ht="20.25" customHeight="1" x14ac:dyDescent="0.3">
      <c r="A48" s="256">
        <v>9</v>
      </c>
      <c r="B48" s="257" t="s">
        <v>447</v>
      </c>
      <c r="C48" s="260">
        <v>734</v>
      </c>
      <c r="D48" s="260">
        <v>795</v>
      </c>
      <c r="E48" s="260">
        <f t="shared" si="4"/>
        <v>61</v>
      </c>
      <c r="F48" s="259">
        <f t="shared" si="5"/>
        <v>8.3106267029972758E-2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76358422</v>
      </c>
      <c r="D49" s="263">
        <f>+D40+D42</f>
        <v>81437220</v>
      </c>
      <c r="E49" s="263">
        <f t="shared" si="4"/>
        <v>5078798</v>
      </c>
      <c r="F49" s="264">
        <f t="shared" si="5"/>
        <v>6.6512610750389792E-2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15088664</v>
      </c>
      <c r="D50" s="263">
        <f>+D41+D43</f>
        <v>16273956</v>
      </c>
      <c r="E50" s="263">
        <f t="shared" si="4"/>
        <v>1185292</v>
      </c>
      <c r="F50" s="264">
        <f t="shared" si="5"/>
        <v>7.8555132515377102E-2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24166441</v>
      </c>
      <c r="D66" s="258">
        <v>19011609</v>
      </c>
      <c r="E66" s="258">
        <f t="shared" ref="E66:E76" si="8">D66-C66</f>
        <v>-5154832</v>
      </c>
      <c r="F66" s="259">
        <f t="shared" ref="F66:F76" si="9">IF(C66=0,0,E66/C66)</f>
        <v>-0.21330538493442208</v>
      </c>
    </row>
    <row r="67" spans="1:6" ht="20.25" customHeight="1" x14ac:dyDescent="0.3">
      <c r="A67" s="256">
        <v>2</v>
      </c>
      <c r="B67" s="257" t="s">
        <v>442</v>
      </c>
      <c r="C67" s="258">
        <v>5258481</v>
      </c>
      <c r="D67" s="258">
        <v>4332084</v>
      </c>
      <c r="E67" s="258">
        <f t="shared" si="8"/>
        <v>-926397</v>
      </c>
      <c r="F67" s="259">
        <f t="shared" si="9"/>
        <v>-0.17617197818153188</v>
      </c>
    </row>
    <row r="68" spans="1:6" ht="20.25" customHeight="1" x14ac:dyDescent="0.3">
      <c r="A68" s="256">
        <v>3</v>
      </c>
      <c r="B68" s="257" t="s">
        <v>443</v>
      </c>
      <c r="C68" s="258">
        <v>15488483</v>
      </c>
      <c r="D68" s="258">
        <v>13386771</v>
      </c>
      <c r="E68" s="258">
        <f t="shared" si="8"/>
        <v>-2101712</v>
      </c>
      <c r="F68" s="259">
        <f t="shared" si="9"/>
        <v>-0.13569514845320874</v>
      </c>
    </row>
    <row r="69" spans="1:6" ht="20.25" customHeight="1" x14ac:dyDescent="0.3">
      <c r="A69" s="256">
        <v>4</v>
      </c>
      <c r="B69" s="257" t="s">
        <v>444</v>
      </c>
      <c r="C69" s="258">
        <v>2709176</v>
      </c>
      <c r="D69" s="258">
        <v>2246634</v>
      </c>
      <c r="E69" s="258">
        <f t="shared" si="8"/>
        <v>-462542</v>
      </c>
      <c r="F69" s="259">
        <f t="shared" si="9"/>
        <v>-0.17073161728879926</v>
      </c>
    </row>
    <row r="70" spans="1:6" ht="20.25" customHeight="1" x14ac:dyDescent="0.3">
      <c r="A70" s="256">
        <v>5</v>
      </c>
      <c r="B70" s="257" t="s">
        <v>381</v>
      </c>
      <c r="C70" s="260">
        <v>505</v>
      </c>
      <c r="D70" s="260">
        <v>389</v>
      </c>
      <c r="E70" s="260">
        <f t="shared" si="8"/>
        <v>-116</v>
      </c>
      <c r="F70" s="259">
        <f t="shared" si="9"/>
        <v>-0.22970297029702971</v>
      </c>
    </row>
    <row r="71" spans="1:6" ht="20.25" customHeight="1" x14ac:dyDescent="0.3">
      <c r="A71" s="256">
        <v>6</v>
      </c>
      <c r="B71" s="257" t="s">
        <v>380</v>
      </c>
      <c r="C71" s="260">
        <v>2391</v>
      </c>
      <c r="D71" s="260">
        <v>1832</v>
      </c>
      <c r="E71" s="260">
        <f t="shared" si="8"/>
        <v>-559</v>
      </c>
      <c r="F71" s="259">
        <f t="shared" si="9"/>
        <v>-0.23379339188624007</v>
      </c>
    </row>
    <row r="72" spans="1:6" ht="20.25" customHeight="1" x14ac:dyDescent="0.3">
      <c r="A72" s="256">
        <v>7</v>
      </c>
      <c r="B72" s="257" t="s">
        <v>445</v>
      </c>
      <c r="C72" s="260">
        <v>14108</v>
      </c>
      <c r="D72" s="260">
        <v>10688</v>
      </c>
      <c r="E72" s="260">
        <f t="shared" si="8"/>
        <v>-3420</v>
      </c>
      <c r="F72" s="259">
        <f t="shared" si="9"/>
        <v>-0.24241565069464133</v>
      </c>
    </row>
    <row r="73" spans="1:6" ht="20.25" customHeight="1" x14ac:dyDescent="0.3">
      <c r="A73" s="256">
        <v>8</v>
      </c>
      <c r="B73" s="257" t="s">
        <v>446</v>
      </c>
      <c r="C73" s="260">
        <v>1078</v>
      </c>
      <c r="D73" s="260">
        <v>949</v>
      </c>
      <c r="E73" s="260">
        <f t="shared" si="8"/>
        <v>-129</v>
      </c>
      <c r="F73" s="259">
        <f t="shared" si="9"/>
        <v>-0.11966604823747681</v>
      </c>
    </row>
    <row r="74" spans="1:6" ht="20.25" customHeight="1" x14ac:dyDescent="0.3">
      <c r="A74" s="256">
        <v>9</v>
      </c>
      <c r="B74" s="257" t="s">
        <v>447</v>
      </c>
      <c r="C74" s="260">
        <v>446</v>
      </c>
      <c r="D74" s="260">
        <v>354</v>
      </c>
      <c r="E74" s="260">
        <f t="shared" si="8"/>
        <v>-92</v>
      </c>
      <c r="F74" s="259">
        <f t="shared" si="9"/>
        <v>-0.20627802690582961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39654924</v>
      </c>
      <c r="D75" s="263">
        <f>+D66+D68</f>
        <v>32398380</v>
      </c>
      <c r="E75" s="263">
        <f t="shared" si="8"/>
        <v>-7256544</v>
      </c>
      <c r="F75" s="264">
        <f t="shared" si="9"/>
        <v>-0.18299225589235779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7967657</v>
      </c>
      <c r="D76" s="263">
        <f>+D67+D69</f>
        <v>6578718</v>
      </c>
      <c r="E76" s="263">
        <f t="shared" si="8"/>
        <v>-1388939</v>
      </c>
      <c r="F76" s="264">
        <f t="shared" si="9"/>
        <v>-0.17432213761209853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65021901</v>
      </c>
      <c r="D198" s="263">
        <f t="shared" si="28"/>
        <v>65233790</v>
      </c>
      <c r="E198" s="263">
        <f t="shared" ref="E198:E208" si="29">D198-C198</f>
        <v>211889</v>
      </c>
      <c r="F198" s="273">
        <f t="shared" ref="F198:F208" si="30">IF(C198=0,0,E198/C198)</f>
        <v>3.2587327768223819E-3</v>
      </c>
    </row>
    <row r="199" spans="1:9" ht="20.25" customHeight="1" x14ac:dyDescent="0.3">
      <c r="A199" s="271"/>
      <c r="B199" s="272" t="s">
        <v>466</v>
      </c>
      <c r="C199" s="263">
        <f t="shared" si="28"/>
        <v>14148398</v>
      </c>
      <c r="D199" s="263">
        <f t="shared" si="28"/>
        <v>14864511</v>
      </c>
      <c r="E199" s="263">
        <f t="shared" si="29"/>
        <v>716113</v>
      </c>
      <c r="F199" s="273">
        <f t="shared" si="30"/>
        <v>5.0614422919117767E-2</v>
      </c>
    </row>
    <row r="200" spans="1:9" ht="20.25" customHeight="1" x14ac:dyDescent="0.3">
      <c r="A200" s="271"/>
      <c r="B200" s="272" t="s">
        <v>467</v>
      </c>
      <c r="C200" s="263">
        <f t="shared" si="28"/>
        <v>51578756</v>
      </c>
      <c r="D200" s="263">
        <f t="shared" si="28"/>
        <v>53823193</v>
      </c>
      <c r="E200" s="263">
        <f t="shared" si="29"/>
        <v>2244437</v>
      </c>
      <c r="F200" s="273">
        <f t="shared" si="30"/>
        <v>4.351475634658579E-2</v>
      </c>
    </row>
    <row r="201" spans="1:9" ht="20.25" customHeight="1" x14ac:dyDescent="0.3">
      <c r="A201" s="271"/>
      <c r="B201" s="272" t="s">
        <v>468</v>
      </c>
      <c r="C201" s="263">
        <f t="shared" si="28"/>
        <v>9021925</v>
      </c>
      <c r="D201" s="263">
        <f t="shared" si="28"/>
        <v>9032873</v>
      </c>
      <c r="E201" s="263">
        <f t="shared" si="29"/>
        <v>10948</v>
      </c>
      <c r="F201" s="273">
        <f t="shared" si="30"/>
        <v>1.2134882522299843E-3</v>
      </c>
    </row>
    <row r="202" spans="1:9" ht="20.25" customHeight="1" x14ac:dyDescent="0.3">
      <c r="A202" s="271"/>
      <c r="B202" s="272" t="s">
        <v>138</v>
      </c>
      <c r="C202" s="274">
        <f t="shared" si="28"/>
        <v>1411</v>
      </c>
      <c r="D202" s="274">
        <f t="shared" si="28"/>
        <v>1401</v>
      </c>
      <c r="E202" s="274">
        <f t="shared" si="29"/>
        <v>-10</v>
      </c>
      <c r="F202" s="273">
        <f t="shared" si="30"/>
        <v>-7.0871722182849041E-3</v>
      </c>
    </row>
    <row r="203" spans="1:9" ht="20.25" customHeight="1" x14ac:dyDescent="0.3">
      <c r="A203" s="271"/>
      <c r="B203" s="272" t="s">
        <v>140</v>
      </c>
      <c r="C203" s="274">
        <f t="shared" si="28"/>
        <v>6402</v>
      </c>
      <c r="D203" s="274">
        <f t="shared" si="28"/>
        <v>6184</v>
      </c>
      <c r="E203" s="274">
        <f t="shared" si="29"/>
        <v>-218</v>
      </c>
      <c r="F203" s="273">
        <f t="shared" si="30"/>
        <v>-3.4051858794126838E-2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46980</v>
      </c>
      <c r="D204" s="274">
        <f t="shared" si="28"/>
        <v>42974</v>
      </c>
      <c r="E204" s="274">
        <f t="shared" si="29"/>
        <v>-4006</v>
      </c>
      <c r="F204" s="273">
        <f t="shared" si="30"/>
        <v>-8.5270327799063433E-2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3591</v>
      </c>
      <c r="D205" s="274">
        <f t="shared" si="28"/>
        <v>3815</v>
      </c>
      <c r="E205" s="274">
        <f t="shared" si="29"/>
        <v>224</v>
      </c>
      <c r="F205" s="273">
        <f t="shared" si="30"/>
        <v>6.2378167641325533E-2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1183</v>
      </c>
      <c r="D206" s="274">
        <f t="shared" si="28"/>
        <v>1212</v>
      </c>
      <c r="E206" s="274">
        <f t="shared" si="29"/>
        <v>29</v>
      </c>
      <c r="F206" s="273">
        <f t="shared" si="30"/>
        <v>2.4513947590870666E-2</v>
      </c>
    </row>
    <row r="207" spans="1:9" ht="20.25" customHeight="1" x14ac:dyDescent="0.3">
      <c r="A207" s="271"/>
      <c r="B207" s="262" t="s">
        <v>471</v>
      </c>
      <c r="C207" s="263">
        <f>+C198+C200</f>
        <v>116600657</v>
      </c>
      <c r="D207" s="263">
        <f>+D198+D200</f>
        <v>119056983</v>
      </c>
      <c r="E207" s="263">
        <f t="shared" si="29"/>
        <v>2456326</v>
      </c>
      <c r="F207" s="273">
        <f t="shared" si="30"/>
        <v>2.1066142020108859E-2</v>
      </c>
    </row>
    <row r="208" spans="1:9" ht="20.25" customHeight="1" x14ac:dyDescent="0.3">
      <c r="A208" s="271"/>
      <c r="B208" s="262" t="s">
        <v>472</v>
      </c>
      <c r="C208" s="263">
        <f>+C199+C201</f>
        <v>23170323</v>
      </c>
      <c r="D208" s="263">
        <f>+D199+D201</f>
        <v>23897384</v>
      </c>
      <c r="E208" s="263">
        <f t="shared" si="29"/>
        <v>727061</v>
      </c>
      <c r="F208" s="273">
        <f t="shared" si="30"/>
        <v>3.1378975597362198E-2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FILING&amp;RMIDDLESEX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FILING&amp;RMIDDLESEX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43344000</v>
      </c>
      <c r="D13" s="22">
        <v>39755000</v>
      </c>
      <c r="E13" s="22">
        <f t="shared" ref="E13:E22" si="0">D13-C13</f>
        <v>-3589000</v>
      </c>
      <c r="F13" s="306">
        <f t="shared" ref="F13:F22" si="1">IF(C13=0,0,E13/C13)</f>
        <v>-8.2802694721299377E-2</v>
      </c>
    </row>
    <row r="14" spans="1:8" ht="24" customHeight="1" x14ac:dyDescent="0.2">
      <c r="A14" s="304">
        <v>2</v>
      </c>
      <c r="B14" s="305" t="s">
        <v>17</v>
      </c>
      <c r="C14" s="22">
        <v>20741000</v>
      </c>
      <c r="D14" s="22">
        <v>21491000</v>
      </c>
      <c r="E14" s="22">
        <f t="shared" si="0"/>
        <v>750000</v>
      </c>
      <c r="F14" s="306">
        <f t="shared" si="1"/>
        <v>3.6160262282435754E-2</v>
      </c>
    </row>
    <row r="15" spans="1:8" ht="35.1" customHeight="1" x14ac:dyDescent="0.2">
      <c r="A15" s="304">
        <v>3</v>
      </c>
      <c r="B15" s="305" t="s">
        <v>18</v>
      </c>
      <c r="C15" s="22">
        <v>44833000</v>
      </c>
      <c r="D15" s="22">
        <v>44515000</v>
      </c>
      <c r="E15" s="22">
        <f t="shared" si="0"/>
        <v>-318000</v>
      </c>
      <c r="F15" s="306">
        <f t="shared" si="1"/>
        <v>-7.0929895389556796E-3</v>
      </c>
    </row>
    <row r="16" spans="1:8" ht="35.1" customHeight="1" x14ac:dyDescent="0.2">
      <c r="A16" s="304">
        <v>4</v>
      </c>
      <c r="B16" s="305" t="s">
        <v>19</v>
      </c>
      <c r="C16" s="22">
        <v>4174000</v>
      </c>
      <c r="D16" s="22">
        <v>4365000</v>
      </c>
      <c r="E16" s="22">
        <f t="shared" si="0"/>
        <v>191000</v>
      </c>
      <c r="F16" s="306">
        <f t="shared" si="1"/>
        <v>4.5759463344513654E-2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2914000</v>
      </c>
      <c r="D18" s="22">
        <v>808000</v>
      </c>
      <c r="E18" s="22">
        <f t="shared" si="0"/>
        <v>-2106000</v>
      </c>
      <c r="F18" s="306">
        <f t="shared" si="1"/>
        <v>-0.7227179135209334</v>
      </c>
    </row>
    <row r="19" spans="1:11" ht="24" customHeight="1" x14ac:dyDescent="0.2">
      <c r="A19" s="304">
        <v>7</v>
      </c>
      <c r="B19" s="305" t="s">
        <v>22</v>
      </c>
      <c r="C19" s="22">
        <v>1251000</v>
      </c>
      <c r="D19" s="22">
        <v>1161000</v>
      </c>
      <c r="E19" s="22">
        <f t="shared" si="0"/>
        <v>-90000</v>
      </c>
      <c r="F19" s="306">
        <f t="shared" si="1"/>
        <v>-7.1942446043165464E-2</v>
      </c>
    </row>
    <row r="20" spans="1:11" ht="24" customHeight="1" x14ac:dyDescent="0.2">
      <c r="A20" s="304">
        <v>8</v>
      </c>
      <c r="B20" s="305" t="s">
        <v>23</v>
      </c>
      <c r="C20" s="22">
        <v>2589000</v>
      </c>
      <c r="D20" s="22">
        <v>2633000</v>
      </c>
      <c r="E20" s="22">
        <f t="shared" si="0"/>
        <v>44000</v>
      </c>
      <c r="F20" s="306">
        <f t="shared" si="1"/>
        <v>1.6994978756276556E-2</v>
      </c>
    </row>
    <row r="21" spans="1:11" ht="24" customHeight="1" x14ac:dyDescent="0.2">
      <c r="A21" s="304">
        <v>9</v>
      </c>
      <c r="B21" s="305" t="s">
        <v>24</v>
      </c>
      <c r="C21" s="22">
        <v>3760000</v>
      </c>
      <c r="D21" s="22">
        <v>3273000</v>
      </c>
      <c r="E21" s="22">
        <f t="shared" si="0"/>
        <v>-487000</v>
      </c>
      <c r="F21" s="306">
        <f t="shared" si="1"/>
        <v>-0.12952127659574469</v>
      </c>
    </row>
    <row r="22" spans="1:11" ht="24" customHeight="1" x14ac:dyDescent="0.25">
      <c r="A22" s="307"/>
      <c r="B22" s="308" t="s">
        <v>25</v>
      </c>
      <c r="C22" s="309">
        <f>SUM(C13:C21)</f>
        <v>123606000</v>
      </c>
      <c r="D22" s="309">
        <f>SUM(D13:D21)</f>
        <v>118001000</v>
      </c>
      <c r="E22" s="309">
        <f t="shared" si="0"/>
        <v>-5605000</v>
      </c>
      <c r="F22" s="310">
        <f t="shared" si="1"/>
        <v>-4.5345695192789991E-2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9212000</v>
      </c>
      <c r="D25" s="22">
        <v>10443000</v>
      </c>
      <c r="E25" s="22">
        <f>D25-C25</f>
        <v>1231000</v>
      </c>
      <c r="F25" s="306">
        <f>IF(C25=0,0,E25/C25)</f>
        <v>0.13363004776378637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109616000</v>
      </c>
      <c r="D26" s="22">
        <v>119801000</v>
      </c>
      <c r="E26" s="22">
        <f>D26-C26</f>
        <v>10185000</v>
      </c>
      <c r="F26" s="306">
        <f>IF(C26=0,0,E26/C26)</f>
        <v>9.2915267844110347E-2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15249000</v>
      </c>
      <c r="D28" s="22">
        <v>16044000</v>
      </c>
      <c r="E28" s="22">
        <f>D28-C28</f>
        <v>795000</v>
      </c>
      <c r="F28" s="306">
        <f>IF(C28=0,0,E28/C28)</f>
        <v>5.2134566201062361E-2</v>
      </c>
    </row>
    <row r="29" spans="1:11" ht="35.1" customHeight="1" x14ac:dyDescent="0.25">
      <c r="A29" s="307"/>
      <c r="B29" s="308" t="s">
        <v>32</v>
      </c>
      <c r="C29" s="309">
        <f>SUM(C25:C28)</f>
        <v>134077000</v>
      </c>
      <c r="D29" s="309">
        <f>SUM(D25:D28)</f>
        <v>146288000</v>
      </c>
      <c r="E29" s="309">
        <f>D29-C29</f>
        <v>12211000</v>
      </c>
      <c r="F29" s="310">
        <f>IF(C29=0,0,E29/C29)</f>
        <v>9.1074531798891675E-2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15090000</v>
      </c>
      <c r="D32" s="22">
        <v>23461000</v>
      </c>
      <c r="E32" s="22">
        <f>D32-C32</f>
        <v>8371000</v>
      </c>
      <c r="F32" s="306">
        <f>IF(C32=0,0,E32/C32)</f>
        <v>0.55473823724320748</v>
      </c>
    </row>
    <row r="33" spans="1:8" ht="24" customHeight="1" x14ac:dyDescent="0.2">
      <c r="A33" s="304">
        <v>7</v>
      </c>
      <c r="B33" s="305" t="s">
        <v>35</v>
      </c>
      <c r="C33" s="22">
        <v>6654000</v>
      </c>
      <c r="D33" s="22">
        <v>7811000</v>
      </c>
      <c r="E33" s="22">
        <f>D33-C33</f>
        <v>1157000</v>
      </c>
      <c r="F33" s="306">
        <f>IF(C33=0,0,E33/C33)</f>
        <v>0.17388037270814546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415182000</v>
      </c>
      <c r="D36" s="22">
        <v>455719000</v>
      </c>
      <c r="E36" s="22">
        <f>D36-C36</f>
        <v>40537000</v>
      </c>
      <c r="F36" s="306">
        <f>IF(C36=0,0,E36/C36)</f>
        <v>9.7636699086183887E-2</v>
      </c>
    </row>
    <row r="37" spans="1:8" ht="24" customHeight="1" x14ac:dyDescent="0.2">
      <c r="A37" s="304">
        <v>2</v>
      </c>
      <c r="B37" s="305" t="s">
        <v>39</v>
      </c>
      <c r="C37" s="22">
        <v>238640000</v>
      </c>
      <c r="D37" s="22">
        <v>261664000</v>
      </c>
      <c r="E37" s="22">
        <f>D37-C37</f>
        <v>23024000</v>
      </c>
      <c r="F37" s="22">
        <f>IF(C37=0,0,E37/C37)</f>
        <v>9.6480053637277907E-2</v>
      </c>
    </row>
    <row r="38" spans="1:8" ht="24" customHeight="1" x14ac:dyDescent="0.25">
      <c r="A38" s="307"/>
      <c r="B38" s="308" t="s">
        <v>40</v>
      </c>
      <c r="C38" s="309">
        <f>C36-C37</f>
        <v>176542000</v>
      </c>
      <c r="D38" s="309">
        <f>D36-D37</f>
        <v>194055000</v>
      </c>
      <c r="E38" s="309">
        <f>D38-C38</f>
        <v>17513000</v>
      </c>
      <c r="F38" s="310">
        <f>IF(C38=0,0,E38/C38)</f>
        <v>9.9200190322982634E-2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18586000</v>
      </c>
      <c r="D40" s="22">
        <v>8049000</v>
      </c>
      <c r="E40" s="22">
        <f>D40-C40</f>
        <v>-10537000</v>
      </c>
      <c r="F40" s="306">
        <f>IF(C40=0,0,E40/C40)</f>
        <v>-0.56693209942967826</v>
      </c>
    </row>
    <row r="41" spans="1:8" ht="24" customHeight="1" x14ac:dyDescent="0.25">
      <c r="A41" s="307"/>
      <c r="B41" s="308" t="s">
        <v>42</v>
      </c>
      <c r="C41" s="309">
        <f>+C38+C40</f>
        <v>195128000</v>
      </c>
      <c r="D41" s="309">
        <f>+D38+D40</f>
        <v>202104000</v>
      </c>
      <c r="E41" s="309">
        <f>D41-C41</f>
        <v>6976000</v>
      </c>
      <c r="F41" s="310">
        <f>IF(C41=0,0,E41/C41)</f>
        <v>3.5750891722356605E-2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474555000</v>
      </c>
      <c r="D43" s="309">
        <f>D22+D29+D31+D32+D33+D41</f>
        <v>497665000</v>
      </c>
      <c r="E43" s="309">
        <f>D43-C43</f>
        <v>23110000</v>
      </c>
      <c r="F43" s="310">
        <f>IF(C43=0,0,E43/C43)</f>
        <v>4.8698254153891542E-2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17040000</v>
      </c>
      <c r="D49" s="22">
        <v>21761000</v>
      </c>
      <c r="E49" s="22">
        <f t="shared" ref="E49:E56" si="2">D49-C49</f>
        <v>4721000</v>
      </c>
      <c r="F49" s="306">
        <f t="shared" ref="F49:F56" si="3">IF(C49=0,0,E49/C49)</f>
        <v>0.27705399061032865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32899000</v>
      </c>
      <c r="D50" s="22">
        <v>34614000</v>
      </c>
      <c r="E50" s="22">
        <f t="shared" si="2"/>
        <v>1715000</v>
      </c>
      <c r="F50" s="306">
        <f t="shared" si="3"/>
        <v>5.2129244049971123E-2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3400000</v>
      </c>
      <c r="D53" s="22">
        <v>3530000</v>
      </c>
      <c r="E53" s="22">
        <f t="shared" si="2"/>
        <v>130000</v>
      </c>
      <c r="F53" s="306">
        <f t="shared" si="3"/>
        <v>3.8235294117647062E-2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87000</v>
      </c>
      <c r="D54" s="22">
        <v>85000</v>
      </c>
      <c r="E54" s="22">
        <f t="shared" si="2"/>
        <v>-2000</v>
      </c>
      <c r="F54" s="306">
        <f t="shared" si="3"/>
        <v>-2.2988505747126436E-2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6461000</v>
      </c>
      <c r="D55" s="22">
        <v>6545000</v>
      </c>
      <c r="E55" s="22">
        <f t="shared" si="2"/>
        <v>84000</v>
      </c>
      <c r="F55" s="306">
        <f t="shared" si="3"/>
        <v>1.3001083423618635E-2</v>
      </c>
    </row>
    <row r="56" spans="1:6" ht="24" customHeight="1" x14ac:dyDescent="0.25">
      <c r="A56" s="307"/>
      <c r="B56" s="308" t="s">
        <v>54</v>
      </c>
      <c r="C56" s="309">
        <f>SUM(C49:C55)</f>
        <v>59887000</v>
      </c>
      <c r="D56" s="309">
        <f>SUM(D49:D55)</f>
        <v>66535000</v>
      </c>
      <c r="E56" s="309">
        <f t="shared" si="2"/>
        <v>6648000</v>
      </c>
      <c r="F56" s="310">
        <f t="shared" si="3"/>
        <v>0.11100906707632709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64874000</v>
      </c>
      <c r="D59" s="22">
        <v>61230000</v>
      </c>
      <c r="E59" s="22">
        <f>D59-C59</f>
        <v>-3644000</v>
      </c>
      <c r="F59" s="306">
        <f>IF(C59=0,0,E59/C59)</f>
        <v>-5.6170422665474611E-2</v>
      </c>
    </row>
    <row r="60" spans="1:6" ht="24" customHeight="1" x14ac:dyDescent="0.2">
      <c r="A60" s="304">
        <v>2</v>
      </c>
      <c r="B60" s="305" t="s">
        <v>57</v>
      </c>
      <c r="C60" s="22">
        <v>869000</v>
      </c>
      <c r="D60" s="22">
        <v>784000</v>
      </c>
      <c r="E60" s="22">
        <f>D60-C60</f>
        <v>-85000</v>
      </c>
      <c r="F60" s="306">
        <f>IF(C60=0,0,E60/C60)</f>
        <v>-9.7813578826237049E-2</v>
      </c>
    </row>
    <row r="61" spans="1:6" ht="24" customHeight="1" x14ac:dyDescent="0.25">
      <c r="A61" s="307"/>
      <c r="B61" s="308" t="s">
        <v>58</v>
      </c>
      <c r="C61" s="309">
        <f>SUM(C59:C60)</f>
        <v>65743000</v>
      </c>
      <c r="D61" s="309">
        <f>SUM(D59:D60)</f>
        <v>62014000</v>
      </c>
      <c r="E61" s="309">
        <f>D61-C61</f>
        <v>-3729000</v>
      </c>
      <c r="F61" s="310">
        <f>IF(C61=0,0,E61/C61)</f>
        <v>-5.6720867620887398E-2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48985000</v>
      </c>
      <c r="D63" s="22">
        <v>45992000</v>
      </c>
      <c r="E63" s="22">
        <f>D63-C63</f>
        <v>-2993000</v>
      </c>
      <c r="F63" s="306">
        <f>IF(C63=0,0,E63/C63)</f>
        <v>-6.1100336837807495E-2</v>
      </c>
    </row>
    <row r="64" spans="1:6" ht="24" customHeight="1" x14ac:dyDescent="0.2">
      <c r="A64" s="304">
        <v>4</v>
      </c>
      <c r="B64" s="305" t="s">
        <v>60</v>
      </c>
      <c r="C64" s="22">
        <v>29621000</v>
      </c>
      <c r="D64" s="22">
        <v>29524000</v>
      </c>
      <c r="E64" s="22">
        <f>D64-C64</f>
        <v>-97000</v>
      </c>
      <c r="F64" s="306">
        <f>IF(C64=0,0,E64/C64)</f>
        <v>-3.2747037574693627E-3</v>
      </c>
    </row>
    <row r="65" spans="1:6" ht="24" customHeight="1" x14ac:dyDescent="0.25">
      <c r="A65" s="307"/>
      <c r="B65" s="308" t="s">
        <v>61</v>
      </c>
      <c r="C65" s="309">
        <f>SUM(C61:C64)</f>
        <v>144349000</v>
      </c>
      <c r="D65" s="309">
        <f>SUM(D61:D64)</f>
        <v>137530000</v>
      </c>
      <c r="E65" s="309">
        <f>D65-C65</f>
        <v>-6819000</v>
      </c>
      <c r="F65" s="310">
        <f>IF(C65=0,0,E65/C65)</f>
        <v>-4.7239676062875394E-2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253975000</v>
      </c>
      <c r="D70" s="22">
        <v>276492000</v>
      </c>
      <c r="E70" s="22">
        <f>D70-C70</f>
        <v>22517000</v>
      </c>
      <c r="F70" s="306">
        <f>IF(C70=0,0,E70/C70)</f>
        <v>8.8658332513042629E-2</v>
      </c>
    </row>
    <row r="71" spans="1:6" ht="24" customHeight="1" x14ac:dyDescent="0.2">
      <c r="A71" s="304">
        <v>2</v>
      </c>
      <c r="B71" s="305" t="s">
        <v>65</v>
      </c>
      <c r="C71" s="22">
        <v>9368000</v>
      </c>
      <c r="D71" s="22">
        <v>10131000</v>
      </c>
      <c r="E71" s="22">
        <f>D71-C71</f>
        <v>763000</v>
      </c>
      <c r="F71" s="306">
        <f>IF(C71=0,0,E71/C71)</f>
        <v>8.1447480785653281E-2</v>
      </c>
    </row>
    <row r="72" spans="1:6" ht="24" customHeight="1" x14ac:dyDescent="0.2">
      <c r="A72" s="304">
        <v>3</v>
      </c>
      <c r="B72" s="305" t="s">
        <v>66</v>
      </c>
      <c r="C72" s="22">
        <v>6976000</v>
      </c>
      <c r="D72" s="22">
        <v>6977000</v>
      </c>
      <c r="E72" s="22">
        <f>D72-C72</f>
        <v>1000</v>
      </c>
      <c r="F72" s="306">
        <f>IF(C72=0,0,E72/C72)</f>
        <v>1.4334862385321102E-4</v>
      </c>
    </row>
    <row r="73" spans="1:6" ht="24" customHeight="1" x14ac:dyDescent="0.25">
      <c r="A73" s="304"/>
      <c r="B73" s="308" t="s">
        <v>67</v>
      </c>
      <c r="C73" s="309">
        <f>SUM(C70:C72)</f>
        <v>270319000</v>
      </c>
      <c r="D73" s="309">
        <f>SUM(D70:D72)</f>
        <v>293600000</v>
      </c>
      <c r="E73" s="309">
        <f>D73-C73</f>
        <v>23281000</v>
      </c>
      <c r="F73" s="310">
        <f>IF(C73=0,0,E73/C73)</f>
        <v>8.6124171811822331E-2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474555000</v>
      </c>
      <c r="D75" s="309">
        <f>D56+D65+D67+D73</f>
        <v>497665000</v>
      </c>
      <c r="E75" s="309">
        <f>D75-C75</f>
        <v>23110000</v>
      </c>
      <c r="F75" s="310">
        <f>IF(C75=0,0,E75/C75)</f>
        <v>4.8698254153891542E-2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FILING&amp;RMIDDLESEX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1238917000</v>
      </c>
      <c r="D11" s="76">
        <v>1296965000</v>
      </c>
      <c r="E11" s="76">
        <f t="shared" ref="E11:E20" si="0">D11-C11</f>
        <v>58048000</v>
      </c>
      <c r="F11" s="77">
        <f t="shared" ref="F11:F20" si="1">IF(C11=0,0,E11/C11)</f>
        <v>4.6853824751779176E-2</v>
      </c>
    </row>
    <row r="12" spans="1:7" ht="23.1" customHeight="1" x14ac:dyDescent="0.2">
      <c r="A12" s="74">
        <v>2</v>
      </c>
      <c r="B12" s="75" t="s">
        <v>72</v>
      </c>
      <c r="C12" s="76">
        <v>857418000</v>
      </c>
      <c r="D12" s="76">
        <v>903947000</v>
      </c>
      <c r="E12" s="76">
        <f t="shared" si="0"/>
        <v>46529000</v>
      </c>
      <c r="F12" s="77">
        <f t="shared" si="1"/>
        <v>5.4266413814498878E-2</v>
      </c>
    </row>
    <row r="13" spans="1:7" ht="23.1" customHeight="1" x14ac:dyDescent="0.2">
      <c r="A13" s="74">
        <v>3</v>
      </c>
      <c r="B13" s="75" t="s">
        <v>73</v>
      </c>
      <c r="C13" s="76">
        <v>8530000</v>
      </c>
      <c r="D13" s="76">
        <v>8560000</v>
      </c>
      <c r="E13" s="76">
        <f t="shared" si="0"/>
        <v>30000</v>
      </c>
      <c r="F13" s="77">
        <f t="shared" si="1"/>
        <v>3.5169988276670576E-3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372969000</v>
      </c>
      <c r="D15" s="79">
        <f>D11-D12-D13-D14</f>
        <v>384458000</v>
      </c>
      <c r="E15" s="79">
        <f t="shared" si="0"/>
        <v>11489000</v>
      </c>
      <c r="F15" s="80">
        <f t="shared" si="1"/>
        <v>3.0804168711072503E-2</v>
      </c>
    </row>
    <row r="16" spans="1:7" ht="23.1" customHeight="1" x14ac:dyDescent="0.2">
      <c r="A16" s="74">
        <v>5</v>
      </c>
      <c r="B16" s="75" t="s">
        <v>76</v>
      </c>
      <c r="C16" s="76">
        <v>11209000</v>
      </c>
      <c r="D16" s="76">
        <v>14214000</v>
      </c>
      <c r="E16" s="76">
        <f t="shared" si="0"/>
        <v>3005000</v>
      </c>
      <c r="F16" s="77">
        <f t="shared" si="1"/>
        <v>0.26808814345615128</v>
      </c>
      <c r="G16" s="65"/>
    </row>
    <row r="17" spans="1:7" ht="31.5" customHeight="1" x14ac:dyDescent="0.25">
      <c r="A17" s="71"/>
      <c r="B17" s="81" t="s">
        <v>77</v>
      </c>
      <c r="C17" s="79">
        <f>C15-C16</f>
        <v>361760000</v>
      </c>
      <c r="D17" s="79">
        <f>D15-D16</f>
        <v>370244000</v>
      </c>
      <c r="E17" s="79">
        <f t="shared" si="0"/>
        <v>8484000</v>
      </c>
      <c r="F17" s="80">
        <f t="shared" si="1"/>
        <v>2.345201238390093E-2</v>
      </c>
    </row>
    <row r="18" spans="1:7" ht="23.1" customHeight="1" x14ac:dyDescent="0.2">
      <c r="A18" s="74">
        <v>6</v>
      </c>
      <c r="B18" s="75" t="s">
        <v>78</v>
      </c>
      <c r="C18" s="76">
        <v>12946000</v>
      </c>
      <c r="D18" s="76">
        <v>13560000</v>
      </c>
      <c r="E18" s="76">
        <f t="shared" si="0"/>
        <v>614000</v>
      </c>
      <c r="F18" s="77">
        <f t="shared" si="1"/>
        <v>4.7427776919511819E-2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374706000</v>
      </c>
      <c r="D20" s="79">
        <f>SUM(D17:D19)</f>
        <v>383804000</v>
      </c>
      <c r="E20" s="79">
        <f t="shared" si="0"/>
        <v>9098000</v>
      </c>
      <c r="F20" s="80">
        <f t="shared" si="1"/>
        <v>2.4280369142741242E-2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175890000</v>
      </c>
      <c r="D23" s="76">
        <v>178252000</v>
      </c>
      <c r="E23" s="76">
        <f t="shared" ref="E23:E32" si="2">D23-C23</f>
        <v>2362000</v>
      </c>
      <c r="F23" s="77">
        <f t="shared" ref="F23:F32" si="3">IF(C23=0,0,E23/C23)</f>
        <v>1.3428847575189039E-2</v>
      </c>
    </row>
    <row r="24" spans="1:7" ht="23.1" customHeight="1" x14ac:dyDescent="0.2">
      <c r="A24" s="74">
        <v>2</v>
      </c>
      <c r="B24" s="75" t="s">
        <v>83</v>
      </c>
      <c r="C24" s="76">
        <v>39223000</v>
      </c>
      <c r="D24" s="76">
        <v>39185000</v>
      </c>
      <c r="E24" s="76">
        <f t="shared" si="2"/>
        <v>-38000</v>
      </c>
      <c r="F24" s="77">
        <f t="shared" si="3"/>
        <v>-9.6881931519771558E-4</v>
      </c>
    </row>
    <row r="25" spans="1:7" ht="23.1" customHeight="1" x14ac:dyDescent="0.2">
      <c r="A25" s="74">
        <v>3</v>
      </c>
      <c r="B25" s="75" t="s">
        <v>84</v>
      </c>
      <c r="C25" s="76">
        <v>3450000</v>
      </c>
      <c r="D25" s="76">
        <v>3624974</v>
      </c>
      <c r="E25" s="76">
        <f t="shared" si="2"/>
        <v>174974</v>
      </c>
      <c r="F25" s="77">
        <f t="shared" si="3"/>
        <v>5.0717101449275361E-2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37787000</v>
      </c>
      <c r="D26" s="76">
        <v>37176000</v>
      </c>
      <c r="E26" s="76">
        <f t="shared" si="2"/>
        <v>-611000</v>
      </c>
      <c r="F26" s="77">
        <f t="shared" si="3"/>
        <v>-1.6169582131420859E-2</v>
      </c>
    </row>
    <row r="27" spans="1:7" ht="23.1" customHeight="1" x14ac:dyDescent="0.2">
      <c r="A27" s="74">
        <v>5</v>
      </c>
      <c r="B27" s="75" t="s">
        <v>86</v>
      </c>
      <c r="C27" s="76">
        <v>22813000</v>
      </c>
      <c r="D27" s="76">
        <v>23047000</v>
      </c>
      <c r="E27" s="76">
        <f t="shared" si="2"/>
        <v>234000</v>
      </c>
      <c r="F27" s="77">
        <f t="shared" si="3"/>
        <v>1.0257309428834436E-2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3300000</v>
      </c>
      <c r="D29" s="76">
        <v>3167000</v>
      </c>
      <c r="E29" s="76">
        <f t="shared" si="2"/>
        <v>-133000</v>
      </c>
      <c r="F29" s="77">
        <f t="shared" si="3"/>
        <v>-4.0303030303030306E-2</v>
      </c>
    </row>
    <row r="30" spans="1:7" ht="23.1" customHeight="1" x14ac:dyDescent="0.2">
      <c r="A30" s="74">
        <v>8</v>
      </c>
      <c r="B30" s="75" t="s">
        <v>89</v>
      </c>
      <c r="C30" s="76">
        <v>4632000</v>
      </c>
      <c r="D30" s="76">
        <v>3553148</v>
      </c>
      <c r="E30" s="76">
        <f t="shared" si="2"/>
        <v>-1078852</v>
      </c>
      <c r="F30" s="77">
        <f t="shared" si="3"/>
        <v>-0.23291278065630397</v>
      </c>
    </row>
    <row r="31" spans="1:7" ht="23.1" customHeight="1" x14ac:dyDescent="0.2">
      <c r="A31" s="74">
        <v>9</v>
      </c>
      <c r="B31" s="75" t="s">
        <v>90</v>
      </c>
      <c r="C31" s="76">
        <v>73262000</v>
      </c>
      <c r="D31" s="76">
        <v>78892878</v>
      </c>
      <c r="E31" s="76">
        <f t="shared" si="2"/>
        <v>5630878</v>
      </c>
      <c r="F31" s="77">
        <f t="shared" si="3"/>
        <v>7.6859463296115316E-2</v>
      </c>
    </row>
    <row r="32" spans="1:7" ht="23.1" customHeight="1" x14ac:dyDescent="0.25">
      <c r="A32" s="71"/>
      <c r="B32" s="78" t="s">
        <v>91</v>
      </c>
      <c r="C32" s="79">
        <f>SUM(C23:C31)</f>
        <v>360357000</v>
      </c>
      <c r="D32" s="79">
        <f>SUM(D23:D31)</f>
        <v>366898000</v>
      </c>
      <c r="E32" s="79">
        <f t="shared" si="2"/>
        <v>6541000</v>
      </c>
      <c r="F32" s="80">
        <f t="shared" si="3"/>
        <v>1.8151444262217747E-2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14349000</v>
      </c>
      <c r="D34" s="79">
        <f>+D20-D32</f>
        <v>16906000</v>
      </c>
      <c r="E34" s="79">
        <f>D34-C34</f>
        <v>2557000</v>
      </c>
      <c r="F34" s="80">
        <f>IF(C34=0,0,E34/C34)</f>
        <v>0.17820057146839502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5707000</v>
      </c>
      <c r="D37" s="76">
        <v>13454000</v>
      </c>
      <c r="E37" s="76">
        <f>D37-C37</f>
        <v>7747000</v>
      </c>
      <c r="F37" s="77">
        <f>IF(C37=0,0,E37/C37)</f>
        <v>1.3574557560890135</v>
      </c>
    </row>
    <row r="38" spans="1:6" ht="23.1" customHeight="1" x14ac:dyDescent="0.2">
      <c r="A38" s="85">
        <v>2</v>
      </c>
      <c r="B38" s="75" t="s">
        <v>95</v>
      </c>
      <c r="C38" s="76">
        <v>293000</v>
      </c>
      <c r="D38" s="76">
        <v>564000</v>
      </c>
      <c r="E38" s="76">
        <f>D38-C38</f>
        <v>271000</v>
      </c>
      <c r="F38" s="77">
        <f>IF(C38=0,0,E38/C38)</f>
        <v>0.92491467576791808</v>
      </c>
    </row>
    <row r="39" spans="1:6" ht="23.1" customHeight="1" x14ac:dyDescent="0.2">
      <c r="A39" s="85">
        <v>3</v>
      </c>
      <c r="B39" s="75" t="s">
        <v>96</v>
      </c>
      <c r="C39" s="76">
        <v>1155000</v>
      </c>
      <c r="D39" s="76">
        <v>980000</v>
      </c>
      <c r="E39" s="76">
        <f>D39-C39</f>
        <v>-175000</v>
      </c>
      <c r="F39" s="77">
        <f>IF(C39=0,0,E39/C39)</f>
        <v>-0.15151515151515152</v>
      </c>
    </row>
    <row r="40" spans="1:6" ht="23.1" customHeight="1" x14ac:dyDescent="0.25">
      <c r="A40" s="83"/>
      <c r="B40" s="78" t="s">
        <v>97</v>
      </c>
      <c r="C40" s="79">
        <f>SUM(C37:C39)</f>
        <v>7155000</v>
      </c>
      <c r="D40" s="79">
        <f>SUM(D37:D39)</f>
        <v>14998000</v>
      </c>
      <c r="E40" s="79">
        <f>D40-C40</f>
        <v>7843000</v>
      </c>
      <c r="F40" s="80">
        <f>IF(C40=0,0,E40/C40)</f>
        <v>1.0961565338923829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21504000</v>
      </c>
      <c r="D42" s="79">
        <f>D34+D40</f>
        <v>31904000</v>
      </c>
      <c r="E42" s="79">
        <f>D42-C42</f>
        <v>10400000</v>
      </c>
      <c r="F42" s="80">
        <f>IF(C42=0,0,E42/C42)</f>
        <v>0.48363095238095238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21504000</v>
      </c>
      <c r="D49" s="79">
        <f>D42+D47</f>
        <v>31904000</v>
      </c>
      <c r="E49" s="79">
        <f>D49-C49</f>
        <v>10400000</v>
      </c>
      <c r="F49" s="80">
        <f>IF(C49=0,0,E49/C49)</f>
        <v>0.48363095238095238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2015-07-07T13:08:08Z</cp:lastPrinted>
  <dcterms:created xsi:type="dcterms:W3CDTF">2015-07-07T13:02:38Z</dcterms:created>
  <dcterms:modified xsi:type="dcterms:W3CDTF">2015-07-07T13:08:15Z</dcterms:modified>
</cp:coreProperties>
</file>