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Report485!$A$11:$F$32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/>
  <c r="C91" i="22"/>
  <c r="C93" i="22" s="1"/>
  <c r="E87" i="22"/>
  <c r="D87" i="22"/>
  <c r="C87" i="22"/>
  <c r="E86" i="22"/>
  <c r="E88" i="22" s="1"/>
  <c r="D86" i="22"/>
  <c r="D88" i="22"/>
  <c r="C86" i="22"/>
  <c r="E83" i="22"/>
  <c r="D83" i="22"/>
  <c r="D102" i="22" s="1"/>
  <c r="C83" i="22"/>
  <c r="C102" i="22" s="1"/>
  <c r="E76" i="22"/>
  <c r="D76" i="22"/>
  <c r="C76" i="22"/>
  <c r="E75" i="22"/>
  <c r="E101" i="22" s="1"/>
  <c r="E77" i="22"/>
  <c r="D75" i="22"/>
  <c r="D77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 s="1"/>
  <c r="C12" i="22"/>
  <c r="C33" i="22"/>
  <c r="D21" i="21"/>
  <c r="E21" i="21" s="1"/>
  <c r="F21" i="21" s="1"/>
  <c r="C21" i="21"/>
  <c r="D19" i="21"/>
  <c r="E19" i="21"/>
  <c r="F19" i="21" s="1"/>
  <c r="C19" i="21"/>
  <c r="F17" i="21"/>
  <c r="E17" i="21"/>
  <c r="F15" i="21"/>
  <c r="E15" i="21"/>
  <c r="D45" i="20"/>
  <c r="E45" i="20" s="1"/>
  <c r="F45" i="20" s="1"/>
  <c r="C45" i="20"/>
  <c r="D44" i="20"/>
  <c r="E44" i="20" s="1"/>
  <c r="F44" i="20" s="1"/>
  <c r="C44" i="20"/>
  <c r="D43" i="20"/>
  <c r="C43" i="20"/>
  <c r="C46" i="20"/>
  <c r="D36" i="20"/>
  <c r="D40" i="20" s="1"/>
  <c r="E40" i="20" s="1"/>
  <c r="C36" i="20"/>
  <c r="C40" i="20"/>
  <c r="F35" i="20"/>
  <c r="E35" i="20"/>
  <c r="F34" i="20"/>
  <c r="E34" i="20"/>
  <c r="E33" i="20"/>
  <c r="F33" i="20" s="1"/>
  <c r="F30" i="20"/>
  <c r="E30" i="20"/>
  <c r="E29" i="20"/>
  <c r="F29" i="20" s="1"/>
  <c r="E28" i="20"/>
  <c r="F28" i="20" s="1"/>
  <c r="E27" i="20"/>
  <c r="F27" i="20" s="1"/>
  <c r="D25" i="20"/>
  <c r="D39" i="20" s="1"/>
  <c r="C25" i="20"/>
  <c r="C39" i="20" s="1"/>
  <c r="E24" i="20"/>
  <c r="F24" i="20" s="1"/>
  <c r="E23" i="20"/>
  <c r="F23" i="20" s="1"/>
  <c r="E22" i="20"/>
  <c r="F22" i="20" s="1"/>
  <c r="E25" i="20"/>
  <c r="F25" i="20" s="1"/>
  <c r="D19" i="20"/>
  <c r="D20" i="20" s="1"/>
  <c r="C19" i="20"/>
  <c r="C20" i="20"/>
  <c r="E18" i="20"/>
  <c r="F18" i="20" s="1"/>
  <c r="D16" i="20"/>
  <c r="E16" i="20" s="1"/>
  <c r="F16" i="20" s="1"/>
  <c r="C16" i="20"/>
  <c r="F15" i="20"/>
  <c r="E15" i="20"/>
  <c r="E13" i="20"/>
  <c r="F13" i="20" s="1"/>
  <c r="F12" i="20"/>
  <c r="E12" i="20"/>
  <c r="C115" i="19"/>
  <c r="C105" i="19"/>
  <c r="C137" i="19"/>
  <c r="C139" i="19" s="1"/>
  <c r="C143" i="19" s="1"/>
  <c r="C96" i="19"/>
  <c r="C95" i="19"/>
  <c r="C89" i="19"/>
  <c r="C88" i="19"/>
  <c r="C83" i="19"/>
  <c r="C77" i="19"/>
  <c r="C78" i="19" s="1"/>
  <c r="C63" i="19"/>
  <c r="C60" i="19"/>
  <c r="C59" i="19"/>
  <c r="C49" i="19"/>
  <c r="C48" i="19"/>
  <c r="C36" i="19"/>
  <c r="C32" i="19"/>
  <c r="C33" i="19" s="1"/>
  <c r="C21" i="19"/>
  <c r="C37" i="19"/>
  <c r="C38" i="19" s="1"/>
  <c r="C127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/>
  <c r="C314" i="18"/>
  <c r="C316" i="18" s="1"/>
  <c r="C320" i="18" s="1"/>
  <c r="E308" i="18"/>
  <c r="E305" i="18"/>
  <c r="D301" i="18"/>
  <c r="D303" i="18"/>
  <c r="E303" i="18" s="1"/>
  <c r="C301" i="18"/>
  <c r="E301" i="18" s="1"/>
  <c r="D293" i="18"/>
  <c r="E293" i="18" s="1"/>
  <c r="C293" i="18"/>
  <c r="D292" i="18"/>
  <c r="E292" i="18" s="1"/>
  <c r="C292" i="18"/>
  <c r="D291" i="18"/>
  <c r="E291" i="18"/>
  <c r="C291" i="18"/>
  <c r="D290" i="18"/>
  <c r="C290" i="18"/>
  <c r="E290" i="18"/>
  <c r="D288" i="18"/>
  <c r="E288" i="18" s="1"/>
  <c r="C288" i="18"/>
  <c r="D287" i="18"/>
  <c r="E287" i="18" s="1"/>
  <c r="C287" i="18"/>
  <c r="D282" i="18"/>
  <c r="C282" i="18"/>
  <c r="E282" i="18" s="1"/>
  <c r="D281" i="18"/>
  <c r="E281" i="18" s="1"/>
  <c r="C281" i="18"/>
  <c r="D280" i="18"/>
  <c r="E280" i="18" s="1"/>
  <c r="C280" i="18"/>
  <c r="D279" i="18"/>
  <c r="E279" i="18"/>
  <c r="C279" i="18"/>
  <c r="D278" i="18"/>
  <c r="E278" i="18" s="1"/>
  <c r="C278" i="18"/>
  <c r="D277" i="18"/>
  <c r="C277" i="18"/>
  <c r="D276" i="18"/>
  <c r="C276" i="18"/>
  <c r="E276" i="18"/>
  <c r="E270" i="18"/>
  <c r="D265" i="18"/>
  <c r="D302" i="18" s="1"/>
  <c r="C265" i="18"/>
  <c r="C302" i="18"/>
  <c r="D262" i="18"/>
  <c r="E262" i="18" s="1"/>
  <c r="C262" i="18"/>
  <c r="D251" i="18"/>
  <c r="C251" i="18"/>
  <c r="D233" i="18"/>
  <c r="C233" i="18"/>
  <c r="D232" i="18"/>
  <c r="E232" i="18"/>
  <c r="C232" i="18"/>
  <c r="D231" i="18"/>
  <c r="E231" i="18" s="1"/>
  <c r="C231" i="18"/>
  <c r="D230" i="18"/>
  <c r="E230" i="18"/>
  <c r="C230" i="18"/>
  <c r="D228" i="18"/>
  <c r="C228" i="18"/>
  <c r="E228" i="18" s="1"/>
  <c r="D227" i="18"/>
  <c r="E227" i="18" s="1"/>
  <c r="C227" i="18"/>
  <c r="D221" i="18"/>
  <c r="C221" i="18"/>
  <c r="C245" i="18" s="1"/>
  <c r="D220" i="18"/>
  <c r="C220" i="18"/>
  <c r="C244" i="18" s="1"/>
  <c r="D219" i="18"/>
  <c r="D243" i="18" s="1"/>
  <c r="E243" i="18" s="1"/>
  <c r="C219" i="18"/>
  <c r="C243" i="18" s="1"/>
  <c r="D218" i="18"/>
  <c r="D242" i="18" s="1"/>
  <c r="C218" i="18"/>
  <c r="C242" i="18" s="1"/>
  <c r="D217" i="18"/>
  <c r="D241" i="18" s="1"/>
  <c r="E241" i="18" s="1"/>
  <c r="D216" i="18"/>
  <c r="C216" i="18"/>
  <c r="D215" i="18"/>
  <c r="C215" i="18"/>
  <c r="C239" i="18" s="1"/>
  <c r="E209" i="18"/>
  <c r="E208" i="18"/>
  <c r="E207" i="18"/>
  <c r="E206" i="18"/>
  <c r="D205" i="18"/>
  <c r="C205" i="18"/>
  <c r="E204" i="18"/>
  <c r="E203" i="18"/>
  <c r="E197" i="18"/>
  <c r="E196" i="18"/>
  <c r="D195" i="18"/>
  <c r="D260" i="18" s="1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E179" i="18" s="1"/>
  <c r="C179" i="18"/>
  <c r="D178" i="18"/>
  <c r="E178" i="18" s="1"/>
  <c r="C178" i="18"/>
  <c r="D177" i="18"/>
  <c r="C177" i="18"/>
  <c r="E177" i="18" s="1"/>
  <c r="D176" i="18"/>
  <c r="E176" i="18" s="1"/>
  <c r="C176" i="18"/>
  <c r="D174" i="18"/>
  <c r="E174" i="18" s="1"/>
  <c r="C174" i="18"/>
  <c r="D173" i="18"/>
  <c r="C173" i="18"/>
  <c r="E173" i="18" s="1"/>
  <c r="D167" i="18"/>
  <c r="E167" i="18" s="1"/>
  <c r="C167" i="18"/>
  <c r="D166" i="18"/>
  <c r="E166" i="18" s="1"/>
  <c r="C166" i="18"/>
  <c r="D165" i="18"/>
  <c r="C165" i="18"/>
  <c r="E165" i="18"/>
  <c r="D164" i="18"/>
  <c r="E164" i="18" s="1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D156" i="18"/>
  <c r="C151" i="18"/>
  <c r="C156" i="18" s="1"/>
  <c r="E150" i="18"/>
  <c r="E149" i="18"/>
  <c r="D144" i="18"/>
  <c r="E143" i="18"/>
  <c r="E142" i="18"/>
  <c r="E141" i="18"/>
  <c r="E140" i="18"/>
  <c r="D139" i="18"/>
  <c r="C139" i="18"/>
  <c r="C163" i="18"/>
  <c r="E138" i="18"/>
  <c r="E137" i="18"/>
  <c r="D75" i="18"/>
  <c r="E75" i="18" s="1"/>
  <c r="C75" i="18"/>
  <c r="D74" i="18"/>
  <c r="C74" i="18"/>
  <c r="E74" i="18" s="1"/>
  <c r="D73" i="18"/>
  <c r="E73" i="18" s="1"/>
  <c r="C73" i="18"/>
  <c r="D72" i="18"/>
  <c r="E72" i="18" s="1"/>
  <c r="C72" i="18"/>
  <c r="C71" i="18"/>
  <c r="D70" i="18"/>
  <c r="C70" i="18"/>
  <c r="C76" i="18"/>
  <c r="D69" i="18"/>
  <c r="C69" i="18"/>
  <c r="E64" i="18"/>
  <c r="E63" i="18"/>
  <c r="E62" i="18"/>
  <c r="E61" i="18"/>
  <c r="D60" i="18"/>
  <c r="D289" i="18" s="1"/>
  <c r="E289" i="18" s="1"/>
  <c r="C60" i="18"/>
  <c r="C65" i="18" s="1"/>
  <c r="C66" i="18" s="1"/>
  <c r="C247" i="18" s="1"/>
  <c r="C289" i="18"/>
  <c r="E59" i="18"/>
  <c r="E58" i="18"/>
  <c r="C55" i="18"/>
  <c r="D54" i="18"/>
  <c r="D55" i="18" s="1"/>
  <c r="E55" i="18" s="1"/>
  <c r="C54" i="18"/>
  <c r="E53" i="18"/>
  <c r="E52" i="18"/>
  <c r="E51" i="18"/>
  <c r="E50" i="18"/>
  <c r="E49" i="18"/>
  <c r="E48" i="18"/>
  <c r="E47" i="18"/>
  <c r="D42" i="18"/>
  <c r="E42" i="18"/>
  <c r="C42" i="18"/>
  <c r="D41" i="18"/>
  <c r="E41" i="18" s="1"/>
  <c r="C41" i="18"/>
  <c r="D40" i="18"/>
  <c r="E40" i="18" s="1"/>
  <c r="C40" i="18"/>
  <c r="D39" i="18"/>
  <c r="C39" i="18"/>
  <c r="E39" i="18"/>
  <c r="D38" i="18"/>
  <c r="E38" i="18" s="1"/>
  <c r="C38" i="18"/>
  <c r="D37" i="18"/>
  <c r="D43" i="18"/>
  <c r="C37" i="18"/>
  <c r="C43" i="18"/>
  <c r="D36" i="18"/>
  <c r="C36" i="18"/>
  <c r="D32" i="18"/>
  <c r="D33" i="18"/>
  <c r="C32" i="18"/>
  <c r="E31" i="18"/>
  <c r="E30" i="18"/>
  <c r="E29" i="18"/>
  <c r="E28" i="18"/>
  <c r="E27" i="18"/>
  <c r="E26" i="18"/>
  <c r="E25" i="18"/>
  <c r="D22" i="18"/>
  <c r="D284" i="18" s="1"/>
  <c r="D21" i="18"/>
  <c r="C21" i="18"/>
  <c r="C283" i="18" s="1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E330" i="17"/>
  <c r="F330" i="17" s="1"/>
  <c r="E329" i="17"/>
  <c r="F329" i="17" s="1"/>
  <c r="F316" i="17"/>
  <c r="E316" i="17"/>
  <c r="D311" i="17"/>
  <c r="E311" i="17"/>
  <c r="C311" i="17"/>
  <c r="F311" i="17" s="1"/>
  <c r="E308" i="17"/>
  <c r="F308" i="17" s="1"/>
  <c r="D307" i="17"/>
  <c r="E307" i="17" s="1"/>
  <c r="C307" i="17"/>
  <c r="F307" i="17" s="1"/>
  <c r="D299" i="17"/>
  <c r="C299" i="17"/>
  <c r="D298" i="17"/>
  <c r="E298" i="17" s="1"/>
  <c r="C298" i="17"/>
  <c r="D297" i="17"/>
  <c r="C297" i="17"/>
  <c r="D296" i="17"/>
  <c r="C296" i="17"/>
  <c r="D295" i="17"/>
  <c r="C295" i="17"/>
  <c r="E295" i="17" s="1"/>
  <c r="D294" i="17"/>
  <c r="C294" i="17"/>
  <c r="D250" i="17"/>
  <c r="D306" i="17" s="1"/>
  <c r="C250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E238" i="17" s="1"/>
  <c r="D237" i="17"/>
  <c r="D239" i="17" s="1"/>
  <c r="C237" i="17"/>
  <c r="E234" i="17"/>
  <c r="F234" i="17" s="1"/>
  <c r="E233" i="17"/>
  <c r="F233" i="17" s="1"/>
  <c r="D230" i="17"/>
  <c r="C230" i="17"/>
  <c r="D229" i="17"/>
  <c r="C229" i="17"/>
  <c r="E228" i="17"/>
  <c r="F228" i="17"/>
  <c r="D226" i="17"/>
  <c r="D227" i="17"/>
  <c r="E227" i="17"/>
  <c r="C226" i="17"/>
  <c r="C227" i="17" s="1"/>
  <c r="E225" i="17"/>
  <c r="F225" i="17"/>
  <c r="E224" i="17"/>
  <c r="F224" i="17"/>
  <c r="D223" i="17"/>
  <c r="C223" i="17"/>
  <c r="E223" i="17" s="1"/>
  <c r="E222" i="17"/>
  <c r="F222" i="17" s="1"/>
  <c r="E221" i="17"/>
  <c r="F221" i="17"/>
  <c r="D204" i="17"/>
  <c r="C204" i="17"/>
  <c r="D203" i="17"/>
  <c r="C203" i="17"/>
  <c r="D198" i="17"/>
  <c r="C198" i="17"/>
  <c r="D191" i="17"/>
  <c r="D280" i="17"/>
  <c r="C191" i="17"/>
  <c r="D189" i="17"/>
  <c r="D278" i="17"/>
  <c r="C189" i="17"/>
  <c r="D188" i="17"/>
  <c r="D277" i="17"/>
  <c r="C188" i="17"/>
  <c r="D180" i="17"/>
  <c r="C180" i="17"/>
  <c r="F180" i="17" s="1"/>
  <c r="D179" i="17"/>
  <c r="C179" i="17"/>
  <c r="F179" i="17"/>
  <c r="C172" i="17"/>
  <c r="F172" i="17"/>
  <c r="D171" i="17"/>
  <c r="D172" i="17"/>
  <c r="D173" i="17" s="1"/>
  <c r="C171" i="17"/>
  <c r="F171" i="17"/>
  <c r="D170" i="17"/>
  <c r="C170" i="17"/>
  <c r="F170" i="17"/>
  <c r="F169" i="17"/>
  <c r="E169" i="17"/>
  <c r="F168" i="17"/>
  <c r="E168" i="17"/>
  <c r="D165" i="17"/>
  <c r="C165" i="17"/>
  <c r="F165" i="17"/>
  <c r="D164" i="17"/>
  <c r="C164" i="17"/>
  <c r="F164" i="17"/>
  <c r="F163" i="17"/>
  <c r="E163" i="17"/>
  <c r="D158" i="17"/>
  <c r="D159" i="17" s="1"/>
  <c r="C158" i="17"/>
  <c r="C159" i="17" s="1"/>
  <c r="F159" i="17" s="1"/>
  <c r="F157" i="17"/>
  <c r="E157" i="17"/>
  <c r="F156" i="17"/>
  <c r="E156" i="17"/>
  <c r="D155" i="17"/>
  <c r="E155" i="17" s="1"/>
  <c r="C155" i="17"/>
  <c r="F155" i="17"/>
  <c r="F154" i="17"/>
  <c r="E154" i="17"/>
  <c r="F153" i="17"/>
  <c r="E153" i="17"/>
  <c r="D145" i="17"/>
  <c r="D146" i="17" s="1"/>
  <c r="C145" i="17"/>
  <c r="D144" i="17"/>
  <c r="C144" i="17"/>
  <c r="D136" i="17"/>
  <c r="D137" i="17"/>
  <c r="C136" i="17"/>
  <c r="C137" i="17" s="1"/>
  <c r="C138" i="17" s="1"/>
  <c r="D135" i="17"/>
  <c r="C135" i="17"/>
  <c r="E134" i="17"/>
  <c r="F134" i="17"/>
  <c r="E133" i="17"/>
  <c r="F133" i="17"/>
  <c r="D130" i="17"/>
  <c r="E130" i="17" s="1"/>
  <c r="C130" i="17"/>
  <c r="D129" i="17"/>
  <c r="C129" i="17"/>
  <c r="E128" i="17"/>
  <c r="F128" i="17"/>
  <c r="D123" i="17"/>
  <c r="C123" i="17"/>
  <c r="E122" i="17"/>
  <c r="F122" i="17" s="1"/>
  <c r="E121" i="17"/>
  <c r="F121" i="17" s="1"/>
  <c r="D120" i="17"/>
  <c r="C120" i="17"/>
  <c r="E119" i="17"/>
  <c r="F119" i="17"/>
  <c r="E118" i="17"/>
  <c r="F118" i="17" s="1"/>
  <c r="D110" i="17"/>
  <c r="D111" i="17" s="1"/>
  <c r="C110" i="17"/>
  <c r="D109" i="17"/>
  <c r="C109" i="17"/>
  <c r="D101" i="17"/>
  <c r="D102" i="17"/>
  <c r="C101" i="17"/>
  <c r="C102" i="17" s="1"/>
  <c r="D100" i="17"/>
  <c r="E100" i="17" s="1"/>
  <c r="C100" i="17"/>
  <c r="E99" i="17"/>
  <c r="F99" i="17"/>
  <c r="E98" i="17"/>
  <c r="F98" i="17"/>
  <c r="D95" i="17"/>
  <c r="E95" i="17" s="1"/>
  <c r="C95" i="17"/>
  <c r="D94" i="17"/>
  <c r="C94" i="17"/>
  <c r="E94" i="17"/>
  <c r="E93" i="17"/>
  <c r="F93" i="17" s="1"/>
  <c r="D88" i="17"/>
  <c r="D89" i="17"/>
  <c r="C88" i="17"/>
  <c r="C89" i="17"/>
  <c r="E87" i="17"/>
  <c r="F87" i="17"/>
  <c r="E86" i="17"/>
  <c r="F86" i="17" s="1"/>
  <c r="D85" i="17"/>
  <c r="C85" i="17"/>
  <c r="E84" i="17"/>
  <c r="F84" i="17"/>
  <c r="E83" i="17"/>
  <c r="F83" i="17"/>
  <c r="D76" i="17"/>
  <c r="D77" i="17" s="1"/>
  <c r="C76" i="17"/>
  <c r="E74" i="17"/>
  <c r="F74" i="17" s="1"/>
  <c r="E73" i="17"/>
  <c r="F73" i="17" s="1"/>
  <c r="D67" i="17"/>
  <c r="E67" i="17" s="1"/>
  <c r="F67" i="17" s="1"/>
  <c r="C67" i="17"/>
  <c r="D66" i="17"/>
  <c r="C66" i="17"/>
  <c r="C68" i="17"/>
  <c r="D59" i="17"/>
  <c r="D60" i="17"/>
  <c r="C59" i="17"/>
  <c r="C60" i="17"/>
  <c r="D58" i="17"/>
  <c r="C58" i="17"/>
  <c r="E57" i="17"/>
  <c r="F57" i="17" s="1"/>
  <c r="F56" i="17"/>
  <c r="E56" i="17"/>
  <c r="D53" i="17"/>
  <c r="C53" i="17"/>
  <c r="D52" i="17"/>
  <c r="C52" i="17"/>
  <c r="F51" i="17"/>
  <c r="E51" i="17"/>
  <c r="D47" i="17"/>
  <c r="D48" i="17"/>
  <c r="C47" i="17"/>
  <c r="C48" i="17"/>
  <c r="E46" i="17"/>
  <c r="F46" i="17" s="1"/>
  <c r="F45" i="17"/>
  <c r="E45" i="17"/>
  <c r="D44" i="17"/>
  <c r="C44" i="17"/>
  <c r="E43" i="17"/>
  <c r="F43" i="17" s="1"/>
  <c r="F42" i="17"/>
  <c r="E42" i="17"/>
  <c r="D36" i="17"/>
  <c r="C36" i="17"/>
  <c r="D35" i="17"/>
  <c r="E35" i="17" s="1"/>
  <c r="F35" i="17" s="1"/>
  <c r="D37" i="17"/>
  <c r="C35" i="17"/>
  <c r="D30" i="17"/>
  <c r="D31" i="17"/>
  <c r="C30" i="17"/>
  <c r="C31" i="17" s="1"/>
  <c r="D29" i="17"/>
  <c r="E29" i="17" s="1"/>
  <c r="F29" i="17" s="1"/>
  <c r="C29" i="17"/>
  <c r="E28" i="17"/>
  <c r="F28" i="17" s="1"/>
  <c r="E27" i="17"/>
  <c r="F27" i="17" s="1"/>
  <c r="D24" i="17"/>
  <c r="E24" i="17"/>
  <c r="F24" i="17" s="1"/>
  <c r="C24" i="17"/>
  <c r="D23" i="17"/>
  <c r="F23" i="17"/>
  <c r="C23" i="17"/>
  <c r="E23" i="17" s="1"/>
  <c r="F22" i="17"/>
  <c r="E22" i="17"/>
  <c r="D20" i="17"/>
  <c r="C20" i="17"/>
  <c r="F19" i="17"/>
  <c r="E19" i="17"/>
  <c r="F18" i="17"/>
  <c r="E18" i="17"/>
  <c r="D17" i="17"/>
  <c r="E17" i="17" s="1"/>
  <c r="C17" i="17"/>
  <c r="F16" i="17"/>
  <c r="E16" i="17"/>
  <c r="F15" i="17"/>
  <c r="E15" i="17"/>
  <c r="D25" i="16"/>
  <c r="E25" i="16" s="1"/>
  <c r="C25" i="16"/>
  <c r="F24" i="16"/>
  <c r="E24" i="16"/>
  <c r="F23" i="16"/>
  <c r="E23" i="16"/>
  <c r="F22" i="16"/>
  <c r="E22" i="16"/>
  <c r="D19" i="16"/>
  <c r="C19" i="16"/>
  <c r="E19" i="16" s="1"/>
  <c r="E18" i="16"/>
  <c r="F18" i="16" s="1"/>
  <c r="F17" i="16"/>
  <c r="E17" i="16"/>
  <c r="D14" i="16"/>
  <c r="F14" i="16"/>
  <c r="C14" i="16"/>
  <c r="E14" i="16" s="1"/>
  <c r="F13" i="16"/>
  <c r="E13" i="16"/>
  <c r="F12" i="16"/>
  <c r="E12" i="16"/>
  <c r="D107" i="15"/>
  <c r="C107" i="15"/>
  <c r="E106" i="15"/>
  <c r="F106" i="15" s="1"/>
  <c r="E105" i="15"/>
  <c r="F105" i="15" s="1"/>
  <c r="E104" i="15"/>
  <c r="F104" i="15" s="1"/>
  <c r="D100" i="15"/>
  <c r="C100" i="15"/>
  <c r="E99" i="15"/>
  <c r="F99" i="15"/>
  <c r="F98" i="15"/>
  <c r="E98" i="15"/>
  <c r="E97" i="15"/>
  <c r="F97" i="15" s="1"/>
  <c r="E96" i="15"/>
  <c r="F96" i="15" s="1"/>
  <c r="E95" i="15"/>
  <c r="F95" i="15"/>
  <c r="D92" i="15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E82" i="15"/>
  <c r="F82" i="15" s="1"/>
  <c r="E81" i="15"/>
  <c r="F81" i="15"/>
  <c r="F80" i="15"/>
  <c r="E80" i="15"/>
  <c r="F79" i="15"/>
  <c r="E79" i="15"/>
  <c r="D75" i="15"/>
  <c r="C75" i="15"/>
  <c r="E74" i="15"/>
  <c r="F74" i="15"/>
  <c r="E73" i="15"/>
  <c r="F73" i="15"/>
  <c r="D70" i="15"/>
  <c r="C70" i="15"/>
  <c r="E69" i="15"/>
  <c r="F69" i="15" s="1"/>
  <c r="E68" i="15"/>
  <c r="F68" i="15" s="1"/>
  <c r="D65" i="15"/>
  <c r="C65" i="15"/>
  <c r="E64" i="15"/>
  <c r="F64" i="15" s="1"/>
  <c r="E63" i="15"/>
  <c r="F63" i="15" s="1"/>
  <c r="D60" i="15"/>
  <c r="C60" i="15"/>
  <c r="F60" i="15"/>
  <c r="F59" i="15"/>
  <c r="E59" i="15"/>
  <c r="F58" i="15"/>
  <c r="E58" i="15"/>
  <c r="D55" i="15"/>
  <c r="C55" i="15"/>
  <c r="F55" i="15" s="1"/>
  <c r="F54" i="15"/>
  <c r="E54" i="15"/>
  <c r="F53" i="15"/>
  <c r="E53" i="15"/>
  <c r="D50" i="15"/>
  <c r="C50" i="15"/>
  <c r="E49" i="15"/>
  <c r="F49" i="15" s="1"/>
  <c r="E48" i="15"/>
  <c r="F48" i="15" s="1"/>
  <c r="D45" i="15"/>
  <c r="C45" i="15"/>
  <c r="E44" i="15"/>
  <c r="F44" i="15"/>
  <c r="E43" i="15"/>
  <c r="F43" i="15" s="1"/>
  <c r="D37" i="15"/>
  <c r="C37" i="15"/>
  <c r="F36" i="15"/>
  <c r="E36" i="15"/>
  <c r="F35" i="15"/>
  <c r="E35" i="15"/>
  <c r="E34" i="15"/>
  <c r="F34" i="15" s="1"/>
  <c r="E33" i="15"/>
  <c r="F33" i="15" s="1"/>
  <c r="D30" i="15"/>
  <c r="C30" i="15"/>
  <c r="F29" i="15"/>
  <c r="E29" i="15"/>
  <c r="F28" i="15"/>
  <c r="E28" i="15"/>
  <c r="E27" i="15"/>
  <c r="F27" i="15" s="1"/>
  <c r="E26" i="15"/>
  <c r="F26" i="15" s="1"/>
  <c r="D23" i="15"/>
  <c r="C23" i="15"/>
  <c r="F22" i="15"/>
  <c r="E22" i="15"/>
  <c r="E21" i="15"/>
  <c r="F21" i="15"/>
  <c r="E20" i="15"/>
  <c r="F20" i="15" s="1"/>
  <c r="E19" i="15"/>
  <c r="F19" i="15"/>
  <c r="D16" i="15"/>
  <c r="C16" i="15"/>
  <c r="F15" i="15"/>
  <c r="E15" i="15"/>
  <c r="E14" i="15"/>
  <c r="F14" i="15"/>
  <c r="E13" i="15"/>
  <c r="F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I31" i="14" s="1"/>
  <c r="F17" i="14"/>
  <c r="F31" i="14" s="1"/>
  <c r="E17" i="14"/>
  <c r="E31" i="14"/>
  <c r="D17" i="14"/>
  <c r="D31" i="14" s="1"/>
  <c r="D33" i="14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C79" i="13"/>
  <c r="E78" i="13"/>
  <c r="E80" i="13" s="1"/>
  <c r="E77" i="13" s="1"/>
  <c r="D78" i="13"/>
  <c r="D77" i="13"/>
  <c r="C78" i="13"/>
  <c r="C80" i="13" s="1"/>
  <c r="C77" i="13" s="1"/>
  <c r="D75" i="13"/>
  <c r="E73" i="13"/>
  <c r="E75" i="13" s="1"/>
  <c r="D73" i="13"/>
  <c r="C73" i="13"/>
  <c r="C75" i="13" s="1"/>
  <c r="E71" i="13"/>
  <c r="D71" i="13"/>
  <c r="C71" i="13"/>
  <c r="E66" i="13"/>
  <c r="D66" i="13"/>
  <c r="D65" i="13"/>
  <c r="C66" i="13"/>
  <c r="C65" i="13" s="1"/>
  <c r="E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D50" i="13"/>
  <c r="C54" i="13"/>
  <c r="C50" i="13" s="1"/>
  <c r="E46" i="13"/>
  <c r="E59" i="13"/>
  <c r="E61" i="13" s="1"/>
  <c r="E57" i="13" s="1"/>
  <c r="D46" i="13"/>
  <c r="C46" i="13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25" i="13"/>
  <c r="E27" i="13" s="1"/>
  <c r="D13" i="13"/>
  <c r="C13" i="13"/>
  <c r="C25" i="13" s="1"/>
  <c r="C27" i="13" s="1"/>
  <c r="D47" i="12"/>
  <c r="C47" i="12"/>
  <c r="F46" i="12"/>
  <c r="E46" i="12"/>
  <c r="F45" i="12"/>
  <c r="E45" i="12"/>
  <c r="D40" i="12"/>
  <c r="C40" i="12"/>
  <c r="F39" i="12"/>
  <c r="E39" i="12"/>
  <c r="E38" i="12"/>
  <c r="F38" i="12" s="1"/>
  <c r="E37" i="12"/>
  <c r="F37" i="12" s="1"/>
  <c r="D32" i="12"/>
  <c r="E32" i="12"/>
  <c r="F32" i="12" s="1"/>
  <c r="C32" i="12"/>
  <c r="E31" i="12"/>
  <c r="F31" i="12" s="1"/>
  <c r="F30" i="12"/>
  <c r="E30" i="12"/>
  <c r="F29" i="12"/>
  <c r="E29" i="12"/>
  <c r="F28" i="12"/>
  <c r="E28" i="12"/>
  <c r="E27" i="12"/>
  <c r="F27" i="12" s="1"/>
  <c r="F26" i="12"/>
  <c r="E26" i="12"/>
  <c r="E25" i="12"/>
  <c r="F25" i="12" s="1"/>
  <c r="F24" i="12"/>
  <c r="E24" i="12"/>
  <c r="E23" i="12"/>
  <c r="F23" i="12" s="1"/>
  <c r="F19" i="12"/>
  <c r="E19" i="12"/>
  <c r="F18" i="12"/>
  <c r="E18" i="12"/>
  <c r="F16" i="12"/>
  <c r="E16" i="12"/>
  <c r="D15" i="12"/>
  <c r="E15" i="12" s="1"/>
  <c r="F15" i="12"/>
  <c r="C15" i="12"/>
  <c r="C17" i="12"/>
  <c r="F14" i="12"/>
  <c r="E14" i="12"/>
  <c r="E13" i="12"/>
  <c r="F13" i="12" s="1"/>
  <c r="E12" i="12"/>
  <c r="F12" i="12" s="1"/>
  <c r="E11" i="12"/>
  <c r="F11" i="12" s="1"/>
  <c r="D73" i="11"/>
  <c r="E73" i="11"/>
  <c r="C73" i="11"/>
  <c r="F73" i="11" s="1"/>
  <c r="E72" i="11"/>
  <c r="F72" i="11" s="1"/>
  <c r="F71" i="11"/>
  <c r="E71" i="11"/>
  <c r="E70" i="11"/>
  <c r="F70" i="11" s="1"/>
  <c r="F67" i="11"/>
  <c r="E67" i="11"/>
  <c r="E64" i="11"/>
  <c r="F64" i="11" s="1"/>
  <c r="E63" i="11"/>
  <c r="F63" i="11" s="1"/>
  <c r="D61" i="11"/>
  <c r="E61" i="11"/>
  <c r="C61" i="11"/>
  <c r="F60" i="11"/>
  <c r="E60" i="11"/>
  <c r="F59" i="11"/>
  <c r="E59" i="11"/>
  <c r="D56" i="11"/>
  <c r="E56" i="11" s="1"/>
  <c r="C56" i="11"/>
  <c r="E55" i="11"/>
  <c r="F55" i="11" s="1"/>
  <c r="E54" i="11"/>
  <c r="F54" i="11"/>
  <c r="E53" i="11"/>
  <c r="F53" i="11" s="1"/>
  <c r="F52" i="11"/>
  <c r="E52" i="11"/>
  <c r="F51" i="11"/>
  <c r="E51" i="11"/>
  <c r="A51" i="11"/>
  <c r="A52" i="11" s="1"/>
  <c r="A53" i="11" s="1"/>
  <c r="A54" i="11" s="1"/>
  <c r="A55" i="11" s="1"/>
  <c r="E50" i="11"/>
  <c r="F50" i="11" s="1"/>
  <c r="A50" i="11"/>
  <c r="E49" i="11"/>
  <c r="F49" i="11" s="1"/>
  <c r="E40" i="11"/>
  <c r="F40" i="11" s="1"/>
  <c r="D38" i="11"/>
  <c r="E38" i="11"/>
  <c r="F38" i="11"/>
  <c r="C38" i="11"/>
  <c r="C41" i="11"/>
  <c r="F37" i="11"/>
  <c r="E37" i="11"/>
  <c r="E36" i="11"/>
  <c r="F36" i="11" s="1"/>
  <c r="F33" i="11"/>
  <c r="E33" i="11"/>
  <c r="F32" i="11"/>
  <c r="E32" i="11"/>
  <c r="F31" i="11"/>
  <c r="E31" i="11"/>
  <c r="D29" i="11"/>
  <c r="C29" i="11"/>
  <c r="E28" i="11"/>
  <c r="F28" i="11" s="1"/>
  <c r="F27" i="11"/>
  <c r="E27" i="11"/>
  <c r="F26" i="11"/>
  <c r="E26" i="11"/>
  <c r="F25" i="11"/>
  <c r="E25" i="11"/>
  <c r="D22" i="11"/>
  <c r="E22" i="11"/>
  <c r="F22" i="11" s="1"/>
  <c r="C22" i="11"/>
  <c r="E21" i="11"/>
  <c r="F21" i="11" s="1"/>
  <c r="F20" i="11"/>
  <c r="E20" i="11"/>
  <c r="F19" i="11"/>
  <c r="E19" i="11"/>
  <c r="F18" i="11"/>
  <c r="E18" i="11"/>
  <c r="F17" i="11"/>
  <c r="E17" i="11"/>
  <c r="F16" i="11"/>
  <c r="E16" i="11"/>
  <c r="F15" i="11"/>
  <c r="E15" i="11"/>
  <c r="E14" i="11"/>
  <c r="F14" i="11" s="1"/>
  <c r="E13" i="11"/>
  <c r="F13" i="11" s="1"/>
  <c r="D120" i="10"/>
  <c r="C120" i="10"/>
  <c r="D119" i="10"/>
  <c r="E119" i="10" s="1"/>
  <c r="C119" i="10"/>
  <c r="D118" i="10"/>
  <c r="E118" i="10" s="1"/>
  <c r="C118" i="10"/>
  <c r="D117" i="10"/>
  <c r="E117" i="10" s="1"/>
  <c r="C117" i="10"/>
  <c r="F117" i="10" s="1"/>
  <c r="D116" i="10"/>
  <c r="E116" i="10"/>
  <c r="F116" i="10"/>
  <c r="C116" i="10"/>
  <c r="D115" i="10"/>
  <c r="E115" i="10" s="1"/>
  <c r="C115" i="10"/>
  <c r="F115" i="10" s="1"/>
  <c r="D114" i="10"/>
  <c r="C114" i="10"/>
  <c r="D113" i="10"/>
  <c r="C113" i="10"/>
  <c r="C122" i="10"/>
  <c r="D112" i="10"/>
  <c r="D121" i="10" s="1"/>
  <c r="C112" i="10"/>
  <c r="D108" i="10"/>
  <c r="C108" i="10"/>
  <c r="D107" i="10"/>
  <c r="E107" i="10"/>
  <c r="F107" i="10" s="1"/>
  <c r="C107" i="10"/>
  <c r="E106" i="10"/>
  <c r="F106" i="10" s="1"/>
  <c r="E105" i="10"/>
  <c r="F105" i="10" s="1"/>
  <c r="F104" i="10"/>
  <c r="E104" i="10"/>
  <c r="F103" i="10"/>
  <c r="E103" i="10"/>
  <c r="E102" i="10"/>
  <c r="F102" i="10" s="1"/>
  <c r="F101" i="10"/>
  <c r="E101" i="10"/>
  <c r="E100" i="10"/>
  <c r="F100" i="10" s="1"/>
  <c r="F99" i="10"/>
  <c r="E99" i="10"/>
  <c r="E98" i="10"/>
  <c r="F98" i="10" s="1"/>
  <c r="D96" i="10"/>
  <c r="C96" i="10"/>
  <c r="D95" i="10"/>
  <c r="E95" i="10" s="1"/>
  <c r="C95" i="10"/>
  <c r="F94" i="10"/>
  <c r="E94" i="10"/>
  <c r="E93" i="10"/>
  <c r="F93" i="10" s="1"/>
  <c r="F92" i="10"/>
  <c r="E92" i="10"/>
  <c r="E91" i="10"/>
  <c r="F91" i="10" s="1"/>
  <c r="E90" i="10"/>
  <c r="F90" i="10" s="1"/>
  <c r="E89" i="10"/>
  <c r="F89" i="10" s="1"/>
  <c r="F88" i="10"/>
  <c r="E88" i="10"/>
  <c r="E87" i="10"/>
  <c r="F87" i="10" s="1"/>
  <c r="F86" i="10"/>
  <c r="E86" i="10"/>
  <c r="F84" i="10"/>
  <c r="D84" i="10"/>
  <c r="E84" i="10"/>
  <c r="C84" i="10"/>
  <c r="D83" i="10"/>
  <c r="E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C72" i="10"/>
  <c r="E72" i="10" s="1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F60" i="10"/>
  <c r="C60" i="10"/>
  <c r="E60" i="10" s="1"/>
  <c r="D59" i="10"/>
  <c r="E59" i="10" s="1"/>
  <c r="F59" i="10" s="1"/>
  <c r="C59" i="10"/>
  <c r="E58" i="10"/>
  <c r="F58" i="10" s="1"/>
  <c r="F57" i="10"/>
  <c r="E57" i="10"/>
  <c r="F56" i="10"/>
  <c r="E56" i="10"/>
  <c r="F55" i="10"/>
  <c r="E55" i="10"/>
  <c r="E54" i="10"/>
  <c r="F54" i="10" s="1"/>
  <c r="E53" i="10"/>
  <c r="F53" i="10" s="1"/>
  <c r="F52" i="10"/>
  <c r="E52" i="10"/>
  <c r="F51" i="10"/>
  <c r="E51" i="10"/>
  <c r="E50" i="10"/>
  <c r="F50" i="10" s="1"/>
  <c r="D48" i="10"/>
  <c r="C48" i="10"/>
  <c r="F48" i="10" s="1"/>
  <c r="F47" i="10"/>
  <c r="D47" i="10"/>
  <c r="C47" i="10"/>
  <c r="E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/>
  <c r="C36" i="10"/>
  <c r="D35" i="10"/>
  <c r="F35" i="10"/>
  <c r="C35" i="10"/>
  <c r="E35" i="10" s="1"/>
  <c r="F34" i="10"/>
  <c r="E34" i="10"/>
  <c r="F33" i="10"/>
  <c r="E33" i="10"/>
  <c r="E32" i="10"/>
  <c r="F32" i="10" s="1"/>
  <c r="F31" i="10"/>
  <c r="E31" i="10"/>
  <c r="E30" i="10"/>
  <c r="F30" i="10" s="1"/>
  <c r="F29" i="10"/>
  <c r="E29" i="10"/>
  <c r="E28" i="10"/>
  <c r="F28" i="10" s="1"/>
  <c r="F27" i="10"/>
  <c r="E27" i="10"/>
  <c r="F26" i="10"/>
  <c r="E26" i="10"/>
  <c r="F24" i="10"/>
  <c r="D24" i="10"/>
  <c r="C24" i="10"/>
  <c r="E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/>
  <c r="F205" i="9" s="1"/>
  <c r="C205" i="9"/>
  <c r="D204" i="9"/>
  <c r="C204" i="9"/>
  <c r="D203" i="9"/>
  <c r="C203" i="9"/>
  <c r="D202" i="9"/>
  <c r="C202" i="9"/>
  <c r="D201" i="9"/>
  <c r="C201" i="9"/>
  <c r="D200" i="9"/>
  <c r="E200" i="9" s="1"/>
  <c r="C200" i="9"/>
  <c r="D199" i="9"/>
  <c r="E199" i="9" s="1"/>
  <c r="D208" i="9"/>
  <c r="C199" i="9"/>
  <c r="D198" i="9"/>
  <c r="D207" i="9" s="1"/>
  <c r="E207" i="9"/>
  <c r="C198" i="9"/>
  <c r="C207" i="9"/>
  <c r="F193" i="9"/>
  <c r="D193" i="9"/>
  <c r="E193" i="9" s="1"/>
  <c r="C193" i="9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 s="1"/>
  <c r="C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 s="1"/>
  <c r="C141" i="9"/>
  <c r="D140" i="9"/>
  <c r="E140" i="9" s="1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F128" i="9" s="1"/>
  <c r="D127" i="9"/>
  <c r="E127" i="9" s="1"/>
  <c r="C127" i="9"/>
  <c r="F127" i="9" s="1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 s="1"/>
  <c r="C115" i="9"/>
  <c r="F115" i="9" s="1"/>
  <c r="F114" i="9"/>
  <c r="D114" i="9"/>
  <c r="E114" i="9" s="1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F102" i="9" s="1"/>
  <c r="D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 s="1"/>
  <c r="C89" i="9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D75" i="9"/>
  <c r="C75" i="9"/>
  <c r="F74" i="9"/>
  <c r="E74" i="9"/>
  <c r="E73" i="9"/>
  <c r="F73" i="9" s="1"/>
  <c r="F72" i="9"/>
  <c r="E72" i="9"/>
  <c r="F71" i="9"/>
  <c r="E71" i="9"/>
  <c r="F70" i="9"/>
  <c r="E70" i="9"/>
  <c r="E69" i="9"/>
  <c r="F69" i="9" s="1"/>
  <c r="E68" i="9"/>
  <c r="F68" i="9" s="1"/>
  <c r="E67" i="9"/>
  <c r="F67" i="9" s="1"/>
  <c r="F66" i="9"/>
  <c r="E66" i="9"/>
  <c r="D63" i="9"/>
  <c r="C63" i="9"/>
  <c r="F63" i="9" s="1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 s="1"/>
  <c r="C49" i="9"/>
  <c r="E48" i="9"/>
  <c r="F48" i="9" s="1"/>
  <c r="F47" i="9"/>
  <c r="E47" i="9"/>
  <c r="F46" i="9"/>
  <c r="E46" i="9"/>
  <c r="E45" i="9"/>
  <c r="F45" i="9" s="1"/>
  <c r="F44" i="9"/>
  <c r="E44" i="9"/>
  <c r="E43" i="9"/>
  <c r="F43" i="9" s="1"/>
  <c r="F42" i="9"/>
  <c r="E42" i="9"/>
  <c r="E41" i="9"/>
  <c r="F41" i="9" s="1"/>
  <c r="E40" i="9"/>
  <c r="F40" i="9" s="1"/>
  <c r="F37" i="9"/>
  <c r="D37" i="9"/>
  <c r="E37" i="9" s="1"/>
  <c r="C37" i="9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F24" i="9" s="1"/>
  <c r="D23" i="9"/>
  <c r="C23" i="9"/>
  <c r="F23" i="9" s="1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 s="1"/>
  <c r="C164" i="8"/>
  <c r="E162" i="8"/>
  <c r="E166" i="8" s="1"/>
  <c r="E156" i="8" s="1"/>
  <c r="D162" i="8"/>
  <c r="C162" i="8"/>
  <c r="E161" i="8"/>
  <c r="D161" i="8"/>
  <c r="C161" i="8"/>
  <c r="E160" i="8"/>
  <c r="C160" i="8"/>
  <c r="C166" i="8" s="1"/>
  <c r="E147" i="8"/>
  <c r="E143" i="8" s="1"/>
  <c r="E149" i="8" s="1"/>
  <c r="D147" i="8"/>
  <c r="D143" i="8" s="1"/>
  <c r="D149" i="8" s="1"/>
  <c r="C147" i="8"/>
  <c r="E145" i="8"/>
  <c r="D145" i="8"/>
  <c r="C145" i="8"/>
  <c r="E144" i="8"/>
  <c r="D144" i="8"/>
  <c r="C144" i="8"/>
  <c r="C143" i="8"/>
  <c r="C149" i="8" s="1"/>
  <c r="C136" i="8" s="1"/>
  <c r="E126" i="8"/>
  <c r="D126" i="8"/>
  <c r="C126" i="8"/>
  <c r="E119" i="8"/>
  <c r="D119" i="8"/>
  <c r="C119" i="8"/>
  <c r="E108" i="8"/>
  <c r="D108" i="8"/>
  <c r="C108" i="8"/>
  <c r="E107" i="8"/>
  <c r="D107" i="8"/>
  <c r="D109" i="8"/>
  <c r="D106" i="8" s="1"/>
  <c r="C107" i="8"/>
  <c r="C109" i="8"/>
  <c r="C106" i="8" s="1"/>
  <c r="E104" i="8"/>
  <c r="E102" i="8"/>
  <c r="D102" i="8"/>
  <c r="D104" i="8"/>
  <c r="C102" i="8"/>
  <c r="C104" i="8" s="1"/>
  <c r="E100" i="8"/>
  <c r="D100" i="8"/>
  <c r="C100" i="8"/>
  <c r="E95" i="8"/>
  <c r="E94" i="8" s="1"/>
  <c r="D95" i="8"/>
  <c r="C95" i="8"/>
  <c r="C94" i="8"/>
  <c r="D94" i="8"/>
  <c r="E89" i="8"/>
  <c r="D89" i="8"/>
  <c r="C89" i="8"/>
  <c r="E87" i="8"/>
  <c r="D87" i="8"/>
  <c r="C87" i="8"/>
  <c r="E84" i="8"/>
  <c r="E79" i="8" s="1"/>
  <c r="D84" i="8"/>
  <c r="C84" i="8"/>
  <c r="C79" i="8" s="1"/>
  <c r="E83" i="8"/>
  <c r="D83" i="8"/>
  <c r="C83" i="8"/>
  <c r="D79" i="8"/>
  <c r="E77" i="8"/>
  <c r="E71" i="8"/>
  <c r="C77" i="8"/>
  <c r="C71" i="8" s="1"/>
  <c r="E75" i="8"/>
  <c r="E88" i="8"/>
  <c r="D75" i="8"/>
  <c r="D88" i="8"/>
  <c r="D90" i="8" s="1"/>
  <c r="D86" i="8" s="1"/>
  <c r="C75" i="8"/>
  <c r="C88" i="8"/>
  <c r="C90" i="8"/>
  <c r="C86" i="8" s="1"/>
  <c r="E74" i="8"/>
  <c r="D74" i="8"/>
  <c r="C74" i="8"/>
  <c r="E67" i="8"/>
  <c r="D67" i="8"/>
  <c r="C67" i="8"/>
  <c r="D43" i="8"/>
  <c r="E38" i="8"/>
  <c r="E57" i="8" s="1"/>
  <c r="E62" i="8" s="1"/>
  <c r="D38" i="8"/>
  <c r="D53" i="8" s="1"/>
  <c r="C38" i="8"/>
  <c r="C57" i="8"/>
  <c r="C62" i="8" s="1"/>
  <c r="E33" i="8"/>
  <c r="E34" i="8" s="1"/>
  <c r="D33" i="8"/>
  <c r="D34" i="8" s="1"/>
  <c r="E26" i="8"/>
  <c r="D26" i="8"/>
  <c r="C26" i="8"/>
  <c r="E15" i="8"/>
  <c r="C15" i="8"/>
  <c r="C17" i="8" s="1"/>
  <c r="C24" i="8"/>
  <c r="E13" i="8"/>
  <c r="E25" i="8" s="1"/>
  <c r="E27" i="8" s="1"/>
  <c r="D13" i="8"/>
  <c r="D25" i="8" s="1"/>
  <c r="D27" i="8" s="1"/>
  <c r="C13" i="8"/>
  <c r="C25" i="8"/>
  <c r="C27" i="8" s="1"/>
  <c r="C20" i="8" s="1"/>
  <c r="F186" i="7"/>
  <c r="E186" i="7"/>
  <c r="D183" i="7"/>
  <c r="C183" i="7"/>
  <c r="E182" i="7"/>
  <c r="F182" i="7" s="1"/>
  <c r="F181" i="7"/>
  <c r="E181" i="7"/>
  <c r="E180" i="7"/>
  <c r="F180" i="7" s="1"/>
  <c r="E179" i="7"/>
  <c r="F179" i="7" s="1"/>
  <c r="F178" i="7"/>
  <c r="E178" i="7"/>
  <c r="F177" i="7"/>
  <c r="E177" i="7"/>
  <c r="E176" i="7"/>
  <c r="F176" i="7" s="1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D188" i="7" s="1"/>
  <c r="C167" i="7"/>
  <c r="C188" i="7" s="1"/>
  <c r="F166" i="7"/>
  <c r="E166" i="7"/>
  <c r="F165" i="7"/>
  <c r="E165" i="7"/>
  <c r="E164" i="7"/>
  <c r="F164" i="7" s="1"/>
  <c r="E163" i="7"/>
  <c r="F163" i="7" s="1"/>
  <c r="F162" i="7"/>
  <c r="E162" i="7"/>
  <c r="E161" i="7"/>
  <c r="F161" i="7" s="1"/>
  <c r="F160" i="7"/>
  <c r="E160" i="7"/>
  <c r="F159" i="7"/>
  <c r="E159" i="7"/>
  <c r="E158" i="7"/>
  <c r="F158" i="7" s="1"/>
  <c r="E157" i="7"/>
  <c r="F157" i="7" s="1"/>
  <c r="F156" i="7"/>
  <c r="E156" i="7"/>
  <c r="E155" i="7"/>
  <c r="F155" i="7" s="1"/>
  <c r="E154" i="7"/>
  <c r="F154" i="7" s="1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E143" i="7"/>
  <c r="F143" i="7" s="1"/>
  <c r="E142" i="7"/>
  <c r="F142" i="7" s="1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F135" i="7"/>
  <c r="E135" i="7"/>
  <c r="E134" i="7"/>
  <c r="F134" i="7" s="1"/>
  <c r="E133" i="7"/>
  <c r="F133" i="7" s="1"/>
  <c r="D130" i="7"/>
  <c r="E130" i="7"/>
  <c r="F130" i="7"/>
  <c r="C130" i="7"/>
  <c r="F129" i="7"/>
  <c r="E129" i="7"/>
  <c r="E128" i="7"/>
  <c r="F128" i="7" s="1"/>
  <c r="E127" i="7"/>
  <c r="F127" i="7" s="1"/>
  <c r="E126" i="7"/>
  <c r="F126" i="7" s="1"/>
  <c r="E125" i="7"/>
  <c r="F125" i="7" s="1"/>
  <c r="E124" i="7"/>
  <c r="F124" i="7" s="1"/>
  <c r="D121" i="7"/>
  <c r="C121" i="7"/>
  <c r="E120" i="7"/>
  <c r="F120" i="7" s="1"/>
  <c r="E119" i="7"/>
  <c r="F119" i="7" s="1"/>
  <c r="E118" i="7"/>
  <c r="F118" i="7" s="1"/>
  <c r="F117" i="7"/>
  <c r="E117" i="7"/>
  <c r="E116" i="7"/>
  <c r="F116" i="7" s="1"/>
  <c r="E115" i="7"/>
  <c r="F115" i="7" s="1"/>
  <c r="F114" i="7"/>
  <c r="E114" i="7"/>
  <c r="F113" i="7"/>
  <c r="E113" i="7"/>
  <c r="E112" i="7"/>
  <c r="F112" i="7" s="1"/>
  <c r="E111" i="7"/>
  <c r="F111" i="7" s="1"/>
  <c r="E110" i="7"/>
  <c r="F110" i="7" s="1"/>
  <c r="E109" i="7"/>
  <c r="F109" i="7" s="1"/>
  <c r="E108" i="7"/>
  <c r="F108" i="7" s="1"/>
  <c r="E107" i="7"/>
  <c r="F107" i="7" s="1"/>
  <c r="E106" i="7"/>
  <c r="F106" i="7" s="1"/>
  <c r="F105" i="7"/>
  <c r="E105" i="7"/>
  <c r="F104" i="7"/>
  <c r="E104" i="7"/>
  <c r="E103" i="7"/>
  <c r="F103" i="7" s="1"/>
  <c r="F93" i="7"/>
  <c r="E93" i="7"/>
  <c r="D90" i="7"/>
  <c r="E90" i="7" s="1"/>
  <c r="F90" i="7" s="1"/>
  <c r="D95" i="7"/>
  <c r="C90" i="7"/>
  <c r="E89" i="7"/>
  <c r="F89" i="7" s="1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E81" i="7"/>
  <c r="F81" i="7" s="1"/>
  <c r="E80" i="7"/>
  <c r="F80" i="7" s="1"/>
  <c r="F79" i="7"/>
  <c r="E79" i="7"/>
  <c r="F78" i="7"/>
  <c r="E78" i="7"/>
  <c r="F77" i="7"/>
  <c r="E77" i="7"/>
  <c r="E76" i="7"/>
  <c r="F76" i="7" s="1"/>
  <c r="F75" i="7"/>
  <c r="E75" i="7"/>
  <c r="F74" i="7"/>
  <c r="E74" i="7"/>
  <c r="E73" i="7"/>
  <c r="F73" i="7" s="1"/>
  <c r="E72" i="7"/>
  <c r="F72" i="7" s="1"/>
  <c r="E71" i="7"/>
  <c r="F71" i="7" s="1"/>
  <c r="F70" i="7"/>
  <c r="E70" i="7"/>
  <c r="E69" i="7"/>
  <c r="F69" i="7" s="1"/>
  <c r="F68" i="7"/>
  <c r="E68" i="7"/>
  <c r="F67" i="7"/>
  <c r="E67" i="7"/>
  <c r="F66" i="7"/>
  <c r="E66" i="7"/>
  <c r="E65" i="7"/>
  <c r="F65" i="7" s="1"/>
  <c r="E64" i="7"/>
  <c r="F64" i="7" s="1"/>
  <c r="E63" i="7"/>
  <c r="F63" i="7" s="1"/>
  <c r="F62" i="7"/>
  <c r="E62" i="7"/>
  <c r="D59" i="7"/>
  <c r="C59" i="7"/>
  <c r="F58" i="7"/>
  <c r="E58" i="7"/>
  <c r="F57" i="7"/>
  <c r="E57" i="7"/>
  <c r="E56" i="7"/>
  <c r="F56" i="7" s="1"/>
  <c r="E55" i="7"/>
  <c r="F55" i="7" s="1"/>
  <c r="F54" i="7"/>
  <c r="E54" i="7"/>
  <c r="F53" i="7"/>
  <c r="E53" i="7"/>
  <c r="E50" i="7"/>
  <c r="F50" i="7" s="1"/>
  <c r="F47" i="7"/>
  <c r="E47" i="7"/>
  <c r="F44" i="7"/>
  <c r="E44" i="7"/>
  <c r="D41" i="7"/>
  <c r="E41" i="7" s="1"/>
  <c r="F41" i="7" s="1"/>
  <c r="C41" i="7"/>
  <c r="E40" i="7"/>
  <c r="F40" i="7" s="1"/>
  <c r="F39" i="7"/>
  <c r="E39" i="7"/>
  <c r="F38" i="7"/>
  <c r="E38" i="7"/>
  <c r="D35" i="7"/>
  <c r="C35" i="7"/>
  <c r="F34" i="7"/>
  <c r="E34" i="7"/>
  <c r="F33" i="7"/>
  <c r="E33" i="7"/>
  <c r="D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E21" i="7"/>
  <c r="F21" i="7" s="1"/>
  <c r="D18" i="7"/>
  <c r="E18" i="7"/>
  <c r="F18" i="7" s="1"/>
  <c r="C18" i="7"/>
  <c r="F17" i="7"/>
  <c r="E17" i="7"/>
  <c r="E16" i="7"/>
  <c r="F16" i="7" s="1"/>
  <c r="F15" i="7"/>
  <c r="E15" i="7"/>
  <c r="D179" i="6"/>
  <c r="E179" i="6" s="1"/>
  <c r="C179" i="6"/>
  <c r="F178" i="6"/>
  <c r="E178" i="6"/>
  <c r="F177" i="6"/>
  <c r="E177" i="6"/>
  <c r="F176" i="6"/>
  <c r="E176" i="6"/>
  <c r="E175" i="6"/>
  <c r="F175" i="6" s="1"/>
  <c r="E174" i="6"/>
  <c r="F174" i="6" s="1"/>
  <c r="E173" i="6"/>
  <c r="F173" i="6" s="1"/>
  <c r="F172" i="6"/>
  <c r="E172" i="6"/>
  <c r="E171" i="6"/>
  <c r="F171" i="6" s="1"/>
  <c r="F170" i="6"/>
  <c r="E170" i="6"/>
  <c r="F169" i="6"/>
  <c r="E169" i="6"/>
  <c r="E168" i="6"/>
  <c r="F168" i="6" s="1"/>
  <c r="D166" i="6"/>
  <c r="E166" i="6"/>
  <c r="F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F157" i="6"/>
  <c r="E157" i="6"/>
  <c r="F156" i="6"/>
  <c r="E156" i="6"/>
  <c r="E155" i="6"/>
  <c r="F155" i="6" s="1"/>
  <c r="D153" i="6"/>
  <c r="E153" i="6"/>
  <c r="F153" i="6" s="1"/>
  <c r="C153" i="6"/>
  <c r="F152" i="6"/>
  <c r="E152" i="6"/>
  <c r="F151" i="6"/>
  <c r="E151" i="6"/>
  <c r="E150" i="6"/>
  <c r="F150" i="6" s="1"/>
  <c r="F149" i="6"/>
  <c r="E149" i="6"/>
  <c r="E148" i="6"/>
  <c r="F148" i="6" s="1"/>
  <c r="E147" i="6"/>
  <c r="F147" i="6" s="1"/>
  <c r="F146" i="6"/>
  <c r="E146" i="6"/>
  <c r="E145" i="6"/>
  <c r="F145" i="6" s="1"/>
  <c r="F144" i="6"/>
  <c r="E144" i="6"/>
  <c r="E143" i="6"/>
  <c r="F143" i="6" s="1"/>
  <c r="E142" i="6"/>
  <c r="F142" i="6" s="1"/>
  <c r="D137" i="6"/>
  <c r="C137" i="6"/>
  <c r="F136" i="6"/>
  <c r="E136" i="6"/>
  <c r="F135" i="6"/>
  <c r="E135" i="6"/>
  <c r="F134" i="6"/>
  <c r="E134" i="6"/>
  <c r="E133" i="6"/>
  <c r="F133" i="6" s="1"/>
  <c r="E132" i="6"/>
  <c r="F132" i="6" s="1"/>
  <c r="F131" i="6"/>
  <c r="E131" i="6"/>
  <c r="E130" i="6"/>
  <c r="F130" i="6" s="1"/>
  <c r="F129" i="6"/>
  <c r="E129" i="6"/>
  <c r="E128" i="6"/>
  <c r="F128" i="6" s="1"/>
  <c r="E127" i="6"/>
  <c r="F127" i="6" s="1"/>
  <c r="E126" i="6"/>
  <c r="F126" i="6" s="1"/>
  <c r="D124" i="6"/>
  <c r="E124" i="6" s="1"/>
  <c r="C124" i="6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E117" i="6"/>
  <c r="F117" i="6" s="1"/>
  <c r="E116" i="6"/>
  <c r="F116" i="6" s="1"/>
  <c r="E115" i="6"/>
  <c r="F115" i="6" s="1"/>
  <c r="F114" i="6"/>
  <c r="E114" i="6"/>
  <c r="F113" i="6"/>
  <c r="E113" i="6"/>
  <c r="D111" i="6"/>
  <c r="E111" i="6"/>
  <c r="C111" i="6"/>
  <c r="F110" i="6"/>
  <c r="E110" i="6"/>
  <c r="F109" i="6"/>
  <c r="E109" i="6"/>
  <c r="E108" i="6"/>
  <c r="F108" i="6" s="1"/>
  <c r="F107" i="6"/>
  <c r="E107" i="6"/>
  <c r="E106" i="6"/>
  <c r="F106" i="6" s="1"/>
  <c r="E105" i="6"/>
  <c r="F105" i="6" s="1"/>
  <c r="E104" i="6"/>
  <c r="F104" i="6" s="1"/>
  <c r="E103" i="6"/>
  <c r="F103" i="6" s="1"/>
  <c r="F102" i="6"/>
  <c r="E102" i="6"/>
  <c r="F101" i="6"/>
  <c r="E101" i="6"/>
  <c r="F100" i="6"/>
  <c r="E100" i="6"/>
  <c r="D94" i="6"/>
  <c r="E94" i="6"/>
  <c r="C94" i="6"/>
  <c r="F94" i="6" s="1"/>
  <c r="F93" i="6"/>
  <c r="D93" i="6"/>
  <c r="E93" i="6" s="1"/>
  <c r="C93" i="6"/>
  <c r="D92" i="6"/>
  <c r="C92" i="6"/>
  <c r="D91" i="6"/>
  <c r="E91" i="6" s="1"/>
  <c r="F91" i="6" s="1"/>
  <c r="C91" i="6"/>
  <c r="D90" i="6"/>
  <c r="E90" i="6"/>
  <c r="F90" i="6" s="1"/>
  <c r="C90" i="6"/>
  <c r="D89" i="6"/>
  <c r="E89" i="6" s="1"/>
  <c r="F89" i="6" s="1"/>
  <c r="C89" i="6"/>
  <c r="D88" i="6"/>
  <c r="E88" i="6"/>
  <c r="F88" i="6"/>
  <c r="C88" i="6"/>
  <c r="D87" i="6"/>
  <c r="E87" i="6" s="1"/>
  <c r="F87" i="6" s="1"/>
  <c r="C87" i="6"/>
  <c r="D86" i="6"/>
  <c r="C86" i="6"/>
  <c r="D85" i="6"/>
  <c r="E85" i="6" s="1"/>
  <c r="F85" i="6" s="1"/>
  <c r="C85" i="6"/>
  <c r="D84" i="6"/>
  <c r="D95" i="6" s="1"/>
  <c r="C84" i="6"/>
  <c r="D81" i="6"/>
  <c r="E81" i="6" s="1"/>
  <c r="C81" i="6"/>
  <c r="F80" i="6"/>
  <c r="E80" i="6"/>
  <c r="F79" i="6"/>
  <c r="E79" i="6"/>
  <c r="F78" i="6"/>
  <c r="E78" i="6"/>
  <c r="E77" i="6"/>
  <c r="F77" i="6" s="1"/>
  <c r="E76" i="6"/>
  <c r="F76" i="6" s="1"/>
  <c r="F75" i="6"/>
  <c r="E75" i="6"/>
  <c r="F74" i="6"/>
  <c r="E74" i="6"/>
  <c r="E73" i="6"/>
  <c r="F73" i="6" s="1"/>
  <c r="F72" i="6"/>
  <c r="E72" i="6"/>
  <c r="F71" i="6"/>
  <c r="E71" i="6"/>
  <c r="F70" i="6"/>
  <c r="E70" i="6"/>
  <c r="D68" i="6"/>
  <c r="C68" i="6"/>
  <c r="E68" i="6" s="1"/>
  <c r="F67" i="6"/>
  <c r="E67" i="6"/>
  <c r="F66" i="6"/>
  <c r="E66" i="6"/>
  <c r="E65" i="6"/>
  <c r="F65" i="6" s="1"/>
  <c r="E64" i="6"/>
  <c r="F64" i="6" s="1"/>
  <c r="E63" i="6"/>
  <c r="F63" i="6" s="1"/>
  <c r="F62" i="6"/>
  <c r="E62" i="6"/>
  <c r="E61" i="6"/>
  <c r="F61" i="6" s="1"/>
  <c r="F60" i="6"/>
  <c r="E60" i="6"/>
  <c r="F59" i="6"/>
  <c r="E59" i="6"/>
  <c r="F58" i="6"/>
  <c r="E58" i="6"/>
  <c r="E57" i="6"/>
  <c r="F57" i="6" s="1"/>
  <c r="D51" i="6"/>
  <c r="C51" i="6"/>
  <c r="F51" i="6" s="1"/>
  <c r="D50" i="6"/>
  <c r="E50" i="6" s="1"/>
  <c r="C50" i="6"/>
  <c r="F50" i="6" s="1"/>
  <c r="D49" i="6"/>
  <c r="C49" i="6"/>
  <c r="D48" i="6"/>
  <c r="C48" i="6"/>
  <c r="D47" i="6"/>
  <c r="E47" i="6"/>
  <c r="F47" i="6" s="1"/>
  <c r="C47" i="6"/>
  <c r="D46" i="6"/>
  <c r="E46" i="6" s="1"/>
  <c r="C46" i="6"/>
  <c r="D45" i="6"/>
  <c r="C45" i="6"/>
  <c r="E45" i="6" s="1"/>
  <c r="D44" i="6"/>
  <c r="E44" i="6" s="1"/>
  <c r="C44" i="6"/>
  <c r="D43" i="6"/>
  <c r="C43" i="6"/>
  <c r="D42" i="6"/>
  <c r="C42" i="6"/>
  <c r="D41" i="6"/>
  <c r="C41" i="6"/>
  <c r="D38" i="6"/>
  <c r="C38" i="6"/>
  <c r="F37" i="6"/>
  <c r="E37" i="6"/>
  <c r="F36" i="6"/>
  <c r="E36" i="6"/>
  <c r="F35" i="6"/>
  <c r="E35" i="6"/>
  <c r="E34" i="6"/>
  <c r="F34" i="6" s="1"/>
  <c r="F33" i="6"/>
  <c r="E33" i="6"/>
  <c r="F32" i="6"/>
  <c r="E32" i="6"/>
  <c r="F31" i="6"/>
  <c r="E31" i="6"/>
  <c r="E30" i="6"/>
  <c r="F30" i="6" s="1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E22" i="6"/>
  <c r="F22" i="6" s="1"/>
  <c r="F21" i="6"/>
  <c r="E21" i="6"/>
  <c r="F20" i="6"/>
  <c r="E20" i="6"/>
  <c r="F19" i="6"/>
  <c r="E19" i="6"/>
  <c r="E18" i="6"/>
  <c r="F18" i="6" s="1"/>
  <c r="F17" i="6"/>
  <c r="E17" i="6"/>
  <c r="F16" i="6"/>
  <c r="E16" i="6"/>
  <c r="F15" i="6"/>
  <c r="E15" i="6"/>
  <c r="E14" i="6"/>
  <c r="F14" i="6" s="1"/>
  <c r="F51" i="5"/>
  <c r="E51" i="5"/>
  <c r="F48" i="5"/>
  <c r="D48" i="5"/>
  <c r="E48" i="5" s="1"/>
  <c r="C48" i="5"/>
  <c r="F47" i="5"/>
  <c r="E47" i="5"/>
  <c r="F46" i="5"/>
  <c r="E46" i="5"/>
  <c r="D41" i="5"/>
  <c r="E41" i="5" s="1"/>
  <c r="F41" i="5" s="1"/>
  <c r="C41" i="5"/>
  <c r="F40" i="5"/>
  <c r="E40" i="5"/>
  <c r="E39" i="5"/>
  <c r="F39" i="5" s="1"/>
  <c r="F38" i="5"/>
  <c r="E38" i="5"/>
  <c r="D33" i="5"/>
  <c r="C33" i="5"/>
  <c r="F32" i="5"/>
  <c r="E32" i="5"/>
  <c r="F31" i="5"/>
  <c r="E31" i="5"/>
  <c r="F30" i="5"/>
  <c r="E30" i="5"/>
  <c r="E29" i="5"/>
  <c r="F29" i="5" s="1"/>
  <c r="F28" i="5"/>
  <c r="E28" i="5"/>
  <c r="F27" i="5"/>
  <c r="E27" i="5"/>
  <c r="F26" i="5"/>
  <c r="E26" i="5"/>
  <c r="E25" i="5"/>
  <c r="F25" i="5" s="1"/>
  <c r="F24" i="5"/>
  <c r="E24" i="5"/>
  <c r="F20" i="5"/>
  <c r="E20" i="5"/>
  <c r="F19" i="5"/>
  <c r="E19" i="5"/>
  <c r="F17" i="5"/>
  <c r="E17" i="5"/>
  <c r="D16" i="5"/>
  <c r="C16" i="5"/>
  <c r="F15" i="5"/>
  <c r="E15" i="5"/>
  <c r="F14" i="5"/>
  <c r="E14" i="5"/>
  <c r="E13" i="5"/>
  <c r="F13" i="5" s="1"/>
  <c r="F12" i="5"/>
  <c r="E12" i="5"/>
  <c r="D73" i="4"/>
  <c r="E73" i="4" s="1"/>
  <c r="F73" i="4"/>
  <c r="C73" i="4"/>
  <c r="E72" i="4"/>
  <c r="F72" i="4" s="1"/>
  <c r="F71" i="4"/>
  <c r="E71" i="4"/>
  <c r="F70" i="4"/>
  <c r="E70" i="4"/>
  <c r="F67" i="4"/>
  <c r="E67" i="4"/>
  <c r="E64" i="4"/>
  <c r="F64" i="4" s="1"/>
  <c r="F63" i="4"/>
  <c r="E63" i="4"/>
  <c r="D61" i="4"/>
  <c r="D65" i="4" s="1"/>
  <c r="D75" i="4" s="1"/>
  <c r="C61" i="4"/>
  <c r="E60" i="4"/>
  <c r="F60" i="4" s="1"/>
  <c r="E59" i="4"/>
  <c r="F59" i="4" s="1"/>
  <c r="D56" i="4"/>
  <c r="C56" i="4"/>
  <c r="F55" i="4"/>
  <c r="E55" i="4"/>
  <c r="E54" i="4"/>
  <c r="F54" i="4" s="1"/>
  <c r="E53" i="4"/>
  <c r="F53" i="4" s="1"/>
  <c r="F52" i="4"/>
  <c r="E52" i="4"/>
  <c r="F51" i="4"/>
  <c r="E51" i="4"/>
  <c r="A53" i="4"/>
  <c r="A54" i="4" s="1"/>
  <c r="A55" i="4" s="1"/>
  <c r="E50" i="4"/>
  <c r="F50" i="4" s="1"/>
  <c r="A50" i="4"/>
  <c r="A51" i="4" s="1"/>
  <c r="A52" i="4" s="1"/>
  <c r="F49" i="4"/>
  <c r="E49" i="4"/>
  <c r="E40" i="4"/>
  <c r="F40" i="4" s="1"/>
  <c r="D38" i="4"/>
  <c r="E38" i="4"/>
  <c r="F38" i="4" s="1"/>
  <c r="C38" i="4"/>
  <c r="C41" i="4" s="1"/>
  <c r="E37" i="4"/>
  <c r="F37" i="4" s="1"/>
  <c r="E36" i="4"/>
  <c r="F36" i="4" s="1"/>
  <c r="F33" i="4"/>
  <c r="E33" i="4"/>
  <c r="E32" i="4"/>
  <c r="F32" i="4" s="1"/>
  <c r="F31" i="4"/>
  <c r="E31" i="4"/>
  <c r="D29" i="4"/>
  <c r="E29" i="4" s="1"/>
  <c r="F29" i="4"/>
  <c r="C29" i="4"/>
  <c r="E28" i="4"/>
  <c r="F28" i="4" s="1"/>
  <c r="F27" i="4"/>
  <c r="E27" i="4"/>
  <c r="F26" i="4"/>
  <c r="E26" i="4"/>
  <c r="E25" i="4"/>
  <c r="F25" i="4" s="1"/>
  <c r="D22" i="4"/>
  <c r="E22" i="4" s="1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E14" i="4"/>
  <c r="F14" i="4" s="1"/>
  <c r="E13" i="4"/>
  <c r="F13" i="4" s="1"/>
  <c r="E109" i="22"/>
  <c r="E108" i="22"/>
  <c r="D22" i="22"/>
  <c r="D35" i="22" s="1"/>
  <c r="C23" i="22"/>
  <c r="E23" i="22"/>
  <c r="E46" i="22" s="1"/>
  <c r="D33" i="22"/>
  <c r="C34" i="22"/>
  <c r="E34" i="22"/>
  <c r="D101" i="22"/>
  <c r="D103" i="22" s="1"/>
  <c r="E102" i="22"/>
  <c r="E103" i="22" s="1"/>
  <c r="C22" i="22"/>
  <c r="E22" i="22"/>
  <c r="C41" i="20"/>
  <c r="F40" i="20"/>
  <c r="D41" i="20"/>
  <c r="E39" i="20"/>
  <c r="E41" i="20" s="1"/>
  <c r="F41" i="20" s="1"/>
  <c r="E19" i="20"/>
  <c r="F19" i="20"/>
  <c r="C129" i="19"/>
  <c r="C133" i="19" s="1"/>
  <c r="C22" i="19"/>
  <c r="E43" i="18"/>
  <c r="D192" i="17"/>
  <c r="E294" i="17"/>
  <c r="F294" i="17" s="1"/>
  <c r="E296" i="17"/>
  <c r="E297" i="17"/>
  <c r="F297" i="17" s="1"/>
  <c r="D283" i="18"/>
  <c r="E283" i="18"/>
  <c r="C22" i="18"/>
  <c r="C284" i="18" s="1"/>
  <c r="E54" i="18"/>
  <c r="E60" i="18"/>
  <c r="D65" i="18"/>
  <c r="E70" i="18"/>
  <c r="D71" i="18"/>
  <c r="E21" i="18"/>
  <c r="E37" i="18"/>
  <c r="E69" i="18"/>
  <c r="D157" i="18"/>
  <c r="E151" i="18"/>
  <c r="D163" i="18"/>
  <c r="E163" i="18" s="1"/>
  <c r="C261" i="18"/>
  <c r="C189" i="18"/>
  <c r="D239" i="18"/>
  <c r="E239" i="18"/>
  <c r="E215" i="18"/>
  <c r="E242" i="18"/>
  <c r="D252" i="18"/>
  <c r="E252" i="18" s="1"/>
  <c r="E302" i="18"/>
  <c r="C303" i="18"/>
  <c r="C306" i="18"/>
  <c r="C310" i="18" s="1"/>
  <c r="C229" i="18"/>
  <c r="C210" i="18"/>
  <c r="C234" i="18" s="1"/>
  <c r="E205" i="18"/>
  <c r="C240" i="18"/>
  <c r="C222" i="18"/>
  <c r="C246" i="18"/>
  <c r="E216" i="18"/>
  <c r="D306" i="18"/>
  <c r="E326" i="18"/>
  <c r="D330" i="18"/>
  <c r="E330" i="18" s="1"/>
  <c r="C217" i="18"/>
  <c r="C241" i="18"/>
  <c r="E219" i="18"/>
  <c r="C223" i="18"/>
  <c r="C252" i="18"/>
  <c r="E265" i="18"/>
  <c r="E314" i="18"/>
  <c r="E218" i="18"/>
  <c r="E233" i="18"/>
  <c r="E324" i="18"/>
  <c r="D32" i="17"/>
  <c r="E48" i="17"/>
  <c r="F48" i="17" s="1"/>
  <c r="D61" i="17"/>
  <c r="E60" i="17"/>
  <c r="F60" i="17" s="1"/>
  <c r="C160" i="17"/>
  <c r="C90" i="17"/>
  <c r="C61" i="17"/>
  <c r="C21" i="17"/>
  <c r="E30" i="17"/>
  <c r="F30" i="17" s="1"/>
  <c r="E47" i="17"/>
  <c r="F47" i="17"/>
  <c r="E59" i="17"/>
  <c r="F59" i="17" s="1"/>
  <c r="E66" i="17"/>
  <c r="F66" i="17" s="1"/>
  <c r="F94" i="17"/>
  <c r="F95" i="17"/>
  <c r="F100" i="17"/>
  <c r="C193" i="17"/>
  <c r="C266" i="17" s="1"/>
  <c r="E123" i="17"/>
  <c r="E129" i="17"/>
  <c r="F129" i="17"/>
  <c r="C207" i="17"/>
  <c r="C208" i="17" s="1"/>
  <c r="E88" i="17"/>
  <c r="F88" i="17" s="1"/>
  <c r="E101" i="17"/>
  <c r="F101" i="17" s="1"/>
  <c r="E110" i="17"/>
  <c r="F110" i="17" s="1"/>
  <c r="E135" i="17"/>
  <c r="F135" i="17"/>
  <c r="D207" i="17"/>
  <c r="D138" i="17"/>
  <c r="E138" i="17" s="1"/>
  <c r="F138" i="17" s="1"/>
  <c r="E137" i="17"/>
  <c r="F137" i="17" s="1"/>
  <c r="E144" i="17"/>
  <c r="F144" i="17"/>
  <c r="E164" i="17"/>
  <c r="E170" i="17"/>
  <c r="C173" i="17"/>
  <c r="F173" i="17" s="1"/>
  <c r="C181" i="17"/>
  <c r="F181" i="17"/>
  <c r="C277" i="17"/>
  <c r="E188" i="17"/>
  <c r="F188" i="17"/>
  <c r="C190" i="17"/>
  <c r="C280" i="17"/>
  <c r="E191" i="17"/>
  <c r="F191" i="17" s="1"/>
  <c r="C200" i="17"/>
  <c r="C283" i="17"/>
  <c r="E203" i="17"/>
  <c r="F203" i="17" s="1"/>
  <c r="C205" i="17"/>
  <c r="C206" i="17"/>
  <c r="C214" i="17"/>
  <c r="F223" i="17"/>
  <c r="E230" i="17"/>
  <c r="F230" i="17" s="1"/>
  <c r="C254" i="17"/>
  <c r="C261" i="17"/>
  <c r="C264" i="17"/>
  <c r="C300" i="17" s="1"/>
  <c r="E109" i="17"/>
  <c r="F109" i="17"/>
  <c r="C111" i="17"/>
  <c r="E111" i="17" s="1"/>
  <c r="E120" i="17"/>
  <c r="F120" i="17"/>
  <c r="F130" i="17"/>
  <c r="E136" i="17"/>
  <c r="F136" i="17"/>
  <c r="E158" i="17"/>
  <c r="E165" i="17"/>
  <c r="E171" i="17"/>
  <c r="E172" i="17"/>
  <c r="E180" i="17"/>
  <c r="C278" i="17"/>
  <c r="E278" i="17" s="1"/>
  <c r="C290" i="17"/>
  <c r="C274" i="17"/>
  <c r="E198" i="17"/>
  <c r="F198" i="17"/>
  <c r="C285" i="17"/>
  <c r="E204" i="17"/>
  <c r="F204" i="17" s="1"/>
  <c r="E226" i="17"/>
  <c r="F226" i="17"/>
  <c r="E229" i="17"/>
  <c r="F229" i="17" s="1"/>
  <c r="E237" i="17"/>
  <c r="F237" i="17"/>
  <c r="C239" i="17"/>
  <c r="C306" i="17"/>
  <c r="E250" i="17"/>
  <c r="F250" i="17"/>
  <c r="C267" i="17"/>
  <c r="C270" i="17" s="1"/>
  <c r="C269" i="17"/>
  <c r="D124" i="17"/>
  <c r="D125" i="17" s="1"/>
  <c r="E277" i="17"/>
  <c r="D279" i="17"/>
  <c r="E279" i="17" s="1"/>
  <c r="D190" i="17"/>
  <c r="E190" i="17" s="1"/>
  <c r="D290" i="17"/>
  <c r="E290" i="17" s="1"/>
  <c r="D274" i="17"/>
  <c r="E274" i="17"/>
  <c r="D199" i="17"/>
  <c r="D200" i="17"/>
  <c r="E200" i="17" s="1"/>
  <c r="F200" i="17" s="1"/>
  <c r="D283" i="17"/>
  <c r="D267" i="17"/>
  <c r="D285" i="17"/>
  <c r="D269" i="17"/>
  <c r="E269" i="17" s="1"/>
  <c r="D205" i="17"/>
  <c r="E205" i="17"/>
  <c r="F205" i="17" s="1"/>
  <c r="D206" i="17"/>
  <c r="E206" i="17"/>
  <c r="D214" i="17"/>
  <c r="D254" i="17" s="1"/>
  <c r="D215" i="17"/>
  <c r="D261" i="17"/>
  <c r="D262" i="17"/>
  <c r="D264" i="17"/>
  <c r="E264" i="17" s="1"/>
  <c r="F264" i="17" s="1"/>
  <c r="F295" i="17"/>
  <c r="F296" i="17"/>
  <c r="F298" i="17"/>
  <c r="F45" i="15"/>
  <c r="F16" i="15"/>
  <c r="E16" i="15"/>
  <c r="E23" i="15"/>
  <c r="F23" i="15"/>
  <c r="E30" i="15"/>
  <c r="F30" i="15" s="1"/>
  <c r="E37" i="15"/>
  <c r="F37" i="15" s="1"/>
  <c r="E45" i="15"/>
  <c r="E50" i="15"/>
  <c r="F50" i="15" s="1"/>
  <c r="E55" i="15"/>
  <c r="E65" i="15"/>
  <c r="F65" i="15"/>
  <c r="E70" i="15"/>
  <c r="F70" i="15" s="1"/>
  <c r="E75" i="15"/>
  <c r="F75" i="15" s="1"/>
  <c r="E92" i="15"/>
  <c r="F92" i="15"/>
  <c r="E100" i="15"/>
  <c r="F100" i="15"/>
  <c r="E107" i="15"/>
  <c r="F107" i="15" s="1"/>
  <c r="H31" i="14"/>
  <c r="I17" i="14"/>
  <c r="C33" i="14"/>
  <c r="C36" i="14" s="1"/>
  <c r="C38" i="14" s="1"/>
  <c r="C40" i="14" s="1"/>
  <c r="E33" i="14"/>
  <c r="E36" i="14" s="1"/>
  <c r="E38" i="14"/>
  <c r="E40" i="14"/>
  <c r="G33" i="14"/>
  <c r="G36" i="14" s="1"/>
  <c r="G38" i="14" s="1"/>
  <c r="G40" i="14" s="1"/>
  <c r="H17" i="14"/>
  <c r="C21" i="13"/>
  <c r="E21" i="13"/>
  <c r="C15" i="13"/>
  <c r="E15" i="13"/>
  <c r="E48" i="13"/>
  <c r="E42" i="13"/>
  <c r="C20" i="12"/>
  <c r="D17" i="12"/>
  <c r="D41" i="11"/>
  <c r="E41" i="11" s="1"/>
  <c r="F41" i="11" s="1"/>
  <c r="D65" i="11"/>
  <c r="D75" i="11" s="1"/>
  <c r="E112" i="10"/>
  <c r="F112" i="10" s="1"/>
  <c r="F207" i="9"/>
  <c r="E198" i="9"/>
  <c r="F198" i="9"/>
  <c r="F199" i="9"/>
  <c r="E21" i="8"/>
  <c r="C140" i="8"/>
  <c r="C138" i="8"/>
  <c r="C139" i="8"/>
  <c r="C137" i="8"/>
  <c r="C141" i="8" s="1"/>
  <c r="C135" i="8"/>
  <c r="E157" i="8"/>
  <c r="E155" i="8"/>
  <c r="E153" i="8"/>
  <c r="E154" i="8"/>
  <c r="E152" i="8"/>
  <c r="E158" i="8"/>
  <c r="D21" i="8"/>
  <c r="E140" i="8"/>
  <c r="E138" i="8"/>
  <c r="E139" i="8"/>
  <c r="D137" i="8"/>
  <c r="D135" i="8"/>
  <c r="D140" i="8"/>
  <c r="D138" i="8"/>
  <c r="C157" i="8"/>
  <c r="C153" i="8"/>
  <c r="C154" i="8"/>
  <c r="D15" i="8"/>
  <c r="D17" i="8" s="1"/>
  <c r="D28" i="8" s="1"/>
  <c r="C43" i="8"/>
  <c r="E43" i="8"/>
  <c r="D49" i="8"/>
  <c r="C53" i="8"/>
  <c r="E53" i="8"/>
  <c r="D57" i="8"/>
  <c r="D62" i="8" s="1"/>
  <c r="D77" i="8"/>
  <c r="D71" i="8" s="1"/>
  <c r="C49" i="8"/>
  <c r="E49" i="8"/>
  <c r="F183" i="7"/>
  <c r="E183" i="7"/>
  <c r="F179" i="6"/>
  <c r="E41" i="6"/>
  <c r="F41" i="6" s="1"/>
  <c r="E84" i="6"/>
  <c r="D41" i="4"/>
  <c r="E61" i="4"/>
  <c r="E45" i="22"/>
  <c r="E39" i="22"/>
  <c r="E29" i="22"/>
  <c r="E110" i="22"/>
  <c r="C54" i="22"/>
  <c r="C40" i="22"/>
  <c r="C36" i="22"/>
  <c r="C30" i="22"/>
  <c r="C48" i="22" s="1"/>
  <c r="C53" i="22"/>
  <c r="C45" i="22"/>
  <c r="C39" i="22"/>
  <c r="C35" i="22"/>
  <c r="C29" i="22"/>
  <c r="C110" i="22"/>
  <c r="E111" i="22"/>
  <c r="E54" i="22"/>
  <c r="E40" i="22"/>
  <c r="E36" i="22"/>
  <c r="E30" i="22"/>
  <c r="D110" i="22"/>
  <c r="D53" i="22"/>
  <c r="D45" i="22"/>
  <c r="D39" i="22"/>
  <c r="D29" i="22"/>
  <c r="D47" i="22" s="1"/>
  <c r="F39" i="20"/>
  <c r="D310" i="18"/>
  <c r="E310" i="18" s="1"/>
  <c r="C253" i="18"/>
  <c r="C254" i="18"/>
  <c r="E284" i="18"/>
  <c r="C211" i="18"/>
  <c r="C235" i="18" s="1"/>
  <c r="D272" i="17"/>
  <c r="D255" i="17"/>
  <c r="D270" i="17"/>
  <c r="E270" i="17" s="1"/>
  <c r="E267" i="17"/>
  <c r="F267" i="17"/>
  <c r="D288" i="17"/>
  <c r="F274" i="17"/>
  <c r="F278" i="17"/>
  <c r="C271" i="17"/>
  <c r="C268" i="17"/>
  <c r="D208" i="17"/>
  <c r="E208" i="17" s="1"/>
  <c r="F208" i="17" s="1"/>
  <c r="D210" i="17"/>
  <c r="E207" i="17"/>
  <c r="F207" i="17" s="1"/>
  <c r="C209" i="17"/>
  <c r="F209" i="17" s="1"/>
  <c r="D271" i="17"/>
  <c r="D268" i="17"/>
  <c r="E268" i="17"/>
  <c r="D263" i="17"/>
  <c r="E261" i="17"/>
  <c r="F261" i="17"/>
  <c r="E214" i="17"/>
  <c r="F214" i="17"/>
  <c r="D284" i="17"/>
  <c r="E284" i="17" s="1"/>
  <c r="F269" i="17"/>
  <c r="F290" i="17"/>
  <c r="C265" i="17"/>
  <c r="C284" i="17"/>
  <c r="C279" i="17"/>
  <c r="C194" i="17"/>
  <c r="C304" i="17"/>
  <c r="C282" i="17"/>
  <c r="D140" i="17"/>
  <c r="D141" i="17" s="1"/>
  <c r="C24" i="13"/>
  <c r="C20" i="13"/>
  <c r="C17" i="13"/>
  <c r="C28" i="13" s="1"/>
  <c r="E24" i="13"/>
  <c r="E20" i="13"/>
  <c r="E17" i="13"/>
  <c r="E28" i="13"/>
  <c r="E22" i="13" s="1"/>
  <c r="C34" i="12"/>
  <c r="C112" i="8"/>
  <c r="C111" i="8"/>
  <c r="C28" i="8"/>
  <c r="C99" i="8" s="1"/>
  <c r="C101" i="8" s="1"/>
  <c r="C98" i="8" s="1"/>
  <c r="D24" i="8"/>
  <c r="D20" i="8"/>
  <c r="E188" i="7"/>
  <c r="F188" i="7" s="1"/>
  <c r="D112" i="22"/>
  <c r="D55" i="22"/>
  <c r="D37" i="22"/>
  <c r="E113" i="22"/>
  <c r="C113" i="22"/>
  <c r="C56" i="22"/>
  <c r="C38" i="22"/>
  <c r="C55" i="22"/>
  <c r="C47" i="22"/>
  <c r="C37" i="22"/>
  <c r="C112" i="22"/>
  <c r="E47" i="22"/>
  <c r="E112" i="22"/>
  <c r="D209" i="17"/>
  <c r="E209" i="17" s="1"/>
  <c r="D211" i="17"/>
  <c r="C195" i="17"/>
  <c r="D273" i="17"/>
  <c r="F270" i="17"/>
  <c r="C70" i="13"/>
  <c r="C72" i="13"/>
  <c r="C69" i="13"/>
  <c r="C22" i="13"/>
  <c r="C42" i="12"/>
  <c r="C49" i="12" s="1"/>
  <c r="D112" i="8"/>
  <c r="D111" i="8" s="1"/>
  <c r="D99" i="8"/>
  <c r="D101" i="8"/>
  <c r="D98" i="8" s="1"/>
  <c r="D22" i="8"/>
  <c r="D322" i="17" l="1"/>
  <c r="E260" i="18"/>
  <c r="E95" i="6"/>
  <c r="F285" i="17"/>
  <c r="E208" i="9"/>
  <c r="F111" i="17"/>
  <c r="D168" i="18"/>
  <c r="D245" i="18"/>
  <c r="E245" i="18" s="1"/>
  <c r="E221" i="18"/>
  <c r="F279" i="17"/>
  <c r="E135" i="8"/>
  <c r="E136" i="8"/>
  <c r="E63" i="9"/>
  <c r="E56" i="22"/>
  <c r="E48" i="22"/>
  <c r="E38" i="22"/>
  <c r="D104" i="17"/>
  <c r="E61" i="17"/>
  <c r="E195" i="18"/>
  <c r="C144" i="18"/>
  <c r="E139" i="18"/>
  <c r="C175" i="18"/>
  <c r="D261" i="18"/>
  <c r="E261" i="18" s="1"/>
  <c r="D189" i="18"/>
  <c r="E189" i="18" s="1"/>
  <c r="C18" i="5"/>
  <c r="E51" i="6"/>
  <c r="E86" i="6"/>
  <c r="F86" i="6" s="1"/>
  <c r="E316" i="18"/>
  <c r="D320" i="18"/>
  <c r="E320" i="18" s="1"/>
  <c r="D139" i="17"/>
  <c r="E173" i="17"/>
  <c r="D300" i="17"/>
  <c r="E300" i="17" s="1"/>
  <c r="F300" i="17" s="1"/>
  <c r="E306" i="17"/>
  <c r="E285" i="17"/>
  <c r="C287" i="17"/>
  <c r="F277" i="17"/>
  <c r="C174" i="17"/>
  <c r="C139" i="17"/>
  <c r="F61" i="17"/>
  <c r="D253" i="18"/>
  <c r="E253" i="18" s="1"/>
  <c r="E188" i="18"/>
  <c r="C65" i="4"/>
  <c r="F61" i="4"/>
  <c r="D18" i="5"/>
  <c r="E16" i="5"/>
  <c r="F16" i="5" s="1"/>
  <c r="D52" i="6"/>
  <c r="E52" i="6" s="1"/>
  <c r="F45" i="6"/>
  <c r="F48" i="6"/>
  <c r="E69" i="13"/>
  <c r="E102" i="17"/>
  <c r="D103" i="17"/>
  <c r="E145" i="17"/>
  <c r="F145" i="17"/>
  <c r="F43" i="6"/>
  <c r="C288" i="17"/>
  <c r="E280" i="17"/>
  <c r="F280" i="17" s="1"/>
  <c r="C281" i="17"/>
  <c r="D294" i="18"/>
  <c r="D66" i="18"/>
  <c r="E66" i="18" s="1"/>
  <c r="E65" i="18"/>
  <c r="C75" i="4"/>
  <c r="E43" i="6"/>
  <c r="E88" i="9"/>
  <c r="E271" i="17"/>
  <c r="D304" i="17"/>
  <c r="F284" i="17"/>
  <c r="E37" i="22"/>
  <c r="E55" i="22"/>
  <c r="D20" i="12"/>
  <c r="E17" i="12"/>
  <c r="F17" i="12" s="1"/>
  <c r="C155" i="8"/>
  <c r="C156" i="8"/>
  <c r="E159" i="17"/>
  <c r="D160" i="17"/>
  <c r="E160" i="17" s="1"/>
  <c r="F160" i="17" s="1"/>
  <c r="I33" i="14"/>
  <c r="I36" i="14" s="1"/>
  <c r="I38" i="14" s="1"/>
  <c r="I40" i="14" s="1"/>
  <c r="E70" i="13"/>
  <c r="E72" i="13" s="1"/>
  <c r="D62" i="17"/>
  <c r="F268" i="17"/>
  <c r="E22" i="18"/>
  <c r="E217" i="18"/>
  <c r="F238" i="17"/>
  <c r="C286" i="17"/>
  <c r="F124" i="6"/>
  <c r="E17" i="8"/>
  <c r="E24" i="8"/>
  <c r="E20" i="8" s="1"/>
  <c r="D90" i="17"/>
  <c r="E90" i="17" s="1"/>
  <c r="F90" i="17" s="1"/>
  <c r="E89" i="17"/>
  <c r="F89" i="17" s="1"/>
  <c r="E203" i="9"/>
  <c r="F203" i="9"/>
  <c r="E41" i="4"/>
  <c r="F41" i="4" s="1"/>
  <c r="D43" i="4"/>
  <c r="E43" i="4" s="1"/>
  <c r="F43" i="4" s="1"/>
  <c r="E251" i="18"/>
  <c r="D145" i="18"/>
  <c r="E75" i="9"/>
  <c r="F75" i="9" s="1"/>
  <c r="C33" i="18"/>
  <c r="C295" i="18" s="1"/>
  <c r="E32" i="18"/>
  <c r="C294" i="18"/>
  <c r="C91" i="17"/>
  <c r="C49" i="17"/>
  <c r="C196" i="17"/>
  <c r="C161" i="17"/>
  <c r="E239" i="17"/>
  <c r="F239" i="17" s="1"/>
  <c r="D43" i="11"/>
  <c r="E43" i="11" s="1"/>
  <c r="D174" i="17"/>
  <c r="E174" i="17" s="1"/>
  <c r="F271" i="17"/>
  <c r="E56" i="4"/>
  <c r="F56" i="4" s="1"/>
  <c r="C152" i="8"/>
  <c r="E137" i="8"/>
  <c r="E71" i="18"/>
  <c r="D76" i="18"/>
  <c r="E42" i="6"/>
  <c r="F42" i="6" s="1"/>
  <c r="E59" i="7"/>
  <c r="F59" i="7"/>
  <c r="F119" i="10"/>
  <c r="F47" i="12"/>
  <c r="E47" i="12"/>
  <c r="F31" i="17"/>
  <c r="E36" i="9"/>
  <c r="F40" i="12"/>
  <c r="D216" i="17"/>
  <c r="F190" i="17"/>
  <c r="E192" i="17"/>
  <c r="D193" i="17"/>
  <c r="E53" i="22"/>
  <c r="E35" i="22"/>
  <c r="F46" i="6"/>
  <c r="F81" i="6"/>
  <c r="E30" i="7"/>
  <c r="F30" i="7" s="1"/>
  <c r="E23" i="9"/>
  <c r="D122" i="10"/>
  <c r="E122" i="10" s="1"/>
  <c r="F122" i="10" s="1"/>
  <c r="E113" i="10"/>
  <c r="F113" i="10" s="1"/>
  <c r="F227" i="17"/>
  <c r="D44" i="18"/>
  <c r="E36" i="18"/>
  <c r="C21" i="8"/>
  <c r="E254" i="17"/>
  <c r="F254" i="17" s="1"/>
  <c r="F206" i="17"/>
  <c r="C32" i="17"/>
  <c r="E31" i="17"/>
  <c r="E306" i="18"/>
  <c r="C46" i="22"/>
  <c r="C111" i="22"/>
  <c r="E49" i="6"/>
  <c r="F49" i="6" s="1"/>
  <c r="E92" i="6"/>
  <c r="F92" i="6" s="1"/>
  <c r="F137" i="6"/>
  <c r="F202" i="9"/>
  <c r="E114" i="10"/>
  <c r="F114" i="10" s="1"/>
  <c r="D48" i="13"/>
  <c r="D42" i="13" s="1"/>
  <c r="D59" i="13"/>
  <c r="D61" i="13" s="1"/>
  <c r="D57" i="13" s="1"/>
  <c r="E20" i="17"/>
  <c r="F20" i="17" s="1"/>
  <c r="D21" i="17"/>
  <c r="E76" i="17"/>
  <c r="F76" i="17" s="1"/>
  <c r="C77" i="17"/>
  <c r="E77" i="17" s="1"/>
  <c r="C262" i="17"/>
  <c r="C215" i="17"/>
  <c r="C255" i="17"/>
  <c r="E189" i="17"/>
  <c r="F189" i="17" s="1"/>
  <c r="C199" i="17"/>
  <c r="C259" i="18"/>
  <c r="C263" i="18" s="1"/>
  <c r="E43" i="20"/>
  <c r="D46" i="20"/>
  <c r="C109" i="22"/>
  <c r="C108" i="22"/>
  <c r="C101" i="22"/>
  <c r="C103" i="22" s="1"/>
  <c r="C22" i="8"/>
  <c r="D286" i="17"/>
  <c r="E286" i="17" s="1"/>
  <c r="D287" i="17"/>
  <c r="E283" i="17"/>
  <c r="F283" i="17" s="1"/>
  <c r="D175" i="17"/>
  <c r="C52" i="6"/>
  <c r="F68" i="6"/>
  <c r="F84" i="6"/>
  <c r="C95" i="6"/>
  <c r="F111" i="6"/>
  <c r="E137" i="6"/>
  <c r="D136" i="8"/>
  <c r="D139" i="8"/>
  <c r="E192" i="9"/>
  <c r="E202" i="9"/>
  <c r="E48" i="10"/>
  <c r="E108" i="10"/>
  <c r="F108" i="10"/>
  <c r="F29" i="11"/>
  <c r="E44" i="17"/>
  <c r="F44" i="17"/>
  <c r="C192" i="17"/>
  <c r="C124" i="17"/>
  <c r="F123" i="17"/>
  <c r="D222" i="18"/>
  <c r="D240" i="18"/>
  <c r="E240" i="18" s="1"/>
  <c r="D109" i="22"/>
  <c r="D108" i="22"/>
  <c r="F22" i="4"/>
  <c r="E38" i="6"/>
  <c r="F38" i="6" s="1"/>
  <c r="E48" i="6"/>
  <c r="E35" i="7"/>
  <c r="F35" i="7" s="1"/>
  <c r="E102" i="9"/>
  <c r="E179" i="9"/>
  <c r="E85" i="17"/>
  <c r="F85" i="17" s="1"/>
  <c r="E299" i="17"/>
  <c r="F299" i="17" s="1"/>
  <c r="D175" i="18"/>
  <c r="E175" i="18" s="1"/>
  <c r="C157" i="18"/>
  <c r="E157" i="18" s="1"/>
  <c r="E156" i="18"/>
  <c r="F44" i="6"/>
  <c r="E121" i="7"/>
  <c r="F121" i="7" s="1"/>
  <c r="E33" i="5"/>
  <c r="F33" i="5" s="1"/>
  <c r="E96" i="10"/>
  <c r="F96" i="10"/>
  <c r="E29" i="11"/>
  <c r="C59" i="13"/>
  <c r="C61" i="13" s="1"/>
  <c r="C57" i="13" s="1"/>
  <c r="C48" i="13"/>
  <c r="C42" i="13" s="1"/>
  <c r="E36" i="17"/>
  <c r="F36" i="17"/>
  <c r="C37" i="17"/>
  <c r="E52" i="17"/>
  <c r="F52" i="17"/>
  <c r="C103" i="17"/>
  <c r="C104" i="17" s="1"/>
  <c r="F102" i="17"/>
  <c r="D181" i="17"/>
  <c r="E181" i="17" s="1"/>
  <c r="E179" i="17"/>
  <c r="D229" i="18"/>
  <c r="E229" i="18" s="1"/>
  <c r="D210" i="18"/>
  <c r="D244" i="18"/>
  <c r="E244" i="18" s="1"/>
  <c r="E220" i="18"/>
  <c r="E167" i="7"/>
  <c r="F167" i="7" s="1"/>
  <c r="E109" i="8"/>
  <c r="E106" i="8" s="1"/>
  <c r="F49" i="9"/>
  <c r="F76" i="9"/>
  <c r="F200" i="9"/>
  <c r="C121" i="10"/>
  <c r="E120" i="10"/>
  <c r="F120" i="10" s="1"/>
  <c r="C64" i="19"/>
  <c r="C65" i="19" s="1"/>
  <c r="C114" i="19" s="1"/>
  <c r="C116" i="19" s="1"/>
  <c r="C119" i="19" s="1"/>
  <c r="C123" i="19" s="1"/>
  <c r="C95" i="7"/>
  <c r="E95" i="7" s="1"/>
  <c r="D166" i="8"/>
  <c r="E40" i="12"/>
  <c r="D68" i="17"/>
  <c r="E68" i="17" s="1"/>
  <c r="F68" i="17" s="1"/>
  <c r="E90" i="8"/>
  <c r="E86" i="8" s="1"/>
  <c r="E201" i="9"/>
  <c r="F201" i="9"/>
  <c r="F118" i="10"/>
  <c r="F61" i="11"/>
  <c r="D25" i="13"/>
  <c r="D27" i="13" s="1"/>
  <c r="D15" i="13"/>
  <c r="E60" i="15"/>
  <c r="E24" i="9"/>
  <c r="E101" i="9"/>
  <c r="E153" i="9"/>
  <c r="E206" i="9"/>
  <c r="F206" i="9" s="1"/>
  <c r="F56" i="11"/>
  <c r="F17" i="17"/>
  <c r="E58" i="17"/>
  <c r="F58" i="17" s="1"/>
  <c r="C146" i="17"/>
  <c r="F158" i="17"/>
  <c r="E277" i="18"/>
  <c r="D23" i="22"/>
  <c r="C208" i="9"/>
  <c r="E204" i="9"/>
  <c r="F204" i="9" s="1"/>
  <c r="C43" i="11"/>
  <c r="F53" i="17"/>
  <c r="C77" i="18"/>
  <c r="E20" i="20"/>
  <c r="F20" i="20" s="1"/>
  <c r="F95" i="10"/>
  <c r="F19" i="16"/>
  <c r="F25" i="16"/>
  <c r="E53" i="17"/>
  <c r="C44" i="18"/>
  <c r="C88" i="22"/>
  <c r="C65" i="11"/>
  <c r="E36" i="20"/>
  <c r="F36" i="20" s="1"/>
  <c r="F33" i="14"/>
  <c r="F104" i="17" l="1"/>
  <c r="D54" i="22"/>
  <c r="D111" i="22"/>
  <c r="D30" i="22"/>
  <c r="D36" i="22"/>
  <c r="D40" i="22"/>
  <c r="D46" i="22"/>
  <c r="E175" i="17"/>
  <c r="D176" i="17"/>
  <c r="D194" i="17"/>
  <c r="E193" i="17"/>
  <c r="F193" i="17" s="1"/>
  <c r="D266" i="17"/>
  <c r="D282" i="17"/>
  <c r="C145" i="18"/>
  <c r="E145" i="18" s="1"/>
  <c r="C180" i="18"/>
  <c r="C168" i="18"/>
  <c r="E168" i="18" s="1"/>
  <c r="C127" i="18"/>
  <c r="C124" i="18"/>
  <c r="C125" i="18"/>
  <c r="C122" i="18"/>
  <c r="C123" i="18"/>
  <c r="C109" i="18"/>
  <c r="C115" i="18"/>
  <c r="C112" i="18"/>
  <c r="C126" i="18"/>
  <c r="C113" i="18"/>
  <c r="C111" i="18"/>
  <c r="C121" i="18"/>
  <c r="C114" i="18"/>
  <c r="C110" i="18"/>
  <c r="C116" i="18" s="1"/>
  <c r="D234" i="18"/>
  <c r="E234" i="18" s="1"/>
  <c r="D211" i="18"/>
  <c r="D181" i="18" s="1"/>
  <c r="E210" i="18"/>
  <c r="E112" i="8"/>
  <c r="E111" i="8" s="1"/>
  <c r="E28" i="8"/>
  <c r="E146" i="17"/>
  <c r="F146" i="17"/>
  <c r="D246" i="18"/>
  <c r="E246" i="18" s="1"/>
  <c r="D223" i="18"/>
  <c r="E222" i="18"/>
  <c r="E199" i="17"/>
  <c r="F199" i="17" s="1"/>
  <c r="E304" i="17"/>
  <c r="F304" i="17" s="1"/>
  <c r="E294" i="18"/>
  <c r="F174" i="17"/>
  <c r="E139" i="17"/>
  <c r="F139" i="17" s="1"/>
  <c r="E141" i="8"/>
  <c r="C258" i="18"/>
  <c r="C101" i="18"/>
  <c r="C100" i="18"/>
  <c r="C97" i="18"/>
  <c r="C83" i="18"/>
  <c r="C98" i="18"/>
  <c r="C86" i="18"/>
  <c r="C85" i="18"/>
  <c r="C99" i="18"/>
  <c r="C96" i="18"/>
  <c r="C88" i="18"/>
  <c r="C84" i="18"/>
  <c r="C90" i="18" s="1"/>
  <c r="C89" i="18"/>
  <c r="C87" i="18"/>
  <c r="C95" i="18"/>
  <c r="F43" i="11"/>
  <c r="D17" i="13"/>
  <c r="D28" i="13" s="1"/>
  <c r="D70" i="13" s="1"/>
  <c r="D72" i="13" s="1"/>
  <c r="D69" i="13" s="1"/>
  <c r="D24" i="13"/>
  <c r="D20" i="13" s="1"/>
  <c r="F95" i="6"/>
  <c r="C162" i="17"/>
  <c r="D63" i="17"/>
  <c r="D21" i="5"/>
  <c r="E18" i="5"/>
  <c r="F18" i="5" s="1"/>
  <c r="D295" i="18"/>
  <c r="E295" i="18" s="1"/>
  <c r="C21" i="5"/>
  <c r="E104" i="17"/>
  <c r="E33" i="18"/>
  <c r="D21" i="13"/>
  <c r="D22" i="13"/>
  <c r="F124" i="17"/>
  <c r="E124" i="17"/>
  <c r="C125" i="17"/>
  <c r="E255" i="17"/>
  <c r="F255" i="17" s="1"/>
  <c r="D99" i="18"/>
  <c r="E99" i="18" s="1"/>
  <c r="D83" i="18"/>
  <c r="D97" i="18"/>
  <c r="D100" i="18"/>
  <c r="E100" i="18" s="1"/>
  <c r="D95" i="18"/>
  <c r="D96" i="18"/>
  <c r="D88" i="18"/>
  <c r="E44" i="18"/>
  <c r="D86" i="18"/>
  <c r="E86" i="18" s="1"/>
  <c r="D87" i="18"/>
  <c r="E87" i="18" s="1"/>
  <c r="D98" i="18"/>
  <c r="E98" i="18" s="1"/>
  <c r="D89" i="18"/>
  <c r="E89" i="18" s="1"/>
  <c r="D258" i="18"/>
  <c r="D101" i="18"/>
  <c r="D85" i="18"/>
  <c r="D84" i="18"/>
  <c r="C158" i="8"/>
  <c r="C126" i="17"/>
  <c r="D105" i="17"/>
  <c r="E103" i="17"/>
  <c r="F103" i="17" s="1"/>
  <c r="F36" i="14"/>
  <c r="F38" i="14" s="1"/>
  <c r="F40" i="14" s="1"/>
  <c r="H33" i="14"/>
  <c r="H36" i="14" s="1"/>
  <c r="H38" i="14" s="1"/>
  <c r="H40" i="14" s="1"/>
  <c r="C92" i="17"/>
  <c r="E144" i="18"/>
  <c r="C75" i="11"/>
  <c r="E65" i="11"/>
  <c r="F65" i="11" s="1"/>
  <c r="E121" i="10"/>
  <c r="F121" i="10"/>
  <c r="D291" i="17"/>
  <c r="E287" i="17"/>
  <c r="D289" i="17"/>
  <c r="E289" i="17" s="1"/>
  <c r="D180" i="18"/>
  <c r="D155" i="8"/>
  <c r="D156" i="8"/>
  <c r="D157" i="8"/>
  <c r="D154" i="8"/>
  <c r="D152" i="8"/>
  <c r="D153" i="8"/>
  <c r="F192" i="17"/>
  <c r="E215" i="17"/>
  <c r="F215" i="17" s="1"/>
  <c r="C216" i="17"/>
  <c r="E216" i="17" s="1"/>
  <c r="D169" i="18"/>
  <c r="F286" i="17"/>
  <c r="D34" i="12"/>
  <c r="E20" i="12"/>
  <c r="F20" i="12" s="1"/>
  <c r="F65" i="4"/>
  <c r="E65" i="4"/>
  <c r="C291" i="17"/>
  <c r="C289" i="17"/>
  <c r="F287" i="17"/>
  <c r="C175" i="17"/>
  <c r="C62" i="17"/>
  <c r="E62" i="17" s="1"/>
  <c r="C210" i="17"/>
  <c r="E32" i="17"/>
  <c r="F32" i="17" s="1"/>
  <c r="C140" i="17"/>
  <c r="C105" i="17"/>
  <c r="D141" i="8"/>
  <c r="E46" i="20"/>
  <c r="F46" i="20" s="1"/>
  <c r="F43" i="20"/>
  <c r="E75" i="4"/>
  <c r="F75" i="4" s="1"/>
  <c r="E37" i="17"/>
  <c r="F37" i="17" s="1"/>
  <c r="D161" i="17"/>
  <c r="D91" i="17"/>
  <c r="D126" i="17"/>
  <c r="D49" i="17"/>
  <c r="E21" i="17"/>
  <c r="F21" i="17" s="1"/>
  <c r="D196" i="17"/>
  <c r="E76" i="18"/>
  <c r="D259" i="18"/>
  <c r="D77" i="18"/>
  <c r="F208" i="9"/>
  <c r="F95" i="7"/>
  <c r="F52" i="6"/>
  <c r="E262" i="17"/>
  <c r="F262" i="17" s="1"/>
  <c r="C263" i="17"/>
  <c r="C272" i="17"/>
  <c r="C50" i="17"/>
  <c r="D254" i="18"/>
  <c r="E254" i="18" s="1"/>
  <c r="E288" i="17"/>
  <c r="F288" i="17"/>
  <c r="E97" i="18" l="1"/>
  <c r="C117" i="18"/>
  <c r="C176" i="17"/>
  <c r="F176" i="17" s="1"/>
  <c r="F175" i="17"/>
  <c r="E180" i="18"/>
  <c r="E75" i="11"/>
  <c r="F75" i="11" s="1"/>
  <c r="F126" i="17"/>
  <c r="C127" i="17"/>
  <c r="E83" i="18"/>
  <c r="E21" i="5"/>
  <c r="D35" i="5"/>
  <c r="C102" i="18"/>
  <c r="E126" i="17"/>
  <c r="D127" i="17"/>
  <c r="C264" i="18"/>
  <c r="C266" i="18" s="1"/>
  <c r="C267" i="18" s="1"/>
  <c r="C128" i="18"/>
  <c r="C129" i="18" s="1"/>
  <c r="D281" i="17"/>
  <c r="E281" i="17" s="1"/>
  <c r="F281" i="17" s="1"/>
  <c r="E282" i="17"/>
  <c r="F282" i="17" s="1"/>
  <c r="E91" i="17"/>
  <c r="F91" i="17" s="1"/>
  <c r="D92" i="17"/>
  <c r="C106" i="17"/>
  <c r="D90" i="18"/>
  <c r="E90" i="18" s="1"/>
  <c r="E84" i="18"/>
  <c r="E99" i="8"/>
  <c r="E101" i="8" s="1"/>
  <c r="E98" i="8" s="1"/>
  <c r="E22" i="8"/>
  <c r="E266" i="17"/>
  <c r="F266" i="17" s="1"/>
  <c r="D265" i="17"/>
  <c r="E265" i="17" s="1"/>
  <c r="F265" i="17" s="1"/>
  <c r="D56" i="22"/>
  <c r="D113" i="22"/>
  <c r="D48" i="22"/>
  <c r="D38" i="22"/>
  <c r="C273" i="17"/>
  <c r="E272" i="17"/>
  <c r="F272" i="17" s="1"/>
  <c r="D111" i="18"/>
  <c r="E111" i="18" s="1"/>
  <c r="D124" i="18"/>
  <c r="E124" i="18" s="1"/>
  <c r="D121" i="18"/>
  <c r="D109" i="18"/>
  <c r="D114" i="18"/>
  <c r="E114" i="18" s="1"/>
  <c r="D122" i="18"/>
  <c r="D110" i="18"/>
  <c r="D112" i="18"/>
  <c r="E112" i="18" s="1"/>
  <c r="D115" i="18"/>
  <c r="E115" i="18" s="1"/>
  <c r="D123" i="18"/>
  <c r="E123" i="18" s="1"/>
  <c r="D126" i="18"/>
  <c r="E126" i="18" s="1"/>
  <c r="D113" i="18"/>
  <c r="E113" i="18" s="1"/>
  <c r="E77" i="18"/>
  <c r="D127" i="18"/>
  <c r="E127" i="18" s="1"/>
  <c r="D125" i="18"/>
  <c r="E125" i="18" s="1"/>
  <c r="D162" i="17"/>
  <c r="E161" i="17"/>
  <c r="F161" i="17" s="1"/>
  <c r="F289" i="17"/>
  <c r="D158" i="8"/>
  <c r="E291" i="17"/>
  <c r="F291" i="17" s="1"/>
  <c r="D305" i="17"/>
  <c r="C324" i="17"/>
  <c r="E85" i="18"/>
  <c r="E88" i="18"/>
  <c r="C103" i="18"/>
  <c r="E210" i="17"/>
  <c r="F210" i="17" s="1"/>
  <c r="E105" i="17"/>
  <c r="F105" i="17" s="1"/>
  <c r="D106" i="17"/>
  <c r="E263" i="17"/>
  <c r="F263" i="17" s="1"/>
  <c r="D263" i="18"/>
  <c r="E263" i="18" s="1"/>
  <c r="E259" i="18"/>
  <c r="C141" i="17"/>
  <c r="E140" i="17"/>
  <c r="F140" i="17" s="1"/>
  <c r="C305" i="17"/>
  <c r="E101" i="18"/>
  <c r="E96" i="18"/>
  <c r="D102" i="18"/>
  <c r="E102" i="18" s="1"/>
  <c r="E125" i="17"/>
  <c r="F125" i="17" s="1"/>
  <c r="E194" i="17"/>
  <c r="F194" i="17" s="1"/>
  <c r="D195" i="17"/>
  <c r="E195" i="17" s="1"/>
  <c r="F195" i="17" s="1"/>
  <c r="D197" i="17"/>
  <c r="E196" i="17"/>
  <c r="F196" i="17" s="1"/>
  <c r="F216" i="17"/>
  <c r="F62" i="17"/>
  <c r="C63" i="17"/>
  <c r="C181" i="18"/>
  <c r="E181" i="18" s="1"/>
  <c r="C169" i="18"/>
  <c r="E169" i="18" s="1"/>
  <c r="D50" i="17"/>
  <c r="E49" i="17"/>
  <c r="F49" i="17" s="1"/>
  <c r="D42" i="12"/>
  <c r="E34" i="12"/>
  <c r="F34" i="12" s="1"/>
  <c r="E258" i="18"/>
  <c r="D264" i="18"/>
  <c r="E95" i="18"/>
  <c r="C35" i="5"/>
  <c r="F21" i="5"/>
  <c r="C323" i="17"/>
  <c r="F323" i="17" s="1"/>
  <c r="F162" i="17"/>
  <c r="C183" i="17"/>
  <c r="F183" i="17" s="1"/>
  <c r="C91" i="18"/>
  <c r="C105" i="18" s="1"/>
  <c r="D247" i="18"/>
  <c r="E247" i="18" s="1"/>
  <c r="E223" i="18"/>
  <c r="E211" i="18"/>
  <c r="D235" i="18"/>
  <c r="E235" i="18" s="1"/>
  <c r="E176" i="17"/>
  <c r="C269" i="18" l="1"/>
  <c r="C268" i="18"/>
  <c r="C322" i="17"/>
  <c r="C211" i="17"/>
  <c r="E141" i="17"/>
  <c r="F141" i="17" s="1"/>
  <c r="D309" i="17"/>
  <c r="E305" i="17"/>
  <c r="F305" i="17" s="1"/>
  <c r="D128" i="18"/>
  <c r="E128" i="18" s="1"/>
  <c r="E122" i="18"/>
  <c r="C70" i="17"/>
  <c r="E63" i="17"/>
  <c r="F63" i="17" s="1"/>
  <c r="E109" i="18"/>
  <c r="D43" i="5"/>
  <c r="E35" i="5"/>
  <c r="F35" i="5" s="1"/>
  <c r="E42" i="12"/>
  <c r="F42" i="12" s="1"/>
  <c r="D49" i="12"/>
  <c r="E49" i="12" s="1"/>
  <c r="F49" i="12" s="1"/>
  <c r="E121" i="18"/>
  <c r="C43" i="5"/>
  <c r="E197" i="17"/>
  <c r="F106" i="17"/>
  <c r="D91" i="18"/>
  <c r="D103" i="18"/>
  <c r="E103" i="18" s="1"/>
  <c r="E50" i="17"/>
  <c r="F50" i="17" s="1"/>
  <c r="D70" i="17"/>
  <c r="E70" i="17" s="1"/>
  <c r="C309" i="17"/>
  <c r="E106" i="17"/>
  <c r="C113" i="17"/>
  <c r="D113" i="17"/>
  <c r="D324" i="17"/>
  <c r="E92" i="17"/>
  <c r="F92" i="17" s="1"/>
  <c r="C131" i="18"/>
  <c r="C325" i="17"/>
  <c r="E162" i="17"/>
  <c r="D183" i="17"/>
  <c r="E183" i="17" s="1"/>
  <c r="D323" i="17"/>
  <c r="E323" i="17" s="1"/>
  <c r="C148" i="17"/>
  <c r="C197" i="17"/>
  <c r="D266" i="18"/>
  <c r="E264" i="18"/>
  <c r="E110" i="18"/>
  <c r="D116" i="18"/>
  <c r="E116" i="18" s="1"/>
  <c r="F273" i="17"/>
  <c r="E273" i="17"/>
  <c r="D148" i="17"/>
  <c r="E148" i="17" s="1"/>
  <c r="E127" i="17"/>
  <c r="F127" i="17" s="1"/>
  <c r="E309" i="17" l="1"/>
  <c r="F309" i="17" s="1"/>
  <c r="D310" i="17"/>
  <c r="C310" i="17"/>
  <c r="D117" i="18"/>
  <c r="E266" i="18"/>
  <c r="D267" i="18"/>
  <c r="F43" i="5"/>
  <c r="C50" i="5"/>
  <c r="F197" i="17"/>
  <c r="E211" i="17"/>
  <c r="F211" i="17" s="1"/>
  <c r="F148" i="17"/>
  <c r="D129" i="18"/>
  <c r="E129" i="18" s="1"/>
  <c r="F70" i="17"/>
  <c r="F322" i="17"/>
  <c r="E322" i="17"/>
  <c r="D325" i="17"/>
  <c r="E325" i="17" s="1"/>
  <c r="F325" i="17" s="1"/>
  <c r="E324" i="17"/>
  <c r="F324" i="17" s="1"/>
  <c r="D50" i="5"/>
  <c r="E50" i="5" s="1"/>
  <c r="E43" i="5"/>
  <c r="E113" i="17"/>
  <c r="F113" i="17" s="1"/>
  <c r="E91" i="18"/>
  <c r="D105" i="18"/>
  <c r="E105" i="18" s="1"/>
  <c r="C271" i="18"/>
  <c r="E267" i="18" l="1"/>
  <c r="D269" i="18"/>
  <c r="E269" i="18" s="1"/>
  <c r="D268" i="18"/>
  <c r="E117" i="18"/>
  <c r="D131" i="18"/>
  <c r="E131" i="18" s="1"/>
  <c r="C312" i="17"/>
  <c r="F310" i="17"/>
  <c r="F50" i="5"/>
  <c r="D312" i="17"/>
  <c r="E310" i="17"/>
  <c r="C313" i="17" l="1"/>
  <c r="F312" i="17"/>
  <c r="D271" i="18"/>
  <c r="E271" i="18" s="1"/>
  <c r="E268" i="18"/>
  <c r="E312" i="17"/>
  <c r="D313" i="17"/>
  <c r="C256" i="17" l="1"/>
  <c r="C251" i="17"/>
  <c r="C315" i="17"/>
  <c r="F313" i="17"/>
  <c r="C314" i="17"/>
  <c r="D314" i="17"/>
  <c r="D251" i="17"/>
  <c r="E251" i="17" s="1"/>
  <c r="D256" i="17"/>
  <c r="D315" i="17"/>
  <c r="E315" i="17" s="1"/>
  <c r="E313" i="17"/>
  <c r="F314" i="17" l="1"/>
  <c r="C318" i="17"/>
  <c r="C257" i="17"/>
  <c r="D257" i="17"/>
  <c r="E257" i="17" s="1"/>
  <c r="E256" i="17"/>
  <c r="F256" i="17" s="1"/>
  <c r="E314" i="17"/>
  <c r="D318" i="17"/>
  <c r="E318" i="17" s="1"/>
  <c r="F315" i="17"/>
  <c r="F251" i="17"/>
  <c r="F257" i="17" l="1"/>
  <c r="F318" i="17"/>
</calcChain>
</file>

<file path=xl/sharedStrings.xml><?xml version="1.0" encoding="utf-8"?>
<sst xmlns="http://schemas.openxmlformats.org/spreadsheetml/2006/main" count="2337" uniqueCount="1013">
  <si>
    <t>MIDDLESEX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</si>
  <si>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</si>
  <si>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</si>
  <si>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</si>
  <si>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</si>
  <si>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</si>
  <si>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</si>
  <si>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</si>
  <si>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</si>
  <si>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</si>
  <si>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</si>
  <si>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</si>
  <si>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</si>
  <si>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</si>
  <si>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</si>
  <si>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</si>
  <si>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</si>
  <si>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</si>
  <si>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</si>
  <si>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</si>
  <si>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</si>
  <si>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</si>
  <si>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</si>
  <si>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</si>
  <si>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</si>
  <si>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</si>
  <si>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</si>
  <si>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</si>
  <si>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</si>
  <si>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</si>
  <si>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</si>
  <si>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</si>
  <si>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</si>
  <si>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</si>
  <si>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</si>
  <si>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</si>
  <si>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</si>
  <si>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</si>
  <si>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</si>
  <si>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</si>
  <si>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</si>
  <si>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</si>
  <si>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</si>
  <si>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</si>
  <si>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</si>
  <si>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</si>
  <si>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</si>
  <si>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</si>
  <si>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</si>
  <si>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</si>
  <si>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</si>
  <si>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</si>
  <si>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</si>
  <si>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</si>
  <si>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</si>
  <si>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</si>
  <si>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</si>
  <si>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</si>
  <si>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</si>
  <si>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</si>
  <si>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</si>
  <si>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</si>
  <si>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</si>
  <si>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</si>
  <si>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</si>
  <si>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</si>
  <si>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</si>
  <si>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</si>
  <si>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</si>
  <si>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</si>
  <si>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</si>
  <si>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</si>
  <si>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</si>
  <si>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</si>
  <si>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</si>
  <si>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</si>
  <si>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</si>
  <si>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</si>
  <si>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</si>
  <si>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</si>
  <si>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</si>
  <si>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</si>
  <si>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</si>
  <si>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</si>
  <si>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</si>
  <si>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</si>
  <si>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</si>
  <si>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</si>
  <si>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</si>
  <si>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</si>
  <si>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</si>
  <si>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</si>
  <si>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</si>
  <si>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</si>
  <si>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</si>
  <si>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</si>
  <si>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</si>
  <si>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</si>
  <si>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</si>
  <si>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</si>
  <si>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</si>
  <si>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</si>
  <si>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</si>
  <si>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</si>
  <si>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</si>
  <si>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</si>
  <si>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</si>
  <si>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</si>
  <si>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</si>
  <si>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</si>
  <si>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</si>
  <si>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</si>
  <si>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</si>
  <si>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</si>
  <si>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</si>
  <si>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</si>
  <si>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</si>
  <si>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</si>
  <si>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</si>
  <si>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</si>
  <si>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</si>
  <si>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</si>
  <si>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</si>
  <si>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</si>
  <si>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</si>
  <si>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</si>
  <si>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</si>
  <si>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</si>
  <si>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</si>
  <si>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</si>
  <si>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</si>
  <si>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</si>
  <si>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</si>
  <si>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</si>
  <si>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</si>
  <si>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</si>
  <si>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</si>
  <si>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</si>
  <si>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</si>
  <si>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</si>
  <si>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</si>
  <si>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</si>
  <si>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</si>
  <si>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</si>
  <si>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</si>
  <si>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</si>
  <si>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</si>
  <si>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</si>
  <si>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</si>
  <si>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</si>
  <si>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</si>
  <si>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</si>
  <si>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</si>
  <si>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</si>
  <si>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</si>
  <si>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</si>
  <si>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</si>
  <si>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</si>
  <si>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</si>
  <si>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</si>
  <si>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</si>
  <si>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</si>
  <si>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</si>
  <si>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</si>
  <si>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</si>
  <si>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</si>
  <si>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</si>
  <si>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</si>
  <si>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</si>
  <si>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</si>
  <si>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</si>
  <si>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</si>
  <si>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</si>
  <si>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</si>
  <si>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</si>
  <si>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</si>
  <si>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</si>
  <si>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</si>
  <si>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</si>
  <si>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</si>
  <si>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</si>
  <si>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</si>
  <si>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</si>
  <si>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</si>
  <si>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</si>
  <si>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</si>
  <si>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</si>
  <si>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</si>
  <si>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</si>
  <si>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</si>
  <si>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</si>
  <si>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</si>
  <si>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</si>
  <si>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</si>
  <si>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</si>
  <si>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</si>
  <si>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</si>
  <si>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</si>
  <si>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</si>
  <si>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</si>
  <si>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</si>
  <si>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</si>
  <si>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</si>
  <si>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</si>
  <si>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</si>
  <si>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</si>
  <si>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</si>
  <si>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</si>
  <si>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</si>
  <si>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</si>
  <si>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</si>
  <si>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</si>
  <si>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</si>
  <si>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</si>
  <si>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</si>
  <si>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</si>
  <si>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</si>
  <si>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</si>
  <si>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</si>
  <si>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</si>
  <si>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</si>
  <si>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</si>
  <si>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</si>
  <si>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</si>
  <si>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</si>
  <si>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</si>
  <si>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</si>
  <si>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</si>
  <si>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</si>
  <si>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</si>
  <si>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</si>
  <si>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</si>
  <si>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</si>
  <si>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</si>
  <si>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</si>
  <si>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</si>
  <si>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</si>
  <si>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</si>
  <si>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</si>
  <si>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</si>
  <si>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</si>
  <si>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</si>
  <si>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</si>
  <si>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</si>
  <si>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</si>
  <si>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</si>
  <si>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</si>
  <si>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</si>
  <si>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</si>
  <si>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</si>
  <si>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</si>
  <si>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</si>
  <si>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</si>
  <si>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</si>
  <si>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</si>
  <si>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</si>
  <si>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</si>
  <si>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</si>
  <si>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</si>
  <si>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</si>
  <si>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</si>
  <si>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</si>
  <si>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</si>
  <si>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</si>
  <si>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</si>
  <si>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</si>
  <si>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</si>
  <si>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</si>
  <si>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</si>
  <si>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</si>
  <si>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</si>
  <si>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</si>
  <si>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</si>
  <si>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</si>
  <si>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</si>
  <si>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</si>
  <si>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</si>
  <si>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</si>
  <si>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</si>
  <si>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</si>
  <si>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</si>
  <si>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</si>
  <si>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</si>
  <si>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</si>
  <si>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</si>
  <si>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</si>
  <si>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</si>
  <si>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</si>
  <si>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</si>
  <si>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</si>
  <si>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</si>
  <si>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</si>
  <si>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</si>
  <si>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</si>
  <si>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</si>
  <si>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</si>
  <si>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</si>
  <si>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</si>
  <si>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</si>
  <si>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</si>
  <si>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</si>
  <si>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</si>
  <si>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</si>
  <si>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</si>
  <si>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</si>
  <si>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</si>
  <si>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</si>
  <si>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</si>
  <si>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</si>
  <si>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</si>
  <si>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</si>
  <si>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</si>
  <si>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</si>
  <si>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</si>
  <si>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</si>
  <si>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</si>
  <si>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</si>
  <si>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</si>
  <si>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</si>
  <si>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</si>
  <si>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</si>
  <si>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</si>
  <si>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</si>
  <si>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</si>
  <si>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</si>
  <si>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</si>
  <si>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</si>
  <si>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</si>
  <si>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</si>
  <si>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</si>
  <si>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</si>
  <si>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</si>
  <si>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</si>
  <si>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</si>
  <si>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</si>
  <si>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</si>
  <si>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</si>
  <si>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</si>
  <si>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</si>
  <si>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</si>
  <si>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</si>
  <si>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</si>
  <si>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</si>
  <si>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</si>
  <si>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</si>
  <si>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</si>
  <si>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</si>
  <si>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</si>
  <si>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</si>
  <si>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</si>
  <si>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</si>
  <si>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</si>
  <si>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</si>
  <si>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</si>
  <si>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</si>
  <si>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</si>
  <si>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</si>
  <si>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</si>
  <si>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</si>
  <si>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</si>
  <si>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</si>
  <si>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</si>
  <si>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</si>
  <si>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</si>
  <si>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</si>
  <si>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</si>
  <si>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</si>
  <si>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</si>
  <si>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</si>
  <si>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</si>
  <si>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</si>
  <si>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</si>
  <si>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</si>
  <si>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</si>
  <si>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</si>
  <si>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</si>
  <si>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</si>
  <si>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</si>
  <si>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</si>
  <si>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</si>
  <si>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</si>
  <si>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</si>
  <si>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</si>
  <si>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</si>
  <si>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</si>
  <si>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</si>
  <si>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</si>
  <si>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</si>
  <si>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</si>
  <si>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</si>
  <si>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</si>
  <si>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</si>
  <si>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</si>
  <si>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</si>
  <si>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</si>
  <si>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</si>
  <si>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</si>
  <si>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</si>
  <si>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</si>
  <si>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</si>
  <si>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</si>
  <si>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</si>
  <si>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</si>
  <si>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</si>
  <si>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</si>
  <si>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</si>
  <si>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</si>
  <si>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</si>
  <si>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</si>
  <si>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</si>
  <si>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</si>
  <si>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</si>
  <si>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</si>
  <si>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</si>
  <si>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</si>
  <si>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</si>
  <si>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</si>
  <si>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</si>
  <si>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</si>
  <si>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</si>
  <si>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</si>
  <si>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</si>
  <si>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</si>
  <si>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</si>
  <si>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</si>
  <si>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</si>
  <si>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</si>
  <si>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</si>
  <si>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</si>
  <si>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</si>
  <si>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</si>
  <si>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</si>
  <si>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</si>
  <si>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</si>
  <si>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</si>
  <si>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</si>
  <si>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</si>
  <si>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</si>
  <si>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</si>
  <si>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</si>
  <si>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</si>
  <si>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</si>
  <si>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</si>
  <si>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</si>
  <si>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</si>
  <si>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</si>
  <si>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</si>
  <si>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</si>
  <si>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</si>
  <si>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</si>
  <si>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</si>
  <si>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</si>
  <si>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</si>
  <si>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</si>
  <si>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</si>
  <si>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</si>
  <si>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</si>
  <si>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</si>
  <si>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</si>
  <si>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</si>
  <si>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</si>
  <si>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</si>
  <si>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</si>
  <si>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</si>
  <si>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</si>
  <si>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</si>
  <si>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</si>
  <si>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</si>
  <si>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</si>
  <si>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</si>
  <si>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</si>
  <si>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</si>
  <si>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</si>
  <si>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</si>
  <si>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</si>
  <si>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</si>
  <si>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</si>
  <si>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</si>
  <si>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</si>
  <si>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</si>
  <si>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</si>
  <si>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</si>
  <si>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</si>
  <si>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</si>
  <si>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</si>
  <si>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</si>
  <si>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</si>
  <si>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</si>
  <si>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</si>
  <si>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</si>
  <si>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</si>
  <si>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</si>
  <si>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</si>
  <si>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</si>
  <si>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</si>
  <si>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</si>
  <si>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</si>
  <si>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</si>
  <si>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</si>
  <si>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</si>
  <si>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MIDDLESEX HEALTH SYSTEM,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</si>
  <si>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</si>
  <si>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</si>
  <si>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</si>
  <si>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</si>
  <si>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</si>
  <si>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</si>
  <si>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</si>
  <si>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</si>
  <si>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</si>
  <si>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</si>
  <si>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</si>
  <si>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</si>
  <si>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</si>
  <si>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</si>
  <si>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</si>
  <si>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</si>
  <si>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</si>
  <si>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</si>
  <si>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</si>
  <si>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</si>
  <si>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</si>
  <si>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</si>
  <si>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</si>
  <si>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</si>
  <si>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</si>
  <si>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</si>
  <si>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</si>
  <si>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</si>
  <si>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</si>
  <si>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</si>
  <si>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</si>
  <si>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</si>
  <si>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</si>
  <si>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</si>
  <si>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</si>
  <si>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</si>
  <si>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</si>
  <si>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</si>
  <si>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</si>
  <si>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</si>
  <si>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</si>
  <si>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</si>
  <si>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</si>
  <si>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</si>
  <si>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</si>
  <si>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</si>
  <si>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</si>
  <si>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</si>
  <si>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</si>
  <si>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</si>
  <si>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</si>
  <si>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</si>
  <si>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</si>
  <si>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</si>
  <si>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</si>
  <si>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</si>
  <si>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</si>
  <si>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</si>
  <si>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</si>
  <si>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</si>
  <si>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</si>
  <si>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</si>
  <si>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</si>
  <si>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</si>
  <si>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</si>
  <si>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</si>
  <si>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</si>
  <si>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</si>
  <si>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</si>
  <si>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</si>
  <si>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</si>
  <si>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</si>
  <si>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</si>
  <si>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</si>
  <si>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</si>
  <si>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</si>
  <si>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</si>
  <si>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</si>
  <si>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</si>
  <si>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</si>
  <si>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</si>
  <si>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</si>
  <si>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</si>
  <si>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</si>
  <si>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</si>
  <si>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</si>
  <si>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</si>
  <si>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</si>
  <si>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</si>
  <si>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</si>
  <si>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</si>
  <si>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</si>
  <si>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</si>
  <si>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</si>
  <si>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</si>
  <si>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</si>
  <si>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</si>
  <si>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</si>
  <si>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</si>
  <si>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</si>
  <si>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</si>
  <si>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</si>
  <si>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</si>
  <si>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</si>
  <si>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</si>
  <si>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</si>
  <si>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</si>
  <si>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</si>
  <si>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</si>
  <si>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</si>
  <si>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</si>
  <si>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</si>
  <si>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</si>
  <si>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</si>
  <si>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</si>
  <si>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</si>
  <si>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</si>
  <si>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</si>
  <si>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</si>
  <si>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</si>
  <si>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MH OP Center Saybrook Road</t>
  </si>
  <si>
    <t>Middlesex Hospital</t>
  </si>
  <si>
    <t>Total Outpatient Surgical Procedures(A)</t>
  </si>
  <si>
    <t>MH Shoreline Oscopy Room</t>
  </si>
  <si>
    <t>Total Outpatient Endoscopy Procedures(B)</t>
  </si>
  <si>
    <t>Outpatient Hospital Emergency Room Visits</t>
  </si>
  <si>
    <t>MH Marlborough ED</t>
  </si>
  <si>
    <t>MH Shoreline ED</t>
  </si>
  <si>
    <t>Middlesex Hospital ED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</si>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</sst>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54769000</v>
      </c>
      <c r="D13" s="22">
        <v>39387000</v>
      </c>
      <c r="E13" s="22">
        <f t="shared" ref="E13:E22" si="0">D13-C13</f>
        <v>-15382000</v>
      </c>
      <c r="F13" s="23">
        <f t="shared" ref="F13:F22" si="1">IF(C13=0,0,E13/C13)</f>
        <v>-0.28085230696196756</v>
      </c>
    </row>
    <row r="14" spans="1:8" ht="24" customHeight="1" x14ac:dyDescent="0.2">
      <c r="A14" s="20">
        <v>2</v>
      </c>
      <c r="B14" s="21" t="s">
        <v>17</v>
      </c>
      <c r="C14" s="22">
        <v>10187000</v>
      </c>
      <c r="D14" s="22">
        <v>20741000</v>
      </c>
      <c r="E14" s="22">
        <f t="shared" si="0"/>
        <v>10554000</v>
      </c>
      <c r="F14" s="23">
        <f t="shared" si="1"/>
        <v>1.0360263080396583</v>
      </c>
    </row>
    <row r="15" spans="1:8" ht="24" customHeight="1" x14ac:dyDescent="0.2">
      <c r="A15" s="20">
        <v>3</v>
      </c>
      <c r="B15" s="21" t="s">
        <v>18</v>
      </c>
      <c r="C15" s="22">
        <v>45169000</v>
      </c>
      <c r="D15" s="22">
        <v>44032000</v>
      </c>
      <c r="E15" s="22">
        <f t="shared" si="0"/>
        <v>-1137000</v>
      </c>
      <c r="F15" s="23">
        <f t="shared" si="1"/>
        <v>-2.5172131329008834E-2</v>
      </c>
    </row>
    <row r="16" spans="1:8" ht="24" customHeight="1" x14ac:dyDescent="0.2">
      <c r="A16" s="20">
        <v>4</v>
      </c>
      <c r="B16" s="21" t="s">
        <v>19</v>
      </c>
      <c r="C16" s="22">
        <v>4527000</v>
      </c>
      <c r="D16" s="22">
        <v>4091000</v>
      </c>
      <c r="E16" s="22">
        <f t="shared" si="0"/>
        <v>-436000</v>
      </c>
      <c r="F16" s="23">
        <f t="shared" si="1"/>
        <v>-9.6311022752374645E-2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2914000</v>
      </c>
      <c r="E18" s="22">
        <f t="shared" si="0"/>
        <v>2914000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1347000</v>
      </c>
      <c r="D19" s="22">
        <v>1251000</v>
      </c>
      <c r="E19" s="22">
        <f t="shared" si="0"/>
        <v>-96000</v>
      </c>
      <c r="F19" s="23">
        <f t="shared" si="1"/>
        <v>-7.126948775055679E-2</v>
      </c>
    </row>
    <row r="20" spans="1:11" ht="24" customHeight="1" x14ac:dyDescent="0.2">
      <c r="A20" s="20">
        <v>8</v>
      </c>
      <c r="B20" s="21" t="s">
        <v>23</v>
      </c>
      <c r="C20" s="22">
        <v>2156000</v>
      </c>
      <c r="D20" s="22">
        <v>2331000</v>
      </c>
      <c r="E20" s="22">
        <f t="shared" si="0"/>
        <v>175000</v>
      </c>
      <c r="F20" s="23">
        <f t="shared" si="1"/>
        <v>8.1168831168831168E-2</v>
      </c>
    </row>
    <row r="21" spans="1:11" ht="24" customHeight="1" x14ac:dyDescent="0.2">
      <c r="A21" s="20">
        <v>9</v>
      </c>
      <c r="B21" s="21" t="s">
        <v>24</v>
      </c>
      <c r="C21" s="22">
        <v>3733000</v>
      </c>
      <c r="D21" s="22">
        <v>3686000</v>
      </c>
      <c r="E21" s="22">
        <f t="shared" si="0"/>
        <v>-47000</v>
      </c>
      <c r="F21" s="23">
        <f t="shared" si="1"/>
        <v>-1.2590409858023038E-2</v>
      </c>
    </row>
    <row r="22" spans="1:11" ht="24" customHeight="1" x14ac:dyDescent="0.25">
      <c r="A22" s="24"/>
      <c r="B22" s="25" t="s">
        <v>25</v>
      </c>
      <c r="C22" s="26">
        <f>SUM(C13:C21)</f>
        <v>121888000</v>
      </c>
      <c r="D22" s="26">
        <f>SUM(D13:D21)</f>
        <v>118433000</v>
      </c>
      <c r="E22" s="26">
        <f t="shared" si="0"/>
        <v>-3455000</v>
      </c>
      <c r="F22" s="27">
        <f t="shared" si="1"/>
        <v>-2.8345694407981098E-2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8207000</v>
      </c>
      <c r="D25" s="22">
        <v>9212000</v>
      </c>
      <c r="E25" s="22">
        <f>D25-C25</f>
        <v>1005000</v>
      </c>
      <c r="F25" s="23">
        <f>IF(C25=0,0,E25/C25)</f>
        <v>0.12245643962471062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95568000</v>
      </c>
      <c r="D26" s="22">
        <v>109616000</v>
      </c>
      <c r="E26" s="22">
        <f>D26-C26</f>
        <v>14048000</v>
      </c>
      <c r="F26" s="23">
        <f>IF(C26=0,0,E26/C26)</f>
        <v>0.14699480997823539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15167000</v>
      </c>
      <c r="D28" s="22">
        <v>15131000</v>
      </c>
      <c r="E28" s="22">
        <f>D28-C28</f>
        <v>-36000</v>
      </c>
      <c r="F28" s="23">
        <f>IF(C28=0,0,E28/C28)</f>
        <v>-2.3735742071602822E-3</v>
      </c>
    </row>
    <row r="29" spans="1:11" ht="24" customHeight="1" x14ac:dyDescent="0.25">
      <c r="A29" s="24"/>
      <c r="B29" s="25" t="s">
        <v>32</v>
      </c>
      <c r="C29" s="26">
        <f>SUM(C25:C28)</f>
        <v>118942000</v>
      </c>
      <c r="D29" s="26">
        <f>SUM(D25:D28)</f>
        <v>133959000</v>
      </c>
      <c r="E29" s="26">
        <f>D29-C29</f>
        <v>15017000</v>
      </c>
      <c r="F29" s="27">
        <f>IF(C29=0,0,E29/C29)</f>
        <v>0.12625481327033344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16627000</v>
      </c>
      <c r="D32" s="22">
        <v>15090000</v>
      </c>
      <c r="E32" s="22">
        <f>D32-C32</f>
        <v>-1537000</v>
      </c>
      <c r="F32" s="23">
        <f>IF(C32=0,0,E32/C32)</f>
        <v>-9.2440007217176878E-2</v>
      </c>
    </row>
    <row r="33" spans="1:8" ht="24" customHeight="1" x14ac:dyDescent="0.2">
      <c r="A33" s="20">
        <v>7</v>
      </c>
      <c r="B33" s="21" t="s">
        <v>35</v>
      </c>
      <c r="C33" s="22">
        <v>6261000</v>
      </c>
      <c r="D33" s="22">
        <v>6516000</v>
      </c>
      <c r="E33" s="22">
        <f>D33-C33</f>
        <v>255000</v>
      </c>
      <c r="F33" s="23">
        <f>IF(C33=0,0,E33/C33)</f>
        <v>4.0728318160038329E-2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373198000</v>
      </c>
      <c r="D36" s="22">
        <v>397991000</v>
      </c>
      <c r="E36" s="22">
        <f>D36-C36</f>
        <v>24793000</v>
      </c>
      <c r="F36" s="23">
        <f>IF(C36=0,0,E36/C36)</f>
        <v>6.6433903718669446E-2</v>
      </c>
    </row>
    <row r="37" spans="1:8" ht="24" customHeight="1" x14ac:dyDescent="0.2">
      <c r="A37" s="20">
        <v>2</v>
      </c>
      <c r="B37" s="21" t="s">
        <v>39</v>
      </c>
      <c r="C37" s="22">
        <v>208046000</v>
      </c>
      <c r="D37" s="22">
        <v>230191000</v>
      </c>
      <c r="E37" s="22">
        <f>D37-C37</f>
        <v>22145000</v>
      </c>
      <c r="F37" s="23">
        <f>IF(C37=0,0,E37/C37)</f>
        <v>0.106442805917922</v>
      </c>
    </row>
    <row r="38" spans="1:8" ht="24" customHeight="1" x14ac:dyDescent="0.25">
      <c r="A38" s="24"/>
      <c r="B38" s="25" t="s">
        <v>40</v>
      </c>
      <c r="C38" s="26">
        <f>C36-C37</f>
        <v>165152000</v>
      </c>
      <c r="D38" s="26">
        <f>D36-D37</f>
        <v>167800000</v>
      </c>
      <c r="E38" s="26">
        <f>D38-C38</f>
        <v>2648000</v>
      </c>
      <c r="F38" s="27">
        <f>IF(C38=0,0,E38/C38)</f>
        <v>1.6033714396434799E-2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14694000</v>
      </c>
      <c r="D40" s="22">
        <v>18513000</v>
      </c>
      <c r="E40" s="22">
        <f>D40-C40</f>
        <v>3819000</v>
      </c>
      <c r="F40" s="23">
        <f>IF(C40=0,0,E40/C40)</f>
        <v>0.25990200081665987</v>
      </c>
    </row>
    <row r="41" spans="1:8" ht="24" customHeight="1" x14ac:dyDescent="0.25">
      <c r="A41" s="24"/>
      <c r="B41" s="25" t="s">
        <v>42</v>
      </c>
      <c r="C41" s="26">
        <f>+C38+C40</f>
        <v>179846000</v>
      </c>
      <c r="D41" s="26">
        <f>+D38+D40</f>
        <v>186313000</v>
      </c>
      <c r="E41" s="26">
        <f>D41-C41</f>
        <v>6467000</v>
      </c>
      <c r="F41" s="27">
        <f>IF(C41=0,0,E41/C41)</f>
        <v>3.5958542308419425E-2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443564000</v>
      </c>
      <c r="D43" s="26">
        <f>D22+D29+D31+D32+D33+D41</f>
        <v>460311000</v>
      </c>
      <c r="E43" s="26">
        <f>D43-C43</f>
        <v>16747000</v>
      </c>
      <c r="F43" s="27">
        <f>IF(C43=0,0,E43/C43)</f>
        <v>3.7755543732133356E-2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19149000</v>
      </c>
      <c r="D49" s="22">
        <v>16703000</v>
      </c>
      <c r="E49" s="22">
        <f t="shared" ref="E49:E56" si="2">D49-C49</f>
        <v>-2446000</v>
      </c>
      <c r="F49" s="23">
        <f t="shared" ref="F49:F56" si="3">IF(C49=0,0,E49/C49)</f>
        <v>-0.12773512977178966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32727000</v>
      </c>
      <c r="D50" s="22">
        <v>31544000</v>
      </c>
      <c r="E50" s="22">
        <f t="shared" si="2"/>
        <v>-1183000</v>
      </c>
      <c r="F50" s="23">
        <f t="shared" si="3"/>
        <v>-3.6147523451584319E-2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2944000</v>
      </c>
      <c r="D51" s="22">
        <v>0</v>
      </c>
      <c r="E51" s="22">
        <f t="shared" si="2"/>
        <v>-2944000</v>
      </c>
      <c r="F51" s="23">
        <f t="shared" si="3"/>
        <v>-1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3045000</v>
      </c>
      <c r="D53" s="22">
        <v>3135000</v>
      </c>
      <c r="E53" s="22">
        <f t="shared" si="2"/>
        <v>90000</v>
      </c>
      <c r="F53" s="23">
        <f t="shared" si="3"/>
        <v>2.9556650246305417E-2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1573000</v>
      </c>
      <c r="D54" s="22">
        <v>21000</v>
      </c>
      <c r="E54" s="22">
        <f t="shared" si="2"/>
        <v>-1552000</v>
      </c>
      <c r="F54" s="23">
        <f t="shared" si="3"/>
        <v>-0.98664971392244116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6497000</v>
      </c>
      <c r="D55" s="22">
        <v>6228000</v>
      </c>
      <c r="E55" s="22">
        <f t="shared" si="2"/>
        <v>-269000</v>
      </c>
      <c r="F55" s="23">
        <f t="shared" si="3"/>
        <v>-4.1403724796059721E-2</v>
      </c>
    </row>
    <row r="56" spans="1:6" ht="24" customHeight="1" x14ac:dyDescent="0.25">
      <c r="A56" s="24"/>
      <c r="B56" s="25" t="s">
        <v>54</v>
      </c>
      <c r="C56" s="26">
        <f>SUM(C49:C55)</f>
        <v>65935000</v>
      </c>
      <c r="D56" s="26">
        <f>SUM(D49:D55)</f>
        <v>57631000</v>
      </c>
      <c r="E56" s="26">
        <f t="shared" si="2"/>
        <v>-8304000</v>
      </c>
      <c r="F56" s="27">
        <f t="shared" si="3"/>
        <v>-0.12594221581860923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63285000</v>
      </c>
      <c r="D59" s="22">
        <v>60045000</v>
      </c>
      <c r="E59" s="22">
        <f>D59-C59</f>
        <v>-3240000</v>
      </c>
      <c r="F59" s="23">
        <f>IF(C59=0,0,E59/C59)</f>
        <v>-5.1196966105712255E-2</v>
      </c>
    </row>
    <row r="60" spans="1:6" ht="24" customHeight="1" x14ac:dyDescent="0.2">
      <c r="A60" s="20">
        <v>2</v>
      </c>
      <c r="B60" s="21" t="s">
        <v>57</v>
      </c>
      <c r="C60" s="22">
        <v>47000</v>
      </c>
      <c r="D60" s="22">
        <v>26000</v>
      </c>
      <c r="E60" s="22">
        <f>D60-C60</f>
        <v>-21000</v>
      </c>
      <c r="F60" s="23">
        <f>IF(C60=0,0,E60/C60)</f>
        <v>-0.44680851063829785</v>
      </c>
    </row>
    <row r="61" spans="1:6" ht="24" customHeight="1" x14ac:dyDescent="0.25">
      <c r="A61" s="24"/>
      <c r="B61" s="25" t="s">
        <v>58</v>
      </c>
      <c r="C61" s="26">
        <f>SUM(C59:C60)</f>
        <v>63332000</v>
      </c>
      <c r="D61" s="26">
        <f>SUM(D59:D60)</f>
        <v>60071000</v>
      </c>
      <c r="E61" s="26">
        <f>D61-C61</f>
        <v>-3261000</v>
      </c>
      <c r="F61" s="27">
        <f>IF(C61=0,0,E61/C61)</f>
        <v>-5.1490557695951497E-2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129719000</v>
      </c>
      <c r="D63" s="22">
        <v>48985000</v>
      </c>
      <c r="E63" s="22">
        <f>D63-C63</f>
        <v>-80734000</v>
      </c>
      <c r="F63" s="23">
        <f>IF(C63=0,0,E63/C63)</f>
        <v>-0.62237605901988147</v>
      </c>
    </row>
    <row r="64" spans="1:6" ht="24" customHeight="1" x14ac:dyDescent="0.2">
      <c r="A64" s="20">
        <v>4</v>
      </c>
      <c r="B64" s="21" t="s">
        <v>60</v>
      </c>
      <c r="C64" s="22">
        <v>23573000</v>
      </c>
      <c r="D64" s="22">
        <v>29458000</v>
      </c>
      <c r="E64" s="22">
        <f>D64-C64</f>
        <v>5885000</v>
      </c>
      <c r="F64" s="23">
        <f>IF(C64=0,0,E64/C64)</f>
        <v>0.24965002333177788</v>
      </c>
    </row>
    <row r="65" spans="1:6" ht="24" customHeight="1" x14ac:dyDescent="0.25">
      <c r="A65" s="24"/>
      <c r="B65" s="25" t="s">
        <v>61</v>
      </c>
      <c r="C65" s="26">
        <f>SUM(C61:C64)</f>
        <v>216624000</v>
      </c>
      <c r="D65" s="26">
        <f>SUM(D61:D64)</f>
        <v>138514000</v>
      </c>
      <c r="E65" s="26">
        <f>D65-C65</f>
        <v>-78110000</v>
      </c>
      <c r="F65" s="27">
        <f>IF(C65=0,0,E65/C65)</f>
        <v>-0.36057869857448849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144992000</v>
      </c>
      <c r="D70" s="22">
        <v>247940000</v>
      </c>
      <c r="E70" s="22">
        <f>D70-C70</f>
        <v>102948000</v>
      </c>
      <c r="F70" s="23">
        <f>IF(C70=0,0,E70/C70)</f>
        <v>0.7100253807106599</v>
      </c>
    </row>
    <row r="71" spans="1:6" ht="24" customHeight="1" x14ac:dyDescent="0.2">
      <c r="A71" s="20">
        <v>2</v>
      </c>
      <c r="B71" s="21" t="s">
        <v>65</v>
      </c>
      <c r="C71" s="22">
        <v>9049000</v>
      </c>
      <c r="D71" s="22">
        <v>9250000</v>
      </c>
      <c r="E71" s="22">
        <f>D71-C71</f>
        <v>201000</v>
      </c>
      <c r="F71" s="23">
        <f>IF(C71=0,0,E71/C71)</f>
        <v>2.2212399160128193E-2</v>
      </c>
    </row>
    <row r="72" spans="1:6" ht="24" customHeight="1" x14ac:dyDescent="0.2">
      <c r="A72" s="20">
        <v>3</v>
      </c>
      <c r="B72" s="21" t="s">
        <v>66</v>
      </c>
      <c r="C72" s="22">
        <v>6964000</v>
      </c>
      <c r="D72" s="22">
        <v>6976000</v>
      </c>
      <c r="E72" s="22">
        <f>D72-C72</f>
        <v>12000</v>
      </c>
      <c r="F72" s="23">
        <f>IF(C72=0,0,E72/C72)</f>
        <v>1.7231476163124641E-3</v>
      </c>
    </row>
    <row r="73" spans="1:6" ht="24" customHeight="1" x14ac:dyDescent="0.25">
      <c r="A73" s="20"/>
      <c r="B73" s="25" t="s">
        <v>67</v>
      </c>
      <c r="C73" s="26">
        <f>SUM(C70:C72)</f>
        <v>161005000</v>
      </c>
      <c r="D73" s="26">
        <f>SUM(D70:D72)</f>
        <v>264166000</v>
      </c>
      <c r="E73" s="26">
        <f>D73-C73</f>
        <v>103161000</v>
      </c>
      <c r="F73" s="27">
        <f>IF(C73=0,0,E73/C73)</f>
        <v>0.6407316542964504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443564000</v>
      </c>
      <c r="D75" s="26">
        <f>D56+D65+D67+D73</f>
        <v>460311000</v>
      </c>
      <c r="E75" s="26">
        <f>D75-C75</f>
        <v>16747000</v>
      </c>
      <c r="F75" s="27">
        <f>IF(C75=0,0,E75/C75)</f>
        <v>3.7755543732133356E-2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345032000</v>
      </c>
      <c r="D11" s="76">
        <v>361466000</v>
      </c>
      <c r="E11" s="76">
        <v>361760000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14403000</v>
      </c>
      <c r="D12" s="185">
        <v>12534000</v>
      </c>
      <c r="E12" s="185">
        <v>12946000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359435000</v>
      </c>
      <c r="D13" s="76">
        <f>+D11+D12</f>
        <v>374000000</v>
      </c>
      <c r="E13" s="76">
        <f>+E11+E12</f>
        <v>374706000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344623000</v>
      </c>
      <c r="D14" s="185">
        <v>351657000</v>
      </c>
      <c r="E14" s="185">
        <v>360357000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14812000</v>
      </c>
      <c r="D15" s="76">
        <f>+D13-D14</f>
        <v>22343000</v>
      </c>
      <c r="E15" s="76">
        <f>+E13-E14</f>
        <v>14349000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5151000</v>
      </c>
      <c r="D16" s="185">
        <v>3906000</v>
      </c>
      <c r="E16" s="185">
        <v>7155000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19963000</v>
      </c>
      <c r="D17" s="76">
        <f>D15+D16</f>
        <v>26249000</v>
      </c>
      <c r="E17" s="76">
        <f>E15+E16</f>
        <v>21504000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4.062690284322492E-2</v>
      </c>
      <c r="D20" s="189">
        <f>IF(+D27=0,0,+D24/+D27)</f>
        <v>5.9123168195265488E-2</v>
      </c>
      <c r="E20" s="189">
        <f>IF(+E27=0,0,+E24/+E27)</f>
        <v>3.757650034960365E-2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1.4128353804040747E-2</v>
      </c>
      <c r="D21" s="189">
        <f>IF(+D27=0,0,+D26/+D27)</f>
        <v>1.0335903637412477E-2</v>
      </c>
      <c r="E21" s="189">
        <f>IF(+E27=0,0,+E26/+E27)</f>
        <v>1.8737184472884111E-2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5.4755256647265667E-2</v>
      </c>
      <c r="D22" s="189">
        <f>IF(+D27=0,0,+D28/+D27)</f>
        <v>6.9459071832677965E-2</v>
      </c>
      <c r="E22" s="189">
        <f>IF(+E27=0,0,+E28/+E27)</f>
        <v>5.6313684822487761E-2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14812000</v>
      </c>
      <c r="D24" s="76">
        <f>+D15</f>
        <v>22343000</v>
      </c>
      <c r="E24" s="76">
        <f>+E15</f>
        <v>14349000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359435000</v>
      </c>
      <c r="D25" s="76">
        <f>+D13</f>
        <v>374000000</v>
      </c>
      <c r="E25" s="76">
        <f>+E13</f>
        <v>374706000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5151000</v>
      </c>
      <c r="D26" s="76">
        <f>+D16</f>
        <v>3906000</v>
      </c>
      <c r="E26" s="76">
        <f>+E16</f>
        <v>7155000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364586000</v>
      </c>
      <c r="D27" s="76">
        <f>SUM(D25:D26)</f>
        <v>377906000</v>
      </c>
      <c r="E27" s="76">
        <f>SUM(E25:E26)</f>
        <v>381861000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19963000</v>
      </c>
      <c r="D28" s="76">
        <f>+D17</f>
        <v>26249000</v>
      </c>
      <c r="E28" s="76">
        <f>+E17</f>
        <v>21504000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130362000</v>
      </c>
      <c r="D31" s="76">
        <v>150651000</v>
      </c>
      <c r="E31" s="76">
        <v>253975000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143545000</v>
      </c>
      <c r="D32" s="76">
        <v>166810000</v>
      </c>
      <c r="E32" s="76">
        <v>270319000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-4907000</v>
      </c>
      <c r="D33" s="76">
        <f>+D32-C32</f>
        <v>23265000</v>
      </c>
      <c r="E33" s="76">
        <f>+E32-D32</f>
        <v>103509000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0.96689999999999998</v>
      </c>
      <c r="D34" s="193">
        <f>IF(C32=0,0,+D33/C32)</f>
        <v>0.1620746107492424</v>
      </c>
      <c r="E34" s="193">
        <f>IF(D32=0,0,+E33/D32)</f>
        <v>0.62052035249685267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1.9734092166627144</v>
      </c>
      <c r="D38" s="338">
        <f>IF(+D40=0,0,+D39/+D40)</f>
        <v>1.8616596731124739</v>
      </c>
      <c r="E38" s="338">
        <f>IF(+E40=0,0,+E39/+E40)</f>
        <v>2.063987175847847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124828000</v>
      </c>
      <c r="D39" s="341">
        <v>126887000</v>
      </c>
      <c r="E39" s="341">
        <v>123606000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63255000</v>
      </c>
      <c r="D40" s="341">
        <v>68158000</v>
      </c>
      <c r="E40" s="341">
        <v>59887000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79.521462338089634</v>
      </c>
      <c r="D42" s="343">
        <f>IF((D48/365)=0,0,+D45/(D48/365))</f>
        <v>76.15288794751504</v>
      </c>
      <c r="E42" s="343">
        <f>IF((E48/365)=0,0,+E45/(E48/365))</f>
        <v>69.297706373095068</v>
      </c>
    </row>
    <row r="43" spans="1:14" ht="24" customHeight="1" x14ac:dyDescent="0.2">
      <c r="A43" s="339">
        <v>5</v>
      </c>
      <c r="B43" s="344" t="s">
        <v>16</v>
      </c>
      <c r="C43" s="345">
        <v>59543000</v>
      </c>
      <c r="D43" s="345">
        <v>58568000</v>
      </c>
      <c r="E43" s="345">
        <v>43344000</v>
      </c>
    </row>
    <row r="44" spans="1:14" ht="24" customHeight="1" x14ac:dyDescent="0.2">
      <c r="A44" s="339">
        <v>6</v>
      </c>
      <c r="B44" s="346" t="s">
        <v>17</v>
      </c>
      <c r="C44" s="345">
        <v>10647000</v>
      </c>
      <c r="D44" s="345">
        <v>10187000</v>
      </c>
      <c r="E44" s="345">
        <v>20741000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70190000</v>
      </c>
      <c r="D45" s="341">
        <f>+D43+D44</f>
        <v>68755000</v>
      </c>
      <c r="E45" s="341">
        <f>+E43+E44</f>
        <v>64085000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344623000</v>
      </c>
      <c r="D46" s="341">
        <f>+D14</f>
        <v>351657000</v>
      </c>
      <c r="E46" s="341">
        <f>+E14</f>
        <v>360357000</v>
      </c>
    </row>
    <row r="47" spans="1:14" ht="24" customHeight="1" x14ac:dyDescent="0.2">
      <c r="A47" s="339">
        <v>9</v>
      </c>
      <c r="B47" s="340" t="s">
        <v>356</v>
      </c>
      <c r="C47" s="341">
        <v>22454000</v>
      </c>
      <c r="D47" s="341">
        <v>22115000</v>
      </c>
      <c r="E47" s="341">
        <v>22813000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322169000</v>
      </c>
      <c r="D48" s="341">
        <f>+D46-D47</f>
        <v>329542000</v>
      </c>
      <c r="E48" s="341">
        <f>+E46-E47</f>
        <v>337544000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46.156052192260425</v>
      </c>
      <c r="D50" s="350">
        <f>IF((D55/365)=0,0,+D54/(D55/365))</f>
        <v>43.427473123336632</v>
      </c>
      <c r="E50" s="350">
        <f>IF((E55/365)=0,0,+E54/(E55/365))</f>
        <v>48.174632352941181</v>
      </c>
    </row>
    <row r="51" spans="1:5" ht="24" customHeight="1" x14ac:dyDescent="0.2">
      <c r="A51" s="339">
        <v>12</v>
      </c>
      <c r="B51" s="344" t="s">
        <v>359</v>
      </c>
      <c r="C51" s="351">
        <v>43838000</v>
      </c>
      <c r="D51" s="351">
        <v>45951000</v>
      </c>
      <c r="E51" s="351">
        <v>44833000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2914000</v>
      </c>
    </row>
    <row r="53" spans="1:5" ht="24" customHeight="1" x14ac:dyDescent="0.2">
      <c r="A53" s="339">
        <v>14</v>
      </c>
      <c r="B53" s="344" t="s">
        <v>49</v>
      </c>
      <c r="C53" s="341">
        <v>207000</v>
      </c>
      <c r="D53" s="341">
        <v>2944000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43631000</v>
      </c>
      <c r="D54" s="352">
        <f>+D51+D52-D53</f>
        <v>43007000</v>
      </c>
      <c r="E54" s="352">
        <f>+E51+E52-E53</f>
        <v>47747000</v>
      </c>
    </row>
    <row r="55" spans="1:5" ht="24" customHeight="1" x14ac:dyDescent="0.2">
      <c r="A55" s="339">
        <v>16</v>
      </c>
      <c r="B55" s="340" t="s">
        <v>75</v>
      </c>
      <c r="C55" s="341">
        <f>+C11</f>
        <v>345032000</v>
      </c>
      <c r="D55" s="341">
        <f>+D11</f>
        <v>361466000</v>
      </c>
      <c r="E55" s="341">
        <f>+E11</f>
        <v>361760000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71.664483547454907</v>
      </c>
      <c r="D57" s="355">
        <f>IF((D61/365)=0,0,+D58/(D61/365))</f>
        <v>75.491652050421493</v>
      </c>
      <c r="E57" s="355">
        <f>IF((E61/365)=0,0,+E58/(E61/365))</f>
        <v>64.758238925888179</v>
      </c>
    </row>
    <row r="58" spans="1:5" ht="24" customHeight="1" x14ac:dyDescent="0.2">
      <c r="A58" s="339">
        <v>18</v>
      </c>
      <c r="B58" s="340" t="s">
        <v>54</v>
      </c>
      <c r="C58" s="353">
        <f>+C40</f>
        <v>63255000</v>
      </c>
      <c r="D58" s="353">
        <f>+D40</f>
        <v>68158000</v>
      </c>
      <c r="E58" s="353">
        <f>+E40</f>
        <v>59887000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344623000</v>
      </c>
      <c r="D59" s="353">
        <f t="shared" si="0"/>
        <v>351657000</v>
      </c>
      <c r="E59" s="353">
        <f t="shared" si="0"/>
        <v>360357000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22454000</v>
      </c>
      <c r="D60" s="356">
        <f t="shared" si="0"/>
        <v>22115000</v>
      </c>
      <c r="E60" s="356">
        <f t="shared" si="0"/>
        <v>22813000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322169000</v>
      </c>
      <c r="D61" s="353">
        <f>+D59-D60</f>
        <v>329542000</v>
      </c>
      <c r="E61" s="353">
        <f>+E59-E60</f>
        <v>337544000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34.445894904565591</v>
      </c>
      <c r="D65" s="357">
        <f>IF(D67=0,0,(D66/D67)*100)</f>
        <v>36.432056540559905</v>
      </c>
      <c r="E65" s="357">
        <f>IF(E67=0,0,(E66/E67)*100)</f>
        <v>56.962628146368701</v>
      </c>
    </row>
    <row r="66" spans="1:5" ht="24" customHeight="1" x14ac:dyDescent="0.2">
      <c r="A66" s="339">
        <v>2</v>
      </c>
      <c r="B66" s="340" t="s">
        <v>67</v>
      </c>
      <c r="C66" s="353">
        <f>+C32</f>
        <v>143545000</v>
      </c>
      <c r="D66" s="353">
        <f>+D32</f>
        <v>166810000</v>
      </c>
      <c r="E66" s="353">
        <f>+E32</f>
        <v>270319000</v>
      </c>
    </row>
    <row r="67" spans="1:5" ht="24" customHeight="1" x14ac:dyDescent="0.2">
      <c r="A67" s="339">
        <v>3</v>
      </c>
      <c r="B67" s="340" t="s">
        <v>43</v>
      </c>
      <c r="C67" s="353">
        <v>416726000</v>
      </c>
      <c r="D67" s="353">
        <v>457866000</v>
      </c>
      <c r="E67" s="353">
        <v>474555000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31.19149342961563</v>
      </c>
      <c r="D69" s="357">
        <f>IF(D75=0,0,(D72/D75)*100)</f>
        <v>35.163333115216552</v>
      </c>
      <c r="E69" s="357">
        <f>IF(E75=0,0,(E72/E75)*100)</f>
        <v>35.275809918013209</v>
      </c>
    </row>
    <row r="70" spans="1:5" ht="24" customHeight="1" x14ac:dyDescent="0.2">
      <c r="A70" s="339">
        <v>5</v>
      </c>
      <c r="B70" s="340" t="s">
        <v>366</v>
      </c>
      <c r="C70" s="353">
        <f>+C28</f>
        <v>19963000</v>
      </c>
      <c r="D70" s="353">
        <f>+D28</f>
        <v>26249000</v>
      </c>
      <c r="E70" s="353">
        <f>+E28</f>
        <v>21504000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22454000</v>
      </c>
      <c r="D71" s="356">
        <f>+D47</f>
        <v>22115000</v>
      </c>
      <c r="E71" s="356">
        <f>+E47</f>
        <v>22813000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42417000</v>
      </c>
      <c r="D72" s="353">
        <f>+D70+D71</f>
        <v>48364000</v>
      </c>
      <c r="E72" s="353">
        <f>+E70+E71</f>
        <v>44317000</v>
      </c>
    </row>
    <row r="73" spans="1:5" ht="24" customHeight="1" x14ac:dyDescent="0.2">
      <c r="A73" s="339">
        <v>8</v>
      </c>
      <c r="B73" s="340" t="s">
        <v>54</v>
      </c>
      <c r="C73" s="341">
        <f>+C40</f>
        <v>63255000</v>
      </c>
      <c r="D73" s="341">
        <f>+D40</f>
        <v>68158000</v>
      </c>
      <c r="E73" s="341">
        <f>+E40</f>
        <v>59887000</v>
      </c>
    </row>
    <row r="74" spans="1:5" ht="24" customHeight="1" x14ac:dyDescent="0.2">
      <c r="A74" s="339">
        <v>9</v>
      </c>
      <c r="B74" s="340" t="s">
        <v>58</v>
      </c>
      <c r="C74" s="353">
        <v>72734000</v>
      </c>
      <c r="D74" s="353">
        <v>69383000</v>
      </c>
      <c r="E74" s="353">
        <v>65743000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135989000</v>
      </c>
      <c r="D75" s="341">
        <f>+D73+D74</f>
        <v>137541000</v>
      </c>
      <c r="E75" s="341">
        <f>+E73+E74</f>
        <v>125630000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33.629709773024658</v>
      </c>
      <c r="D77" s="359">
        <f>IF(D80=0,0,(D78/D80)*100)</f>
        <v>29.375553043485624</v>
      </c>
      <c r="E77" s="359">
        <f>IF(E80=0,0,(E78/E80)*100)</f>
        <v>19.56275925275693</v>
      </c>
    </row>
    <row r="78" spans="1:5" ht="24" customHeight="1" x14ac:dyDescent="0.2">
      <c r="A78" s="339">
        <v>12</v>
      </c>
      <c r="B78" s="340" t="s">
        <v>58</v>
      </c>
      <c r="C78" s="341">
        <f>+C74</f>
        <v>72734000</v>
      </c>
      <c r="D78" s="341">
        <f>+D74</f>
        <v>69383000</v>
      </c>
      <c r="E78" s="341">
        <f>+E74</f>
        <v>65743000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143545000</v>
      </c>
      <c r="D79" s="341">
        <f>+D32</f>
        <v>166810000</v>
      </c>
      <c r="E79" s="341">
        <f>+E32</f>
        <v>270319000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216279000</v>
      </c>
      <c r="D80" s="341">
        <f>+D78+D79</f>
        <v>236193000</v>
      </c>
      <c r="E80" s="341">
        <f>+E78+E79</f>
        <v>336062000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43814</v>
      </c>
      <c r="D11" s="376">
        <v>12076</v>
      </c>
      <c r="E11" s="376">
        <v>12073</v>
      </c>
      <c r="F11" s="377">
        <v>134</v>
      </c>
      <c r="G11" s="377">
        <v>170</v>
      </c>
      <c r="H11" s="378">
        <f>IF(F11=0,0,$C11/(F11*365))</f>
        <v>0.89580862809241468</v>
      </c>
      <c r="I11" s="378">
        <f>IF(G11=0,0,$C11/(G11*365))</f>
        <v>0.70610797743755038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7081</v>
      </c>
      <c r="D13" s="376">
        <v>704</v>
      </c>
      <c r="E13" s="376">
        <v>0</v>
      </c>
      <c r="F13" s="377">
        <v>20</v>
      </c>
      <c r="G13" s="377">
        <v>24</v>
      </c>
      <c r="H13" s="378">
        <f>IF(F13=0,0,$C13/(F13*365))</f>
        <v>0.97</v>
      </c>
      <c r="I13" s="378">
        <f>IF(G13=0,0,$C13/(G13*365))</f>
        <v>0.80833333333333335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5787</v>
      </c>
      <c r="D16" s="376">
        <v>785</v>
      </c>
      <c r="E16" s="376">
        <v>784</v>
      </c>
      <c r="F16" s="377">
        <v>17</v>
      </c>
      <c r="G16" s="377">
        <v>20</v>
      </c>
      <c r="H16" s="378">
        <f t="shared" si="0"/>
        <v>0.93263497179693799</v>
      </c>
      <c r="I16" s="378">
        <f t="shared" si="0"/>
        <v>0.79273972602739728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5787</v>
      </c>
      <c r="D17" s="381">
        <f>SUM(D15:D16)</f>
        <v>785</v>
      </c>
      <c r="E17" s="381">
        <f>SUM(E15:E16)</f>
        <v>784</v>
      </c>
      <c r="F17" s="381">
        <f>SUM(F15:F16)</f>
        <v>17</v>
      </c>
      <c r="G17" s="381">
        <f>SUM(G15:G16)</f>
        <v>20</v>
      </c>
      <c r="H17" s="382">
        <f t="shared" si="0"/>
        <v>0.93263497179693799</v>
      </c>
      <c r="I17" s="382">
        <f t="shared" si="0"/>
        <v>0.79273972602739728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3025</v>
      </c>
      <c r="D21" s="376">
        <v>1223</v>
      </c>
      <c r="E21" s="376">
        <v>1223</v>
      </c>
      <c r="F21" s="377">
        <v>9</v>
      </c>
      <c r="G21" s="377">
        <v>23</v>
      </c>
      <c r="H21" s="378">
        <f>IF(F21=0,0,$C21/(F21*365))</f>
        <v>0.9208523592085236</v>
      </c>
      <c r="I21" s="378">
        <f>IF(G21=0,0,$C21/(G21*365))</f>
        <v>0.36033353186420486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2839</v>
      </c>
      <c r="D23" s="376">
        <v>1078</v>
      </c>
      <c r="E23" s="376">
        <v>1076</v>
      </c>
      <c r="F23" s="377">
        <v>9</v>
      </c>
      <c r="G23" s="377">
        <v>23</v>
      </c>
      <c r="H23" s="378">
        <f>IF(F23=0,0,$C23/(F23*365))</f>
        <v>0.8642313546423136</v>
      </c>
      <c r="I23" s="378">
        <f>IF(G23=0,0,$C23/(G23*365))</f>
        <v>0.33817748659916619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59707</v>
      </c>
      <c r="D31" s="384">
        <f>SUM(D10:D29)-D13-D17-D23</f>
        <v>14084</v>
      </c>
      <c r="E31" s="384">
        <f>SUM(E10:E29)-E17-E23</f>
        <v>14080</v>
      </c>
      <c r="F31" s="384">
        <f>SUM(F10:F29)-F17-F23</f>
        <v>180</v>
      </c>
      <c r="G31" s="384">
        <f>SUM(G10:G29)-G17-G23</f>
        <v>237</v>
      </c>
      <c r="H31" s="385">
        <f>IF(F31=0,0,$C31/(F31*365))</f>
        <v>0.90878234398782343</v>
      </c>
      <c r="I31" s="385">
        <f>IF(G31=0,0,$C31/(G31*365))</f>
        <v>0.69021443847176467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62546</v>
      </c>
      <c r="D33" s="384">
        <f>SUM(D10:D29)-D13-D17</f>
        <v>15162</v>
      </c>
      <c r="E33" s="384">
        <f>SUM(E10:E29)-E17</f>
        <v>15156</v>
      </c>
      <c r="F33" s="384">
        <f>SUM(F10:F29)-F17</f>
        <v>189</v>
      </c>
      <c r="G33" s="384">
        <f>SUM(G10:G29)-G17</f>
        <v>260</v>
      </c>
      <c r="H33" s="385">
        <f>IF(F33=0,0,$C33/(F33*365))</f>
        <v>0.90666086830470394</v>
      </c>
      <c r="I33" s="385">
        <f>IF(G33=0,0,$C33/(G33*365))</f>
        <v>0.65907270811380403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62546</v>
      </c>
      <c r="D36" s="384">
        <f t="shared" si="1"/>
        <v>15162</v>
      </c>
      <c r="E36" s="384">
        <f t="shared" si="1"/>
        <v>15156</v>
      </c>
      <c r="F36" s="384">
        <f t="shared" si="1"/>
        <v>189</v>
      </c>
      <c r="G36" s="384">
        <f t="shared" si="1"/>
        <v>260</v>
      </c>
      <c r="H36" s="387">
        <f t="shared" si="1"/>
        <v>0.90666086830470394</v>
      </c>
      <c r="I36" s="387">
        <f t="shared" si="1"/>
        <v>0.65907270811380403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59473</v>
      </c>
      <c r="D37" s="384">
        <v>14158</v>
      </c>
      <c r="E37" s="384">
        <v>14181</v>
      </c>
      <c r="F37" s="386">
        <v>183</v>
      </c>
      <c r="G37" s="386">
        <v>260</v>
      </c>
      <c r="H37" s="385">
        <f>IF(F37=0,0,$C37/(F37*365))</f>
        <v>0.89038101654315438</v>
      </c>
      <c r="I37" s="385">
        <f>IF(G37=0,0,$C37/(G37*365))</f>
        <v>0.62669125395152792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3073</v>
      </c>
      <c r="D38" s="384">
        <f t="shared" si="2"/>
        <v>1004</v>
      </c>
      <c r="E38" s="384">
        <f t="shared" si="2"/>
        <v>975</v>
      </c>
      <c r="F38" s="384">
        <f t="shared" si="2"/>
        <v>6</v>
      </c>
      <c r="G38" s="384">
        <f t="shared" si="2"/>
        <v>0</v>
      </c>
      <c r="H38" s="387">
        <f t="shared" si="2"/>
        <v>1.6279851761549557E-2</v>
      </c>
      <c r="I38" s="387">
        <f t="shared" si="2"/>
        <v>3.2381454162276113E-2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5.1670505943873693E-2</v>
      </c>
      <c r="D40" s="389">
        <f t="shared" si="3"/>
        <v>7.0913970899844608E-2</v>
      </c>
      <c r="E40" s="389">
        <f t="shared" si="3"/>
        <v>6.8753966574994704E-2</v>
      </c>
      <c r="F40" s="389">
        <f t="shared" si="3"/>
        <v>3.2786885245901641E-2</v>
      </c>
      <c r="G40" s="389">
        <f t="shared" si="3"/>
        <v>0</v>
      </c>
      <c r="H40" s="389">
        <f t="shared" si="3"/>
        <v>1.828414067581428E-2</v>
      </c>
      <c r="I40" s="389">
        <f t="shared" si="3"/>
        <v>5.1670505943873742E-2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297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7073</v>
      </c>
      <c r="D12" s="409">
        <v>7905</v>
      </c>
      <c r="E12" s="409">
        <f>+D12-C12</f>
        <v>832</v>
      </c>
      <c r="F12" s="410">
        <f>IF(C12=0,0,+E12/C12)</f>
        <v>0.11763042556199632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10392</v>
      </c>
      <c r="D13" s="409">
        <v>9959</v>
      </c>
      <c r="E13" s="409">
        <f>+D13-C13</f>
        <v>-433</v>
      </c>
      <c r="F13" s="410">
        <f>IF(C13=0,0,+E13/C13)</f>
        <v>-4.1666666666666664E-2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11314</v>
      </c>
      <c r="D14" s="409">
        <v>11148</v>
      </c>
      <c r="E14" s="409">
        <f>+D14-C14</f>
        <v>-166</v>
      </c>
      <c r="F14" s="410">
        <f>IF(C14=0,0,+E14/C14)</f>
        <v>-1.4672087678981793E-2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28779</v>
      </c>
      <c r="D16" s="401">
        <f>SUM(D12:D15)</f>
        <v>29012</v>
      </c>
      <c r="E16" s="401">
        <f>+D16-C16</f>
        <v>233</v>
      </c>
      <c r="F16" s="402">
        <f>IF(C16=0,0,+E16/C16)</f>
        <v>8.0961812432676604E-3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1663</v>
      </c>
      <c r="D19" s="409">
        <v>2257</v>
      </c>
      <c r="E19" s="409">
        <f>+D19-C19</f>
        <v>594</v>
      </c>
      <c r="F19" s="410">
        <f>IF(C19=0,0,+E19/C19)</f>
        <v>0.3571858087793145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9098</v>
      </c>
      <c r="D20" s="409">
        <v>9072</v>
      </c>
      <c r="E20" s="409">
        <f>+D20-C20</f>
        <v>-26</v>
      </c>
      <c r="F20" s="410">
        <f>IF(C20=0,0,+E20/C20)</f>
        <v>-2.8577709386678391E-3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98</v>
      </c>
      <c r="D21" s="409">
        <v>130</v>
      </c>
      <c r="E21" s="409">
        <f>+D21-C21</f>
        <v>32</v>
      </c>
      <c r="F21" s="410">
        <f>IF(C21=0,0,+E21/C21)</f>
        <v>0.32653061224489793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10859</v>
      </c>
      <c r="D23" s="401">
        <f>SUM(D19:D22)</f>
        <v>11459</v>
      </c>
      <c r="E23" s="401">
        <f>+D23-C23</f>
        <v>600</v>
      </c>
      <c r="F23" s="402">
        <f>IF(C23=0,0,+E23/C23)</f>
        <v>5.5253706602817941E-2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</v>
      </c>
      <c r="D26" s="409">
        <v>0</v>
      </c>
      <c r="E26" s="409">
        <f>+D26-C26</f>
        <v>-1</v>
      </c>
      <c r="F26" s="410">
        <f>IF(C26=0,0,+E26/C26)</f>
        <v>-1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8</v>
      </c>
      <c r="D27" s="409">
        <v>4</v>
      </c>
      <c r="E27" s="409">
        <f>+D27-C27</f>
        <v>-4</v>
      </c>
      <c r="F27" s="410">
        <f>IF(C27=0,0,+E27/C27)</f>
        <v>-0.5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9</v>
      </c>
      <c r="D30" s="401">
        <f>SUM(D26:D29)</f>
        <v>4</v>
      </c>
      <c r="E30" s="401">
        <f>+D30-C30</f>
        <v>-5</v>
      </c>
      <c r="F30" s="402">
        <f>IF(C30=0,0,+E30/C30)</f>
        <v>-0.55555555555555558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3</v>
      </c>
      <c r="D33" s="409">
        <v>3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495</v>
      </c>
      <c r="D34" s="409">
        <v>494</v>
      </c>
      <c r="E34" s="409">
        <f>+D34-C34</f>
        <v>-1</v>
      </c>
      <c r="F34" s="410">
        <f>IF(C34=0,0,+E34/C34)</f>
        <v>-2.0202020202020202E-3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498</v>
      </c>
      <c r="D37" s="401">
        <f>SUM(D33:D36)</f>
        <v>497</v>
      </c>
      <c r="E37" s="401">
        <f>+D37-C37</f>
        <v>-1</v>
      </c>
      <c r="F37" s="402">
        <f>IF(C37=0,0,+E37/C37)</f>
        <v>-2.008032128514056E-3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225</v>
      </c>
      <c r="D43" s="409">
        <v>178</v>
      </c>
      <c r="E43" s="409">
        <f>+D43-C43</f>
        <v>-47</v>
      </c>
      <c r="F43" s="410">
        <f>IF(C43=0,0,+E43/C43)</f>
        <v>-0.2088888888888889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12272</v>
      </c>
      <c r="D44" s="409">
        <v>12571</v>
      </c>
      <c r="E44" s="409">
        <f>+D44-C44</f>
        <v>299</v>
      </c>
      <c r="F44" s="410">
        <f>IF(C44=0,0,+E44/C44)</f>
        <v>2.4364406779661018E-2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12497</v>
      </c>
      <c r="D45" s="401">
        <f>SUM(D43:D44)</f>
        <v>12749</v>
      </c>
      <c r="E45" s="401">
        <f>+D45-C45</f>
        <v>252</v>
      </c>
      <c r="F45" s="402">
        <f>IF(C45=0,0,+E45/C45)</f>
        <v>2.0164839561494757E-2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110</v>
      </c>
      <c r="D48" s="409">
        <v>132</v>
      </c>
      <c r="E48" s="409">
        <f>+D48-C48</f>
        <v>22</v>
      </c>
      <c r="F48" s="410">
        <f>IF(C48=0,0,+E48/C48)</f>
        <v>0.2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202</v>
      </c>
      <c r="D49" s="409">
        <v>227</v>
      </c>
      <c r="E49" s="409">
        <f>+D49-C49</f>
        <v>25</v>
      </c>
      <c r="F49" s="410">
        <f>IF(C49=0,0,+E49/C49)</f>
        <v>0.12376237623762376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312</v>
      </c>
      <c r="D50" s="401">
        <f>SUM(D48:D49)</f>
        <v>359</v>
      </c>
      <c r="E50" s="401">
        <f>+D50-C50</f>
        <v>47</v>
      </c>
      <c r="F50" s="402">
        <f>IF(C50=0,0,+E50/C50)</f>
        <v>0.15064102564102563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2859</v>
      </c>
      <c r="D63" s="409">
        <v>2966</v>
      </c>
      <c r="E63" s="409">
        <f>+D63-C63</f>
        <v>107</v>
      </c>
      <c r="F63" s="410">
        <f>IF(C63=0,0,+E63/C63)</f>
        <v>3.7425673312346974E-2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4807</v>
      </c>
      <c r="D64" s="409">
        <v>4720</v>
      </c>
      <c r="E64" s="409">
        <f>+D64-C64</f>
        <v>-87</v>
      </c>
      <c r="F64" s="410">
        <f>IF(C64=0,0,+E64/C64)</f>
        <v>-1.8098606199292697E-2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7666</v>
      </c>
      <c r="D65" s="401">
        <f>SUM(D63:D64)</f>
        <v>7686</v>
      </c>
      <c r="E65" s="401">
        <f>+D65-C65</f>
        <v>20</v>
      </c>
      <c r="F65" s="402">
        <f>IF(C65=0,0,+E65/C65)</f>
        <v>2.6089225150013043E-3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885</v>
      </c>
      <c r="D68" s="409">
        <v>880</v>
      </c>
      <c r="E68" s="409">
        <f>+D68-C68</f>
        <v>-5</v>
      </c>
      <c r="F68" s="410">
        <f>IF(C68=0,0,+E68/C68)</f>
        <v>-5.6497175141242938E-3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1926</v>
      </c>
      <c r="D69" s="409">
        <v>1985</v>
      </c>
      <c r="E69" s="409">
        <f>+D69-C69</f>
        <v>59</v>
      </c>
      <c r="F69" s="412">
        <f>IF(C69=0,0,+E69/C69)</f>
        <v>3.0633437175493251E-2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2811</v>
      </c>
      <c r="D70" s="401">
        <f>SUM(D68:D69)</f>
        <v>2865</v>
      </c>
      <c r="E70" s="401">
        <f>+D70-C70</f>
        <v>54</v>
      </c>
      <c r="F70" s="402">
        <f>IF(C70=0,0,+E70/C70)</f>
        <v>1.9210245464247599E-2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8809</v>
      </c>
      <c r="D73" s="376">
        <v>9971</v>
      </c>
      <c r="E73" s="409">
        <f>+D73-C73</f>
        <v>1162</v>
      </c>
      <c r="F73" s="410">
        <f>IF(C73=0,0,+E73/C73)</f>
        <v>0.1319105460324668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85082</v>
      </c>
      <c r="D74" s="376">
        <v>81193</v>
      </c>
      <c r="E74" s="409">
        <f>+D74-C74</f>
        <v>-3889</v>
      </c>
      <c r="F74" s="410">
        <f>IF(C74=0,0,+E74/C74)</f>
        <v>-4.5708845584259888E-2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93891</v>
      </c>
      <c r="D75" s="401">
        <f>SUM(D73:D74)</f>
        <v>91164</v>
      </c>
      <c r="E75" s="401">
        <f>SUM(E73:E74)</f>
        <v>-2727</v>
      </c>
      <c r="F75" s="402">
        <f>IF(C75=0,0,+E75/C75)</f>
        <v>-2.9044317346710546E-2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35449</v>
      </c>
      <c r="D81" s="376">
        <v>35842</v>
      </c>
      <c r="E81" s="409">
        <f t="shared" si="0"/>
        <v>393</v>
      </c>
      <c r="F81" s="410">
        <f t="shared" si="1"/>
        <v>1.108634940336822E-2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55697</v>
      </c>
      <c r="D82" s="376">
        <v>0</v>
      </c>
      <c r="E82" s="409">
        <f t="shared" si="0"/>
        <v>-55697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33379</v>
      </c>
      <c r="E85" s="409">
        <f t="shared" si="0"/>
        <v>33379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22074</v>
      </c>
      <c r="E86" s="409">
        <f t="shared" si="0"/>
        <v>22074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6891</v>
      </c>
      <c r="D87" s="376">
        <v>0</v>
      </c>
      <c r="E87" s="409">
        <f t="shared" si="0"/>
        <v>-6891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5844</v>
      </c>
      <c r="E91" s="409">
        <f t="shared" si="0"/>
        <v>5844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98037</v>
      </c>
      <c r="D92" s="381">
        <f>SUM(D79:D91)</f>
        <v>97139</v>
      </c>
      <c r="E92" s="401">
        <f t="shared" si="0"/>
        <v>-898</v>
      </c>
      <c r="F92" s="402">
        <f t="shared" si="1"/>
        <v>-9.1598070116384635E-3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46677</v>
      </c>
      <c r="D95" s="414">
        <v>43247</v>
      </c>
      <c r="E95" s="415">
        <f t="shared" ref="E95:E100" si="2">+D95-C95</f>
        <v>-3430</v>
      </c>
      <c r="F95" s="412">
        <f t="shared" ref="F95:F100" si="3">IF(C95=0,0,+E95/C95)</f>
        <v>-7.34837286029522E-2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3489</v>
      </c>
      <c r="D96" s="414">
        <v>3442</v>
      </c>
      <c r="E96" s="409">
        <f t="shared" si="2"/>
        <v>-47</v>
      </c>
      <c r="F96" s="410">
        <f t="shared" si="3"/>
        <v>-1.347090856979077E-2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730</v>
      </c>
      <c r="D97" s="414">
        <v>948</v>
      </c>
      <c r="E97" s="409">
        <f t="shared" si="2"/>
        <v>218</v>
      </c>
      <c r="F97" s="410">
        <f t="shared" si="3"/>
        <v>0.29863013698630136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399259</v>
      </c>
      <c r="D99" s="414">
        <v>402972</v>
      </c>
      <c r="E99" s="409">
        <f t="shared" si="2"/>
        <v>3713</v>
      </c>
      <c r="F99" s="410">
        <f t="shared" si="3"/>
        <v>9.2997277456488142E-3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450155</v>
      </c>
      <c r="D100" s="381">
        <f>SUM(D95:D99)</f>
        <v>450609</v>
      </c>
      <c r="E100" s="401">
        <f t="shared" si="2"/>
        <v>454</v>
      </c>
      <c r="F100" s="402">
        <f t="shared" si="3"/>
        <v>1.0085415023714055E-3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522</v>
      </c>
      <c r="D104" s="416">
        <v>534</v>
      </c>
      <c r="E104" s="417">
        <f>+D104-C104</f>
        <v>12</v>
      </c>
      <c r="F104" s="410">
        <f>IF(C104=0,0,+E104/C104)</f>
        <v>2.2988505747126436E-2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134</v>
      </c>
      <c r="D105" s="416">
        <v>135</v>
      </c>
      <c r="E105" s="417">
        <f>+D105-C105</f>
        <v>1</v>
      </c>
      <c r="F105" s="410">
        <f>IF(C105=0,0,+E105/C105)</f>
        <v>7.462686567164179E-3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1424</v>
      </c>
      <c r="D106" s="416">
        <v>1450</v>
      </c>
      <c r="E106" s="417">
        <f>+D106-C106</f>
        <v>26</v>
      </c>
      <c r="F106" s="410">
        <f>IF(C106=0,0,+E106/C106)</f>
        <v>1.8258426966292134E-2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2080</v>
      </c>
      <c r="D107" s="418">
        <f>SUM(D104:D106)</f>
        <v>2119</v>
      </c>
      <c r="E107" s="418">
        <f>+D107-C107</f>
        <v>39</v>
      </c>
      <c r="F107" s="402">
        <f>IF(C107=0,0,+E107/C107)</f>
        <v>1.8749999999999999E-2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1440</v>
      </c>
      <c r="D12" s="409">
        <v>1784</v>
      </c>
      <c r="E12" s="409">
        <f>+D12-C12</f>
        <v>344</v>
      </c>
      <c r="F12" s="410">
        <f>IF(C12=0,0,+E12/C12)</f>
        <v>0.2388888888888889</v>
      </c>
    </row>
    <row r="13" spans="1:6" ht="15.75" customHeight="1" x14ac:dyDescent="0.2">
      <c r="A13" s="374">
        <v>2</v>
      </c>
      <c r="B13" s="408" t="s">
        <v>622</v>
      </c>
      <c r="C13" s="409">
        <v>3367</v>
      </c>
      <c r="D13" s="409">
        <v>2936</v>
      </c>
      <c r="E13" s="409">
        <f>+D13-C13</f>
        <v>-431</v>
      </c>
      <c r="F13" s="410">
        <f>IF(C13=0,0,+E13/C13)</f>
        <v>-0.12800712800712802</v>
      </c>
    </row>
    <row r="14" spans="1:6" ht="15.75" customHeight="1" x14ac:dyDescent="0.25">
      <c r="A14" s="374"/>
      <c r="B14" s="399" t="s">
        <v>623</v>
      </c>
      <c r="C14" s="401">
        <f>SUM(C11:C13)</f>
        <v>4807</v>
      </c>
      <c r="D14" s="401">
        <f>SUM(D11:D13)</f>
        <v>4720</v>
      </c>
      <c r="E14" s="401">
        <f>+D14-C14</f>
        <v>-87</v>
      </c>
      <c r="F14" s="402">
        <f>IF(C14=0,0,+E14/C14)</f>
        <v>-1.8098606199292697E-2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0</v>
      </c>
      <c r="D17" s="409">
        <v>0</v>
      </c>
      <c r="E17" s="409">
        <f>+D17-C17</f>
        <v>0</v>
      </c>
      <c r="F17" s="410">
        <f>IF(C17=0,0,+E17/C17)</f>
        <v>0</v>
      </c>
    </row>
    <row r="18" spans="1:6" ht="15.75" customHeight="1" x14ac:dyDescent="0.2">
      <c r="A18" s="374">
        <v>2</v>
      </c>
      <c r="B18" s="408" t="s">
        <v>622</v>
      </c>
      <c r="C18" s="409">
        <v>1926</v>
      </c>
      <c r="D18" s="409">
        <v>1985</v>
      </c>
      <c r="E18" s="409">
        <f>+D18-C18</f>
        <v>59</v>
      </c>
      <c r="F18" s="410">
        <f>IF(C18=0,0,+E18/C18)</f>
        <v>3.0633437175493251E-2</v>
      </c>
    </row>
    <row r="19" spans="1:6" ht="15.75" customHeight="1" x14ac:dyDescent="0.25">
      <c r="A19" s="374"/>
      <c r="B19" s="399" t="s">
        <v>625</v>
      </c>
      <c r="C19" s="401">
        <f>SUM(C16:C18)</f>
        <v>1926</v>
      </c>
      <c r="D19" s="401">
        <f>SUM(D16:D18)</f>
        <v>1985</v>
      </c>
      <c r="E19" s="401">
        <f>+D19-C19</f>
        <v>59</v>
      </c>
      <c r="F19" s="402">
        <f>IF(C19=0,0,+E19/C19)</f>
        <v>3.0633437175493251E-2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23096</v>
      </c>
      <c r="D22" s="409">
        <v>21428</v>
      </c>
      <c r="E22" s="409">
        <f>+D22-C22</f>
        <v>-1668</v>
      </c>
      <c r="F22" s="410">
        <f>IF(C22=0,0,+E22/C22)</f>
        <v>-7.2220297887080009E-2</v>
      </c>
    </row>
    <row r="23" spans="1:6" ht="15.75" customHeight="1" x14ac:dyDescent="0.2">
      <c r="A23" s="374">
        <v>2</v>
      </c>
      <c r="B23" s="408" t="s">
        <v>628</v>
      </c>
      <c r="C23" s="409">
        <v>20601</v>
      </c>
      <c r="D23" s="409">
        <v>20429</v>
      </c>
      <c r="E23" s="409">
        <f>+D23-C23</f>
        <v>-172</v>
      </c>
      <c r="F23" s="410">
        <f>IF(C23=0,0,+E23/C23)</f>
        <v>-8.3491092665404585E-3</v>
      </c>
    </row>
    <row r="24" spans="1:6" ht="15.75" customHeight="1" x14ac:dyDescent="0.2">
      <c r="A24" s="374">
        <v>3</v>
      </c>
      <c r="B24" s="408" t="s">
        <v>629</v>
      </c>
      <c r="C24" s="409">
        <v>41385</v>
      </c>
      <c r="D24" s="409">
        <v>39336</v>
      </c>
      <c r="E24" s="409">
        <f>+D24-C24</f>
        <v>-2049</v>
      </c>
      <c r="F24" s="410">
        <f>IF(C24=0,0,+E24/C24)</f>
        <v>-4.9510692279811523E-2</v>
      </c>
    </row>
    <row r="25" spans="1:6" ht="15.75" customHeight="1" x14ac:dyDescent="0.25">
      <c r="A25" s="374"/>
      <c r="B25" s="399" t="s">
        <v>630</v>
      </c>
      <c r="C25" s="401">
        <f>SUM(C21:C24)</f>
        <v>85082</v>
      </c>
      <c r="D25" s="401">
        <f>SUM(D21:D24)</f>
        <v>81193</v>
      </c>
      <c r="E25" s="401">
        <f>+D25-C25</f>
        <v>-3889</v>
      </c>
      <c r="F25" s="402">
        <f>IF(C25=0,0,+E25/C25)</f>
        <v>-4.5708845584259888E-2</v>
      </c>
    </row>
    <row r="26" spans="1:6" ht="15.75" customHeight="1" x14ac:dyDescent="0.25">
      <c r="A26" s="136"/>
      <c r="B26" s="399"/>
      <c r="C26" s="401"/>
      <c r="D26" s="401"/>
      <c r="E26" s="401"/>
      <c r="F26" s="402"/>
    </row>
    <row r="27" spans="1:6" ht="15.75" customHeight="1" x14ac:dyDescent="0.25">
      <c r="B27" s="810" t="s">
        <v>631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632</v>
      </c>
      <c r="C29" s="811"/>
      <c r="D29" s="811"/>
      <c r="E29" s="811"/>
      <c r="F29" s="812"/>
    </row>
    <row r="30" spans="1:6" ht="15.75" customHeight="1" x14ac:dyDescent="0.25">
      <c r="A30" s="392"/>
    </row>
    <row r="31" spans="1:6" ht="15.75" customHeight="1" x14ac:dyDescent="0.25">
      <c r="B31" s="810" t="s">
        <v>633</v>
      </c>
      <c r="C31" s="811"/>
      <c r="D31" s="811"/>
      <c r="E31" s="811"/>
      <c r="F31" s="812"/>
    </row>
    <row r="32" spans="1:6" ht="15.75" customHeight="1" x14ac:dyDescent="0.25">
      <c r="A32" s="392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634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635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636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637</v>
      </c>
      <c r="D7" s="426" t="s">
        <v>637</v>
      </c>
      <c r="E7" s="426" t="s">
        <v>638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639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640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641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642</v>
      </c>
      <c r="C15" s="448">
        <v>300009429</v>
      </c>
      <c r="D15" s="448">
        <v>345906839</v>
      </c>
      <c r="E15" s="448">
        <f t="shared" ref="E15:E24" si="0">D15-C15</f>
        <v>45897410</v>
      </c>
      <c r="F15" s="449">
        <f t="shared" ref="F15:F24" si="1">IF(C15=0,0,E15/C15)</f>
        <v>0.15298655829913932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643</v>
      </c>
      <c r="C16" s="448">
        <v>72545632</v>
      </c>
      <c r="D16" s="448">
        <v>72151900</v>
      </c>
      <c r="E16" s="448">
        <f t="shared" si="0"/>
        <v>-393732</v>
      </c>
      <c r="F16" s="449">
        <f t="shared" si="1"/>
        <v>-5.4273701826734379E-3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644</v>
      </c>
      <c r="C17" s="453">
        <f>IF(C15=0,0,C16/C15)</f>
        <v>0.2418111732081594</v>
      </c>
      <c r="D17" s="453">
        <f>IF(LN_IA1=0,0,LN_IA2/LN_IA1)</f>
        <v>0.20858766542051516</v>
      </c>
      <c r="E17" s="454">
        <f t="shared" si="0"/>
        <v>-3.3223507787644241E-2</v>
      </c>
      <c r="F17" s="449">
        <f t="shared" si="1"/>
        <v>-0.13739442783747755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7537</v>
      </c>
      <c r="D18" s="456">
        <v>8270</v>
      </c>
      <c r="E18" s="456">
        <f t="shared" si="0"/>
        <v>733</v>
      </c>
      <c r="F18" s="449">
        <f t="shared" si="1"/>
        <v>9.7253549157489724E-2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645</v>
      </c>
      <c r="C19" s="459">
        <v>1.38656</v>
      </c>
      <c r="D19" s="459">
        <v>1.3407</v>
      </c>
      <c r="E19" s="460">
        <f t="shared" si="0"/>
        <v>-4.5860000000000012E-2</v>
      </c>
      <c r="F19" s="449">
        <f t="shared" si="1"/>
        <v>-3.3074659589199175E-2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646</v>
      </c>
      <c r="C20" s="463">
        <f>C18*C19</f>
        <v>10450.50272</v>
      </c>
      <c r="D20" s="463">
        <f>LN_IA4*LN_IA5</f>
        <v>11087.589</v>
      </c>
      <c r="E20" s="463">
        <f t="shared" si="0"/>
        <v>637.08627999999953</v>
      </c>
      <c r="F20" s="449">
        <f t="shared" si="1"/>
        <v>6.0962261536065078E-2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647</v>
      </c>
      <c r="C21" s="465">
        <f>IF(C20=0,0,C16/C20)</f>
        <v>6941.8317896959506</v>
      </c>
      <c r="D21" s="465">
        <f>IF(LN_IA6=0,0,LN_IA2/LN_IA6)</f>
        <v>6507.4472006493024</v>
      </c>
      <c r="E21" s="465">
        <f t="shared" si="0"/>
        <v>-434.38458904664822</v>
      </c>
      <c r="F21" s="449">
        <f t="shared" si="1"/>
        <v>-6.2574922903119501E-2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34849</v>
      </c>
      <c r="D22" s="456">
        <v>38079</v>
      </c>
      <c r="E22" s="456">
        <f t="shared" si="0"/>
        <v>3230</v>
      </c>
      <c r="F22" s="449">
        <f t="shared" si="1"/>
        <v>9.2685586386983848E-2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648</v>
      </c>
      <c r="C23" s="465">
        <f>IF(C22=0,0,C16/C22)</f>
        <v>2081.7134494533561</v>
      </c>
      <c r="D23" s="465">
        <f>IF(LN_IA8=0,0,LN_IA2/LN_IA8)</f>
        <v>1894.7950313821266</v>
      </c>
      <c r="E23" s="465">
        <f t="shared" si="0"/>
        <v>-186.91841807122955</v>
      </c>
      <c r="F23" s="449">
        <f t="shared" si="1"/>
        <v>-8.9790656884266698E-2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649</v>
      </c>
      <c r="C24" s="466">
        <f>IF(C18=0,0,C22/C18)</f>
        <v>4.6237229666976249</v>
      </c>
      <c r="D24" s="466">
        <f>IF(LN_IA4=0,0,LN_IA8/LN_IA4)</f>
        <v>4.6044740024183799</v>
      </c>
      <c r="E24" s="466">
        <f t="shared" si="0"/>
        <v>-1.9248964279245051E-2</v>
      </c>
      <c r="F24" s="449">
        <f t="shared" si="1"/>
        <v>-4.1630877147886582E-3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650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651</v>
      </c>
      <c r="C27" s="448">
        <v>220377833</v>
      </c>
      <c r="D27" s="448">
        <v>239523212</v>
      </c>
      <c r="E27" s="448">
        <f t="shared" ref="E27:E32" si="2">D27-C27</f>
        <v>19145379</v>
      </c>
      <c r="F27" s="449">
        <f t="shared" ref="F27:F32" si="3">IF(C27=0,0,E27/C27)</f>
        <v>8.6875248473833572E-2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652</v>
      </c>
      <c r="C28" s="448">
        <v>46519479</v>
      </c>
      <c r="D28" s="448">
        <v>54453684</v>
      </c>
      <c r="E28" s="448">
        <f t="shared" si="2"/>
        <v>7934205</v>
      </c>
      <c r="F28" s="449">
        <f t="shared" si="3"/>
        <v>0.1705566177987505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653</v>
      </c>
      <c r="C29" s="453">
        <f>IF(C27=0,0,C28/C27)</f>
        <v>0.2110896471152795</v>
      </c>
      <c r="D29" s="453">
        <f>IF(LN_IA11=0,0,LN_IA12/LN_IA11)</f>
        <v>0.22734199138912684</v>
      </c>
      <c r="E29" s="454">
        <f t="shared" si="2"/>
        <v>1.6252344273847336E-2</v>
      </c>
      <c r="F29" s="449">
        <f t="shared" si="3"/>
        <v>7.6992616624971977E-2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654</v>
      </c>
      <c r="C30" s="453">
        <f>IF(C15=0,0,C27/C15)</f>
        <v>0.73456968914133691</v>
      </c>
      <c r="D30" s="453">
        <f>IF(LN_IA1=0,0,LN_IA11/LN_IA1)</f>
        <v>0.69245006167686673</v>
      </c>
      <c r="E30" s="454">
        <f t="shared" si="2"/>
        <v>-4.2119627464470177E-2</v>
      </c>
      <c r="F30" s="449">
        <f t="shared" si="3"/>
        <v>-5.7339185222446652E-2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655</v>
      </c>
      <c r="C31" s="463">
        <f>C30*C18</f>
        <v>5536.4517470582559</v>
      </c>
      <c r="D31" s="463">
        <f>LN_IA14*LN_IA4</f>
        <v>5726.5620100676879</v>
      </c>
      <c r="E31" s="463">
        <f t="shared" si="2"/>
        <v>190.11026300943195</v>
      </c>
      <c r="F31" s="449">
        <f t="shared" si="3"/>
        <v>3.4337924666361506E-2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656</v>
      </c>
      <c r="C32" s="465">
        <f>IF(C31=0,0,C28/C31)</f>
        <v>8402.3994293308369</v>
      </c>
      <c r="D32" s="465">
        <f>IF(LN_IA15=0,0,LN_IA12/LN_IA15)</f>
        <v>9508.966095934471</v>
      </c>
      <c r="E32" s="465">
        <f t="shared" si="2"/>
        <v>1106.5666666036341</v>
      </c>
      <c r="F32" s="449">
        <f t="shared" si="3"/>
        <v>0.13169650834984889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657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658</v>
      </c>
      <c r="C35" s="448">
        <f>C15+C27</f>
        <v>520387262</v>
      </c>
      <c r="D35" s="448">
        <f>LN_IA1+LN_IA11</f>
        <v>585430051</v>
      </c>
      <c r="E35" s="448">
        <f>D35-C35</f>
        <v>65042789</v>
      </c>
      <c r="F35" s="449">
        <f>IF(C35=0,0,E35/C35)</f>
        <v>0.12498920275262233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659</v>
      </c>
      <c r="C36" s="448">
        <f>C16+C28</f>
        <v>119065111</v>
      </c>
      <c r="D36" s="448">
        <f>LN_IA2+LN_IA12</f>
        <v>126605584</v>
      </c>
      <c r="E36" s="448">
        <f>D36-C36</f>
        <v>7540473</v>
      </c>
      <c r="F36" s="449">
        <f>IF(C36=0,0,E36/C36)</f>
        <v>6.3330667872975824E-2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660</v>
      </c>
      <c r="C37" s="448">
        <f>C35-C36</f>
        <v>401322151</v>
      </c>
      <c r="D37" s="448">
        <f>LN_IA17-LN_IA18</f>
        <v>458824467</v>
      </c>
      <c r="E37" s="448">
        <f>D37-C37</f>
        <v>57502316</v>
      </c>
      <c r="F37" s="449">
        <f>IF(C37=0,0,E37/C37)</f>
        <v>0.14328218827871278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661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662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642</v>
      </c>
      <c r="C42" s="448">
        <v>141858357</v>
      </c>
      <c r="D42" s="448">
        <v>155937203</v>
      </c>
      <c r="E42" s="448">
        <f t="shared" ref="E42:E53" si="4">D42-C42</f>
        <v>14078846</v>
      </c>
      <c r="F42" s="449">
        <f t="shared" ref="F42:F53" si="5">IF(C42=0,0,E42/C42)</f>
        <v>9.9245799103679172E-2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643</v>
      </c>
      <c r="C43" s="448">
        <v>63941094</v>
      </c>
      <c r="D43" s="448">
        <v>69566430</v>
      </c>
      <c r="E43" s="448">
        <f t="shared" si="4"/>
        <v>5625336</v>
      </c>
      <c r="F43" s="449">
        <f t="shared" si="5"/>
        <v>8.7976849442081798E-2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644</v>
      </c>
      <c r="C44" s="453">
        <f>IF(C42=0,0,C43/C42)</f>
        <v>0.45073900017043056</v>
      </c>
      <c r="D44" s="453">
        <f>IF(LN_IB1=0,0,LN_IB2/LN_IB1)</f>
        <v>0.44611823645445275</v>
      </c>
      <c r="E44" s="454">
        <f t="shared" si="4"/>
        <v>-4.6207637159778048E-3</v>
      </c>
      <c r="F44" s="449">
        <f t="shared" si="5"/>
        <v>-1.025152852145173E-2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4421</v>
      </c>
      <c r="D45" s="456">
        <v>4525</v>
      </c>
      <c r="E45" s="456">
        <f t="shared" si="4"/>
        <v>104</v>
      </c>
      <c r="F45" s="449">
        <f t="shared" si="5"/>
        <v>2.3524089572494911E-2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645</v>
      </c>
      <c r="C46" s="459">
        <v>1.1101000000000001</v>
      </c>
      <c r="D46" s="459">
        <v>1.1292</v>
      </c>
      <c r="E46" s="460">
        <f t="shared" si="4"/>
        <v>1.9099999999999895E-2</v>
      </c>
      <c r="F46" s="449">
        <f t="shared" si="5"/>
        <v>1.7205657148004587E-2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646</v>
      </c>
      <c r="C47" s="463">
        <f>C45*C46</f>
        <v>4907.7521000000006</v>
      </c>
      <c r="D47" s="463">
        <f>LN_IB4*LN_IB5</f>
        <v>5109.63</v>
      </c>
      <c r="E47" s="463">
        <f t="shared" si="4"/>
        <v>201.8778999999995</v>
      </c>
      <c r="F47" s="449">
        <f t="shared" si="5"/>
        <v>4.1134494140402787E-2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647</v>
      </c>
      <c r="C48" s="465">
        <f>IF(C47=0,0,C43/C47)</f>
        <v>13028.590828782895</v>
      </c>
      <c r="D48" s="465">
        <f>IF(LN_IB6=0,0,LN_IB2/LN_IB6)</f>
        <v>13614.768584026631</v>
      </c>
      <c r="E48" s="465">
        <f t="shared" si="4"/>
        <v>586.1777552437361</v>
      </c>
      <c r="F48" s="449">
        <f t="shared" si="5"/>
        <v>4.4991646675152791E-2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663</v>
      </c>
      <c r="C49" s="465">
        <f>C21-C48</f>
        <v>-6086.7590390869445</v>
      </c>
      <c r="D49" s="465">
        <f>LN_IA7-LN_IB7</f>
        <v>-7107.3213833773289</v>
      </c>
      <c r="E49" s="465">
        <f t="shared" si="4"/>
        <v>-1020.5623442903843</v>
      </c>
      <c r="F49" s="449">
        <f t="shared" si="5"/>
        <v>0.16766925349544898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664</v>
      </c>
      <c r="C50" s="479">
        <f>C49*C47</f>
        <v>-29872304.456272937</v>
      </c>
      <c r="D50" s="479">
        <f>LN_IB8*LN_IB6</f>
        <v>-36315782.560146302</v>
      </c>
      <c r="E50" s="479">
        <f t="shared" si="4"/>
        <v>-6443478.1038733646</v>
      </c>
      <c r="F50" s="449">
        <f t="shared" si="5"/>
        <v>0.21570073756128605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15364</v>
      </c>
      <c r="D51" s="456">
        <v>15119</v>
      </c>
      <c r="E51" s="456">
        <f t="shared" si="4"/>
        <v>-245</v>
      </c>
      <c r="F51" s="449">
        <f t="shared" si="5"/>
        <v>-1.5946368133298621E-2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648</v>
      </c>
      <c r="C52" s="465">
        <f>IF(C51=0,0,C43/C51)</f>
        <v>4161.7478521218436</v>
      </c>
      <c r="D52" s="465">
        <f>IF(LN_IB10=0,0,LN_IB2/LN_IB10)</f>
        <v>4601.2586811297042</v>
      </c>
      <c r="E52" s="465">
        <f t="shared" si="4"/>
        <v>439.51082900786059</v>
      </c>
      <c r="F52" s="449">
        <f t="shared" si="5"/>
        <v>0.10560726998003458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649</v>
      </c>
      <c r="C53" s="466">
        <f>IF(C45=0,0,C51/C45)</f>
        <v>3.4752318479981903</v>
      </c>
      <c r="D53" s="466">
        <f>IF(LN_IB4=0,0,LN_IB10/LN_IB4)</f>
        <v>3.3412154696132599</v>
      </c>
      <c r="E53" s="466">
        <f t="shared" si="4"/>
        <v>-0.13401637838493041</v>
      </c>
      <c r="F53" s="449">
        <f t="shared" si="5"/>
        <v>-3.8563291385041484E-2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665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651</v>
      </c>
      <c r="C56" s="448">
        <v>293369697</v>
      </c>
      <c r="D56" s="448">
        <v>295078693</v>
      </c>
      <c r="E56" s="448">
        <f t="shared" ref="E56:E63" si="6">D56-C56</f>
        <v>1708996</v>
      </c>
      <c r="F56" s="449">
        <f t="shared" ref="F56:F63" si="7">IF(C56=0,0,E56/C56)</f>
        <v>5.8254005695755279E-3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652</v>
      </c>
      <c r="C57" s="448">
        <v>124109814</v>
      </c>
      <c r="D57" s="448">
        <v>125026483</v>
      </c>
      <c r="E57" s="448">
        <f t="shared" si="6"/>
        <v>916669</v>
      </c>
      <c r="F57" s="449">
        <f t="shared" si="7"/>
        <v>7.3859509611383352E-3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653</v>
      </c>
      <c r="C58" s="453">
        <f>IF(C56=0,0,C57/C56)</f>
        <v>0.42304919447764233</v>
      </c>
      <c r="D58" s="453">
        <f>IF(LN_IB13=0,0,LN_IB14/LN_IB13)</f>
        <v>0.42370556046891533</v>
      </c>
      <c r="E58" s="454">
        <f t="shared" si="6"/>
        <v>6.5636599127300022E-4</v>
      </c>
      <c r="F58" s="449">
        <f t="shared" si="7"/>
        <v>1.5515122114425593E-3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654</v>
      </c>
      <c r="C59" s="453">
        <f>IF(C42=0,0,C56/C42)</f>
        <v>2.068046629075226</v>
      </c>
      <c r="D59" s="453">
        <f>IF(LN_IB1=0,0,LN_IB13/LN_IB1)</f>
        <v>1.8922918156996826</v>
      </c>
      <c r="E59" s="454">
        <f t="shared" si="6"/>
        <v>-0.17575481337554333</v>
      </c>
      <c r="F59" s="449">
        <f t="shared" si="7"/>
        <v>-8.4985904526793041E-2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655</v>
      </c>
      <c r="C60" s="463">
        <f>C59*C45</f>
        <v>9142.8341471415733</v>
      </c>
      <c r="D60" s="463">
        <f>LN_IB16*LN_IB4</f>
        <v>8562.620466041064</v>
      </c>
      <c r="E60" s="463">
        <f t="shared" si="6"/>
        <v>-580.21368110050935</v>
      </c>
      <c r="F60" s="449">
        <f t="shared" si="7"/>
        <v>-6.3461030984785838E-2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656</v>
      </c>
      <c r="C61" s="465">
        <f>IF(C60=0,0,C57/C60)</f>
        <v>13574.545048353726</v>
      </c>
      <c r="D61" s="465">
        <f>IF(LN_IB17=0,0,LN_IB14/LN_IB17)</f>
        <v>14601.427623219895</v>
      </c>
      <c r="E61" s="465">
        <f t="shared" si="6"/>
        <v>1026.8825748661693</v>
      </c>
      <c r="F61" s="449">
        <f t="shared" si="7"/>
        <v>7.564766047100091E-2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666</v>
      </c>
      <c r="C62" s="465">
        <f>C32-C61</f>
        <v>-5172.1456190228892</v>
      </c>
      <c r="D62" s="465">
        <f>LN_IA16-LN_IB18</f>
        <v>-5092.4615272854244</v>
      </c>
      <c r="E62" s="465">
        <f t="shared" si="6"/>
        <v>79.684091737464769</v>
      </c>
      <c r="F62" s="449">
        <f t="shared" si="7"/>
        <v>-1.5406389844166552E-2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667</v>
      </c>
      <c r="C63" s="448">
        <f>C62*C60</f>
        <v>-47288069.579591163</v>
      </c>
      <c r="D63" s="448">
        <f>LN_IB19*LN_IB17</f>
        <v>-43604815.296060912</v>
      </c>
      <c r="E63" s="448">
        <f t="shared" si="6"/>
        <v>3683254.2835302502</v>
      </c>
      <c r="F63" s="449">
        <f t="shared" si="7"/>
        <v>-7.7889715445687985E-2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668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658</v>
      </c>
      <c r="C66" s="448">
        <f>C42+C56</f>
        <v>435228054</v>
      </c>
      <c r="D66" s="448">
        <f>LN_IB1+LN_IB13</f>
        <v>451015896</v>
      </c>
      <c r="E66" s="448">
        <f>D66-C66</f>
        <v>15787842</v>
      </c>
      <c r="F66" s="449">
        <f>IF(C66=0,0,E66/C66)</f>
        <v>3.6274872115665595E-2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659</v>
      </c>
      <c r="C67" s="448">
        <f>C43+C57</f>
        <v>188050908</v>
      </c>
      <c r="D67" s="448">
        <f>LN_IB2+LN_IB14</f>
        <v>194592913</v>
      </c>
      <c r="E67" s="448">
        <f>D67-C67</f>
        <v>6542005</v>
      </c>
      <c r="F67" s="449">
        <f>IF(C67=0,0,E67/C67)</f>
        <v>3.4788478660257256E-2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660</v>
      </c>
      <c r="C68" s="448">
        <f>C66-C67</f>
        <v>247177146</v>
      </c>
      <c r="D68" s="448">
        <f>LN_IB21-LN_IB22</f>
        <v>256422983</v>
      </c>
      <c r="E68" s="448">
        <f>D68-C68</f>
        <v>9245837</v>
      </c>
      <c r="F68" s="449">
        <f>IF(C68=0,0,E68/C68)</f>
        <v>3.7405711448743731E-2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669</v>
      </c>
      <c r="C70" s="441">
        <f>C50+C63</f>
        <v>-77160374.0358641</v>
      </c>
      <c r="D70" s="441">
        <f>LN_IB9+LN_IB20</f>
        <v>-79920597.856207222</v>
      </c>
      <c r="E70" s="448">
        <f>D70-C70</f>
        <v>-2760223.8203431219</v>
      </c>
      <c r="F70" s="449">
        <f>IF(C70=0,0,E70/C70)</f>
        <v>3.5772556248368774E-2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670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671</v>
      </c>
      <c r="C73" s="488">
        <v>396628859</v>
      </c>
      <c r="D73" s="488">
        <v>414396424</v>
      </c>
      <c r="E73" s="488">
        <f>D73-C73</f>
        <v>17767565</v>
      </c>
      <c r="F73" s="489">
        <f>IF(C73=0,0,E73/C73)</f>
        <v>4.4796450376294983E-2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672</v>
      </c>
      <c r="C74" s="488">
        <v>187614053</v>
      </c>
      <c r="D74" s="488">
        <v>195897906</v>
      </c>
      <c r="E74" s="488">
        <f>D74-C74</f>
        <v>8283853</v>
      </c>
      <c r="F74" s="489">
        <f>IF(C74=0,0,E74/C74)</f>
        <v>4.4153691408180387E-2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673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674</v>
      </c>
      <c r="C76" s="441">
        <f>C73-C74</f>
        <v>209014806</v>
      </c>
      <c r="D76" s="441">
        <f>LN_IB32-LN_IB33</f>
        <v>218498518</v>
      </c>
      <c r="E76" s="488">
        <f>D76-C76</f>
        <v>9483712</v>
      </c>
      <c r="F76" s="489">
        <f>IF(E76=0,0,E76/C76)</f>
        <v>4.5373398093147527E-2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675</v>
      </c>
      <c r="C77" s="453">
        <f>IF(C73=0,0,C76/C73)</f>
        <v>0.5269783104713518</v>
      </c>
      <c r="D77" s="453">
        <f>IF(LN_IB32=0,0,LN_IB34/LN_IB32)</f>
        <v>0.52726931350160489</v>
      </c>
      <c r="E77" s="493">
        <f>D77-C77</f>
        <v>2.9100303025308971E-4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676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677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642</v>
      </c>
      <c r="C83" s="448">
        <v>6206111</v>
      </c>
      <c r="D83" s="448">
        <v>5822241</v>
      </c>
      <c r="E83" s="448">
        <f t="shared" ref="E83:E95" si="8">D83-C83</f>
        <v>-383870</v>
      </c>
      <c r="F83" s="449">
        <f t="shared" ref="F83:F95" si="9">IF(C83=0,0,E83/C83)</f>
        <v>-6.1853550476296669E-2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643</v>
      </c>
      <c r="C84" s="448">
        <v>4126794</v>
      </c>
      <c r="D84" s="448">
        <v>3735559</v>
      </c>
      <c r="E84" s="448">
        <f t="shared" si="8"/>
        <v>-391235</v>
      </c>
      <c r="F84" s="449">
        <f t="shared" si="9"/>
        <v>-9.4803617529733736E-2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644</v>
      </c>
      <c r="C85" s="453">
        <f>IF(C83=0,0,C84/C83)</f>
        <v>0.66495652430322305</v>
      </c>
      <c r="D85" s="453">
        <f>IF(LN_IC1=0,0,LN_IC2/LN_IC1)</f>
        <v>0.64160157575064314</v>
      </c>
      <c r="E85" s="454">
        <f t="shared" si="8"/>
        <v>-2.3354948552579913E-2</v>
      </c>
      <c r="F85" s="449">
        <f t="shared" si="9"/>
        <v>-3.5122519591867268E-2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182</v>
      </c>
      <c r="D86" s="456">
        <v>168</v>
      </c>
      <c r="E86" s="456">
        <f t="shared" si="8"/>
        <v>-14</v>
      </c>
      <c r="F86" s="449">
        <f t="shared" si="9"/>
        <v>-7.6923076923076927E-2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645</v>
      </c>
      <c r="C87" s="459">
        <v>1.03321</v>
      </c>
      <c r="D87" s="459">
        <v>1.1074999999999999</v>
      </c>
      <c r="E87" s="460">
        <f t="shared" si="8"/>
        <v>7.4289999999999967E-2</v>
      </c>
      <c r="F87" s="449">
        <f t="shared" si="9"/>
        <v>7.1902130254256125E-2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646</v>
      </c>
      <c r="C88" s="463">
        <f>C86*C87</f>
        <v>188.04422</v>
      </c>
      <c r="D88" s="463">
        <f>LN_IC4*LN_IC5</f>
        <v>186.06</v>
      </c>
      <c r="E88" s="463">
        <f t="shared" si="8"/>
        <v>-1.9842199999999934</v>
      </c>
      <c r="F88" s="449">
        <f t="shared" si="9"/>
        <v>-1.0551879765301978E-2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647</v>
      </c>
      <c r="C89" s="465">
        <f>IF(C88=0,0,C84/C88)</f>
        <v>21945.869966117545</v>
      </c>
      <c r="D89" s="465">
        <f>IF(LN_IC6=0,0,LN_IC2/LN_IC6)</f>
        <v>20077.174029882834</v>
      </c>
      <c r="E89" s="465">
        <f t="shared" si="8"/>
        <v>-1868.6959362347116</v>
      </c>
      <c r="F89" s="449">
        <f t="shared" si="9"/>
        <v>-8.5150232782742738E-2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678</v>
      </c>
      <c r="C90" s="465">
        <f>C48-C89</f>
        <v>-8917.2791373346499</v>
      </c>
      <c r="D90" s="465">
        <f>LN_IB7-LN_IC7</f>
        <v>-6462.4054458562023</v>
      </c>
      <c r="E90" s="465">
        <f t="shared" si="8"/>
        <v>2454.8736914784477</v>
      </c>
      <c r="F90" s="449">
        <f t="shared" si="9"/>
        <v>-0.27529402788351004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679</v>
      </c>
      <c r="C91" s="465">
        <f>C21-C89</f>
        <v>-15004.038176421594</v>
      </c>
      <c r="D91" s="465">
        <f>LN_IA7-LN_IC7</f>
        <v>-13569.726829233532</v>
      </c>
      <c r="E91" s="465">
        <f t="shared" si="8"/>
        <v>1434.3113471880624</v>
      </c>
      <c r="F91" s="449">
        <f t="shared" si="9"/>
        <v>-9.5595021175168729E-2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664</v>
      </c>
      <c r="C92" s="441">
        <f>C91*C88</f>
        <v>-2821422.655735421</v>
      </c>
      <c r="D92" s="441">
        <f>LN_IC9*LN_IC6</f>
        <v>-2524783.3738471912</v>
      </c>
      <c r="E92" s="441">
        <f t="shared" si="8"/>
        <v>296639.28188822977</v>
      </c>
      <c r="F92" s="449">
        <f t="shared" si="9"/>
        <v>-0.10513819377086873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759</v>
      </c>
      <c r="D93" s="456">
        <v>630</v>
      </c>
      <c r="E93" s="456">
        <f t="shared" si="8"/>
        <v>-129</v>
      </c>
      <c r="F93" s="449">
        <f t="shared" si="9"/>
        <v>-0.16996047430830039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648</v>
      </c>
      <c r="C94" s="499">
        <f>IF(C93=0,0,C84/C93)</f>
        <v>5437.146245059289</v>
      </c>
      <c r="D94" s="499">
        <f>IF(LN_IC11=0,0,LN_IC2/LN_IC11)</f>
        <v>5929.4587301587298</v>
      </c>
      <c r="E94" s="499">
        <f t="shared" si="8"/>
        <v>492.31248509944089</v>
      </c>
      <c r="F94" s="449">
        <f t="shared" si="9"/>
        <v>9.0546117928463496E-2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649</v>
      </c>
      <c r="C95" s="466">
        <f>IF(C86=0,0,C93/C86)</f>
        <v>4.1703296703296706</v>
      </c>
      <c r="D95" s="466">
        <f>IF(LN_IC4=0,0,LN_IC11/LN_IC4)</f>
        <v>3.75</v>
      </c>
      <c r="E95" s="466">
        <f t="shared" si="8"/>
        <v>-0.42032967032967061</v>
      </c>
      <c r="F95" s="449">
        <f t="shared" si="9"/>
        <v>-0.10079051383399215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680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651</v>
      </c>
      <c r="C98" s="448">
        <v>13838417</v>
      </c>
      <c r="D98" s="448">
        <v>14863650</v>
      </c>
      <c r="E98" s="448">
        <f t="shared" ref="E98:E106" si="10">D98-C98</f>
        <v>1025233</v>
      </c>
      <c r="F98" s="449">
        <f t="shared" ref="F98:F106" si="11">IF(C98=0,0,E98/C98)</f>
        <v>7.4086002755951064E-2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652</v>
      </c>
      <c r="C99" s="448">
        <v>3652693</v>
      </c>
      <c r="D99" s="448">
        <v>4549613</v>
      </c>
      <c r="E99" s="448">
        <f t="shared" si="10"/>
        <v>896920</v>
      </c>
      <c r="F99" s="449">
        <f t="shared" si="11"/>
        <v>0.24555033779187027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653</v>
      </c>
      <c r="C100" s="453">
        <f>IF(C98=0,0,C99/C98)</f>
        <v>0.26395309521313021</v>
      </c>
      <c r="D100" s="453">
        <f>IF(LN_IC14=0,0,LN_IC15/LN_IC14)</f>
        <v>0.30608989043740936</v>
      </c>
      <c r="E100" s="454">
        <f t="shared" si="10"/>
        <v>4.2136795224279155E-2</v>
      </c>
      <c r="F100" s="449">
        <f t="shared" si="11"/>
        <v>0.15963743554609805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654</v>
      </c>
      <c r="C101" s="453">
        <f>IF(C83=0,0,C98/C83)</f>
        <v>2.2298049454803501</v>
      </c>
      <c r="D101" s="453">
        <f>IF(LN_IC1=0,0,LN_IC14/LN_IC1)</f>
        <v>2.5529087511149058</v>
      </c>
      <c r="E101" s="454">
        <f t="shared" si="10"/>
        <v>0.32310380563455565</v>
      </c>
      <c r="F101" s="449">
        <f t="shared" si="11"/>
        <v>0.14490227330846278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655</v>
      </c>
      <c r="C102" s="463">
        <f>C101*C86</f>
        <v>405.82450007742375</v>
      </c>
      <c r="D102" s="463">
        <f>LN_IC17*LN_IC4</f>
        <v>428.88867018730417</v>
      </c>
      <c r="E102" s="463">
        <f t="shared" si="10"/>
        <v>23.064170109880422</v>
      </c>
      <c r="F102" s="449">
        <f t="shared" si="11"/>
        <v>5.6832867669350196E-2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656</v>
      </c>
      <c r="C103" s="465">
        <f>IF(C102=0,0,C99/C102)</f>
        <v>9000.6714708035961</v>
      </c>
      <c r="D103" s="465">
        <f>IF(LN_IC18=0,0,LN_IC15/LN_IC18)</f>
        <v>10607.911367798766</v>
      </c>
      <c r="E103" s="465">
        <f t="shared" si="10"/>
        <v>1607.2398969951701</v>
      </c>
      <c r="F103" s="449">
        <f t="shared" si="11"/>
        <v>0.1785688881333731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681</v>
      </c>
      <c r="C104" s="465">
        <f>C61-C103</f>
        <v>4573.87357755013</v>
      </c>
      <c r="D104" s="465">
        <f>LN_IB18-LN_IC19</f>
        <v>3993.5162554211292</v>
      </c>
      <c r="E104" s="465">
        <f t="shared" si="10"/>
        <v>-580.35732212900075</v>
      </c>
      <c r="F104" s="449">
        <f t="shared" si="11"/>
        <v>-0.12688530023600986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682</v>
      </c>
      <c r="C105" s="465">
        <f>C32-C103</f>
        <v>-598.27204147275916</v>
      </c>
      <c r="D105" s="465">
        <f>LN_IA16-LN_IC19</f>
        <v>-1098.9452718642951</v>
      </c>
      <c r="E105" s="465">
        <f t="shared" si="10"/>
        <v>-500.67323039153598</v>
      </c>
      <c r="F105" s="449">
        <f t="shared" si="11"/>
        <v>0.83686549877716943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667</v>
      </c>
      <c r="C106" s="448">
        <f>C105*C102</f>
        <v>-242793.4521409822</v>
      </c>
      <c r="D106" s="448">
        <f>LN_IC21*LN_IC18</f>
        <v>-471325.17625850299</v>
      </c>
      <c r="E106" s="448">
        <f t="shared" si="10"/>
        <v>-228531.72411752079</v>
      </c>
      <c r="F106" s="449">
        <f t="shared" si="11"/>
        <v>0.94125983259556734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683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658</v>
      </c>
      <c r="C109" s="448">
        <f>C83+C98</f>
        <v>20044528</v>
      </c>
      <c r="D109" s="448">
        <f>LN_IC1+LN_IC14</f>
        <v>20685891</v>
      </c>
      <c r="E109" s="448">
        <f>D109-C109</f>
        <v>641363</v>
      </c>
      <c r="F109" s="449">
        <f>IF(C109=0,0,E109/C109)</f>
        <v>3.1996912074956314E-2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659</v>
      </c>
      <c r="C110" s="448">
        <f>C84+C99</f>
        <v>7779487</v>
      </c>
      <c r="D110" s="448">
        <f>LN_IC2+LN_IC15</f>
        <v>8285172</v>
      </c>
      <c r="E110" s="448">
        <f>D110-C110</f>
        <v>505685</v>
      </c>
      <c r="F110" s="449">
        <f>IF(C110=0,0,E110/C110)</f>
        <v>6.5002358124642404E-2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660</v>
      </c>
      <c r="C111" s="448">
        <f>C109-C110</f>
        <v>12265041</v>
      </c>
      <c r="D111" s="448">
        <f>LN_IC23-LN_IC24</f>
        <v>12400719</v>
      </c>
      <c r="E111" s="448">
        <f>D111-C111</f>
        <v>135678</v>
      </c>
      <c r="F111" s="449">
        <f>IF(C111=0,0,E111/C111)</f>
        <v>1.1062172560205873E-2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669</v>
      </c>
      <c r="C113" s="448">
        <f>C92+C106</f>
        <v>-3064216.1078764033</v>
      </c>
      <c r="D113" s="448">
        <f>LN_IC10+LN_IC22</f>
        <v>-2996108.5501056942</v>
      </c>
      <c r="E113" s="448">
        <f>D113-C113</f>
        <v>68107.557770709042</v>
      </c>
      <c r="F113" s="449">
        <f>IF(C113=0,0,E113/C113)</f>
        <v>-2.2226747518114737E-2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684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685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642</v>
      </c>
      <c r="C118" s="448">
        <v>63620043</v>
      </c>
      <c r="D118" s="448">
        <v>71291853</v>
      </c>
      <c r="E118" s="448">
        <f t="shared" ref="E118:E130" si="12">D118-C118</f>
        <v>7671810</v>
      </c>
      <c r="F118" s="449">
        <f t="shared" ref="F118:F130" si="13">IF(C118=0,0,E118/C118)</f>
        <v>0.12058794113043904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643</v>
      </c>
      <c r="C119" s="448">
        <v>11088384</v>
      </c>
      <c r="D119" s="448">
        <v>10706376</v>
      </c>
      <c r="E119" s="448">
        <f t="shared" si="12"/>
        <v>-382008</v>
      </c>
      <c r="F119" s="449">
        <f t="shared" si="13"/>
        <v>-3.4451187837650644E-2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644</v>
      </c>
      <c r="C120" s="453">
        <f>IF(C118=0,0,C119/C118)</f>
        <v>0.17429073413232368</v>
      </c>
      <c r="D120" s="453">
        <f>IF(LN_ID1=0,0,LN_1D2/LN_ID1)</f>
        <v>0.15017671093497878</v>
      </c>
      <c r="E120" s="454">
        <f t="shared" si="12"/>
        <v>-2.4114023197344903E-2</v>
      </c>
      <c r="F120" s="449">
        <f t="shared" si="13"/>
        <v>-0.13835516453236829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2138</v>
      </c>
      <c r="D121" s="456">
        <v>2323</v>
      </c>
      <c r="E121" s="456">
        <f t="shared" si="12"/>
        <v>185</v>
      </c>
      <c r="F121" s="449">
        <f t="shared" si="13"/>
        <v>8.6529466791393825E-2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645</v>
      </c>
      <c r="C122" s="459">
        <v>0.95591000000000004</v>
      </c>
      <c r="D122" s="459">
        <v>0.98280000000000001</v>
      </c>
      <c r="E122" s="460">
        <f t="shared" si="12"/>
        <v>2.6889999999999969E-2</v>
      </c>
      <c r="F122" s="449">
        <f t="shared" si="13"/>
        <v>2.8130263309307329E-2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646</v>
      </c>
      <c r="C123" s="463">
        <f>C121*C122</f>
        <v>2043.73558</v>
      </c>
      <c r="D123" s="463">
        <f>LN_ID4*LN_ID5</f>
        <v>2283.0444000000002</v>
      </c>
      <c r="E123" s="463">
        <f t="shared" si="12"/>
        <v>239.3088200000002</v>
      </c>
      <c r="F123" s="449">
        <f t="shared" si="13"/>
        <v>0.11709382678555716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647</v>
      </c>
      <c r="C124" s="465">
        <f>IF(C123=0,0,C119/C123)</f>
        <v>5425.5472716289451</v>
      </c>
      <c r="D124" s="465">
        <f>IF(LN_ID6=0,0,LN_1D2/LN_ID6)</f>
        <v>4689.5172078125152</v>
      </c>
      <c r="E124" s="465">
        <f t="shared" si="12"/>
        <v>-736.0300638164299</v>
      </c>
      <c r="F124" s="449">
        <f t="shared" si="13"/>
        <v>-0.13566005915481538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686</v>
      </c>
      <c r="C125" s="465">
        <f>C48-C124</f>
        <v>7603.0435571539501</v>
      </c>
      <c r="D125" s="465">
        <f>LN_IB7-LN_ID7</f>
        <v>8925.251376214117</v>
      </c>
      <c r="E125" s="465">
        <f t="shared" si="12"/>
        <v>1322.2078190601669</v>
      </c>
      <c r="F125" s="449">
        <f t="shared" si="13"/>
        <v>0.17390506961071645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687</v>
      </c>
      <c r="C126" s="465">
        <f>C21-C124</f>
        <v>1516.2845180670056</v>
      </c>
      <c r="D126" s="465">
        <f>LN_IA7-LN_ID7</f>
        <v>1817.9299928367873</v>
      </c>
      <c r="E126" s="465">
        <f t="shared" si="12"/>
        <v>301.64547476978169</v>
      </c>
      <c r="F126" s="449">
        <f t="shared" si="13"/>
        <v>0.19893725166720444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664</v>
      </c>
      <c r="C127" s="479">
        <f>C126*C123</f>
        <v>3098884.6189766922</v>
      </c>
      <c r="D127" s="479">
        <f>LN_ID9*LN_ID6</f>
        <v>4150414.8897380675</v>
      </c>
      <c r="E127" s="479">
        <f t="shared" si="12"/>
        <v>1051530.2707613753</v>
      </c>
      <c r="F127" s="449">
        <f t="shared" si="13"/>
        <v>0.33932540254067595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9097</v>
      </c>
      <c r="D128" s="456">
        <v>9219</v>
      </c>
      <c r="E128" s="456">
        <f t="shared" si="12"/>
        <v>122</v>
      </c>
      <c r="F128" s="449">
        <f t="shared" si="13"/>
        <v>1.3411014620204463E-2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648</v>
      </c>
      <c r="C129" s="465">
        <f>IF(C128=0,0,C119/C128)</f>
        <v>1218.9055732659119</v>
      </c>
      <c r="D129" s="465">
        <f>IF(LN_ID11=0,0,LN_1D2/LN_ID11)</f>
        <v>1161.3381060852587</v>
      </c>
      <c r="E129" s="465">
        <f t="shared" si="12"/>
        <v>-57.567467180653239</v>
      </c>
      <c r="F129" s="449">
        <f t="shared" si="13"/>
        <v>-4.722881611444936E-2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649</v>
      </c>
      <c r="C130" s="466">
        <f>IF(C121=0,0,C128/C121)</f>
        <v>4.2549111318989707</v>
      </c>
      <c r="D130" s="466">
        <f>IF(LN_ID4=0,0,LN_ID11/LN_ID4)</f>
        <v>3.9685751183814033</v>
      </c>
      <c r="E130" s="466">
        <f t="shared" si="12"/>
        <v>-0.28633601351756743</v>
      </c>
      <c r="F130" s="449">
        <f t="shared" si="13"/>
        <v>-6.7295415730522057E-2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688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651</v>
      </c>
      <c r="C133" s="448">
        <v>95948897</v>
      </c>
      <c r="D133" s="448">
        <v>104354788</v>
      </c>
      <c r="E133" s="448">
        <f t="shared" ref="E133:E141" si="14">D133-C133</f>
        <v>8405891</v>
      </c>
      <c r="F133" s="449">
        <f t="shared" ref="F133:F141" si="15">IF(C133=0,0,E133/C133)</f>
        <v>8.7608000329592123E-2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652</v>
      </c>
      <c r="C134" s="448">
        <v>19994411</v>
      </c>
      <c r="D134" s="448">
        <v>18933996</v>
      </c>
      <c r="E134" s="448">
        <f t="shared" si="14"/>
        <v>-1060415</v>
      </c>
      <c r="F134" s="449">
        <f t="shared" si="15"/>
        <v>-5.3035570790257336E-2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653</v>
      </c>
      <c r="C135" s="453">
        <f>IF(C133=0,0,C134/C133)</f>
        <v>0.20838604324966861</v>
      </c>
      <c r="D135" s="453">
        <f>IF(LN_ID14=0,0,LN_ID15/LN_ID14)</f>
        <v>0.18143868971302016</v>
      </c>
      <c r="E135" s="454">
        <f t="shared" si="14"/>
        <v>-2.6947353536648455E-2</v>
      </c>
      <c r="F135" s="449">
        <f t="shared" si="15"/>
        <v>-0.12931457940473809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654</v>
      </c>
      <c r="C136" s="453">
        <f>IF(C118=0,0,C133/C118)</f>
        <v>1.5081551736769496</v>
      </c>
      <c r="D136" s="453">
        <f>IF(LN_ID1=0,0,LN_ID14/LN_ID1)</f>
        <v>1.4637687703249906</v>
      </c>
      <c r="E136" s="454">
        <f t="shared" si="14"/>
        <v>-4.4386403351958981E-2</v>
      </c>
      <c r="F136" s="449">
        <f t="shared" si="15"/>
        <v>-2.9430926025829921E-2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655</v>
      </c>
      <c r="C137" s="463">
        <f>C136*C121</f>
        <v>3224.4357613213183</v>
      </c>
      <c r="D137" s="463">
        <f>LN_ID17*LN_ID4</f>
        <v>3400.3348534649531</v>
      </c>
      <c r="E137" s="463">
        <f t="shared" si="14"/>
        <v>175.89909214363479</v>
      </c>
      <c r="F137" s="449">
        <f t="shared" si="15"/>
        <v>5.4551898429371831E-2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656</v>
      </c>
      <c r="C138" s="465">
        <f>IF(C137=0,0,C134/C137)</f>
        <v>6200.9022601233755</v>
      </c>
      <c r="D138" s="465">
        <f>IF(LN_ID18=0,0,LN_ID15/LN_ID18)</f>
        <v>5568.2739541684232</v>
      </c>
      <c r="E138" s="465">
        <f t="shared" si="14"/>
        <v>-632.62830595495234</v>
      </c>
      <c r="F138" s="449">
        <f t="shared" si="15"/>
        <v>-0.10202197670865487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689</v>
      </c>
      <c r="C139" s="465">
        <f>C61-C138</f>
        <v>7373.6427882303506</v>
      </c>
      <c r="D139" s="465">
        <f>LN_IB18-LN_ID19</f>
        <v>9033.1536690514731</v>
      </c>
      <c r="E139" s="465">
        <f t="shared" si="14"/>
        <v>1659.5108808211226</v>
      </c>
      <c r="F139" s="449">
        <f t="shared" si="15"/>
        <v>0.22505984199153206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690</v>
      </c>
      <c r="C140" s="465">
        <f>C32-C138</f>
        <v>2201.4971692074614</v>
      </c>
      <c r="D140" s="465">
        <f>LN_IA16-LN_ID19</f>
        <v>3940.6921417660478</v>
      </c>
      <c r="E140" s="465">
        <f t="shared" si="14"/>
        <v>1739.1949725585864</v>
      </c>
      <c r="F140" s="449">
        <f t="shared" si="15"/>
        <v>0.7900055457190055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667</v>
      </c>
      <c r="C141" s="441">
        <f>C140*C137</f>
        <v>7098586.2008401882</v>
      </c>
      <c r="D141" s="441">
        <f>LN_ID21*LN_ID18</f>
        <v>13399672.836422546</v>
      </c>
      <c r="E141" s="441">
        <f t="shared" si="14"/>
        <v>6301086.6355823576</v>
      </c>
      <c r="F141" s="449">
        <f t="shared" si="15"/>
        <v>0.88765374643708084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691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658</v>
      </c>
      <c r="C144" s="448">
        <f>C118+C133</f>
        <v>159568940</v>
      </c>
      <c r="D144" s="448">
        <f>LN_ID1+LN_ID14</f>
        <v>175646641</v>
      </c>
      <c r="E144" s="448">
        <f>D144-C144</f>
        <v>16077701</v>
      </c>
      <c r="F144" s="449">
        <f>IF(C144=0,0,E144/C144)</f>
        <v>0.10075708342738882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659</v>
      </c>
      <c r="C145" s="448">
        <f>C119+C134</f>
        <v>31082795</v>
      </c>
      <c r="D145" s="448">
        <f>LN_1D2+LN_ID15</f>
        <v>29640372</v>
      </c>
      <c r="E145" s="448">
        <f>D145-C145</f>
        <v>-1442423</v>
      </c>
      <c r="F145" s="449">
        <f>IF(C145=0,0,E145/C145)</f>
        <v>-4.6405833194859088E-2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660</v>
      </c>
      <c r="C146" s="448">
        <f>C144-C145</f>
        <v>128486145</v>
      </c>
      <c r="D146" s="448">
        <f>LN_ID23-LN_ID24</f>
        <v>146006269</v>
      </c>
      <c r="E146" s="448">
        <f>D146-C146</f>
        <v>17520124</v>
      </c>
      <c r="F146" s="449">
        <f>IF(C146=0,0,E146/C146)</f>
        <v>0.13635807969800945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669</v>
      </c>
      <c r="C148" s="448">
        <f>C127+C141</f>
        <v>10197470.81981688</v>
      </c>
      <c r="D148" s="448">
        <f>LN_ID10+LN_ID22</f>
        <v>17550087.726160612</v>
      </c>
      <c r="E148" s="448">
        <f>D148-C148</f>
        <v>7352616.906343732</v>
      </c>
      <c r="F148" s="503">
        <f>IF(C148=0,0,E148/C148)</f>
        <v>0.72102357891088975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692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693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642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643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644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645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646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647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694</v>
      </c>
      <c r="C160" s="465">
        <f>C48-C159</f>
        <v>13028.590828782895</v>
      </c>
      <c r="D160" s="465">
        <f>LN_IB7-LN_IE7</f>
        <v>13614.768584026631</v>
      </c>
      <c r="E160" s="465">
        <f t="shared" si="16"/>
        <v>586.1777552437361</v>
      </c>
      <c r="F160" s="449">
        <f t="shared" si="17"/>
        <v>4.4991646675152791E-2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695</v>
      </c>
      <c r="C161" s="465">
        <f>C21-C159</f>
        <v>6941.8317896959506</v>
      </c>
      <c r="D161" s="465">
        <f>LN_IA7-LN_IE7</f>
        <v>6507.4472006493024</v>
      </c>
      <c r="E161" s="465">
        <f t="shared" si="16"/>
        <v>-434.38458904664822</v>
      </c>
      <c r="F161" s="449">
        <f t="shared" si="17"/>
        <v>-6.2574922903119501E-2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664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648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649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696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651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652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653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654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655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656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697</v>
      </c>
      <c r="C174" s="465">
        <f>C61-C173</f>
        <v>13574.545048353726</v>
      </c>
      <c r="D174" s="465">
        <f>LN_IB18-LN_IE19</f>
        <v>14601.427623219895</v>
      </c>
      <c r="E174" s="465">
        <f t="shared" si="18"/>
        <v>1026.8825748661693</v>
      </c>
      <c r="F174" s="449">
        <f t="shared" si="19"/>
        <v>7.564766047100091E-2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698</v>
      </c>
      <c r="C175" s="465">
        <f>C32-C173</f>
        <v>8402.3994293308369</v>
      </c>
      <c r="D175" s="465">
        <f>LN_IA16-LN_IE19</f>
        <v>9508.966095934471</v>
      </c>
      <c r="E175" s="465">
        <f t="shared" si="18"/>
        <v>1106.5666666036341</v>
      </c>
      <c r="F175" s="449">
        <f t="shared" si="19"/>
        <v>0.13169650834984889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667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699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658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659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660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700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701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702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642</v>
      </c>
      <c r="C188" s="448">
        <f>C118+C153</f>
        <v>63620043</v>
      </c>
      <c r="D188" s="448">
        <f>LN_ID1+LN_IE1</f>
        <v>71291853</v>
      </c>
      <c r="E188" s="448">
        <f t="shared" ref="E188:E200" si="20">D188-C188</f>
        <v>7671810</v>
      </c>
      <c r="F188" s="449">
        <f t="shared" ref="F188:F200" si="21">IF(C188=0,0,E188/C188)</f>
        <v>0.12058794113043904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643</v>
      </c>
      <c r="C189" s="448">
        <f>C119+C154</f>
        <v>11088384</v>
      </c>
      <c r="D189" s="448">
        <f>LN_1D2+LN_IE2</f>
        <v>10706376</v>
      </c>
      <c r="E189" s="448">
        <f t="shared" si="20"/>
        <v>-382008</v>
      </c>
      <c r="F189" s="449">
        <f t="shared" si="21"/>
        <v>-3.4451187837650644E-2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644</v>
      </c>
      <c r="C190" s="453">
        <f>IF(C188=0,0,C189/C188)</f>
        <v>0.17429073413232368</v>
      </c>
      <c r="D190" s="453">
        <f>IF(LN_IF1=0,0,LN_IF2/LN_IF1)</f>
        <v>0.15017671093497878</v>
      </c>
      <c r="E190" s="454">
        <f t="shared" si="20"/>
        <v>-2.4114023197344903E-2</v>
      </c>
      <c r="F190" s="449">
        <f t="shared" si="21"/>
        <v>-0.13835516453236829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2138</v>
      </c>
      <c r="D191" s="456">
        <f>LN_ID4+LN_IE4</f>
        <v>2323</v>
      </c>
      <c r="E191" s="456">
        <f t="shared" si="20"/>
        <v>185</v>
      </c>
      <c r="F191" s="449">
        <f t="shared" si="21"/>
        <v>8.6529466791393825E-2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645</v>
      </c>
      <c r="C192" s="459">
        <f>IF((C121+C156)=0,0,(C123+C158)/(C121+C156))</f>
        <v>0.95591000000000004</v>
      </c>
      <c r="D192" s="459">
        <f>IF((LN_ID4+LN_IE4)=0,0,(LN_ID6+LN_IE6)/(LN_ID4+LN_IE4))</f>
        <v>0.98280000000000012</v>
      </c>
      <c r="E192" s="460">
        <f t="shared" si="20"/>
        <v>2.6890000000000081E-2</v>
      </c>
      <c r="F192" s="449">
        <f t="shared" si="21"/>
        <v>2.8130263309307443E-2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646</v>
      </c>
      <c r="C193" s="463">
        <f>C123+C158</f>
        <v>2043.73558</v>
      </c>
      <c r="D193" s="463">
        <f>LN_IF4*LN_IF5</f>
        <v>2283.0444000000002</v>
      </c>
      <c r="E193" s="463">
        <f t="shared" si="20"/>
        <v>239.3088200000002</v>
      </c>
      <c r="F193" s="449">
        <f t="shared" si="21"/>
        <v>0.11709382678555716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647</v>
      </c>
      <c r="C194" s="465">
        <f>IF(C193=0,0,C189/C193)</f>
        <v>5425.5472716289451</v>
      </c>
      <c r="D194" s="465">
        <f>IF(LN_IF6=0,0,LN_IF2/LN_IF6)</f>
        <v>4689.5172078125152</v>
      </c>
      <c r="E194" s="465">
        <f t="shared" si="20"/>
        <v>-736.0300638164299</v>
      </c>
      <c r="F194" s="449">
        <f t="shared" si="21"/>
        <v>-0.13566005915481538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703</v>
      </c>
      <c r="C195" s="465">
        <f>C48-C194</f>
        <v>7603.0435571539501</v>
      </c>
      <c r="D195" s="465">
        <f>LN_IB7-LN_IF7</f>
        <v>8925.251376214117</v>
      </c>
      <c r="E195" s="465">
        <f t="shared" si="20"/>
        <v>1322.2078190601669</v>
      </c>
      <c r="F195" s="449">
        <f t="shared" si="21"/>
        <v>0.17390506961071645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704</v>
      </c>
      <c r="C196" s="465">
        <f>C21-C194</f>
        <v>1516.2845180670056</v>
      </c>
      <c r="D196" s="465">
        <f>LN_IA7-LN_IF7</f>
        <v>1817.9299928367873</v>
      </c>
      <c r="E196" s="465">
        <f t="shared" si="20"/>
        <v>301.64547476978169</v>
      </c>
      <c r="F196" s="449">
        <f t="shared" si="21"/>
        <v>0.19893725166720444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664</v>
      </c>
      <c r="C197" s="479">
        <f>C127+C162</f>
        <v>3098884.6189766922</v>
      </c>
      <c r="D197" s="479">
        <f>LN_IF9*LN_IF6</f>
        <v>4150414.8897380675</v>
      </c>
      <c r="E197" s="479">
        <f t="shared" si="20"/>
        <v>1051530.2707613753</v>
      </c>
      <c r="F197" s="449">
        <f t="shared" si="21"/>
        <v>0.33932540254067595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9097</v>
      </c>
      <c r="D198" s="456">
        <f>LN_ID11+LN_IE11</f>
        <v>9219</v>
      </c>
      <c r="E198" s="456">
        <f t="shared" si="20"/>
        <v>122</v>
      </c>
      <c r="F198" s="449">
        <f t="shared" si="21"/>
        <v>1.3411014620204463E-2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648</v>
      </c>
      <c r="C199" s="519">
        <f>IF(C198=0,0,C189/C198)</f>
        <v>1218.9055732659119</v>
      </c>
      <c r="D199" s="519">
        <f>IF(LN_IF11=0,0,LN_IF2/LN_IF11)</f>
        <v>1161.3381060852587</v>
      </c>
      <c r="E199" s="519">
        <f t="shared" si="20"/>
        <v>-57.567467180653239</v>
      </c>
      <c r="F199" s="449">
        <f t="shared" si="21"/>
        <v>-4.722881611444936E-2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649</v>
      </c>
      <c r="C200" s="466">
        <f>IF(C191=0,0,C198/C191)</f>
        <v>4.2549111318989707</v>
      </c>
      <c r="D200" s="466">
        <f>IF(LN_IF4=0,0,LN_IF11/LN_IF4)</f>
        <v>3.9685751183814033</v>
      </c>
      <c r="E200" s="466">
        <f t="shared" si="20"/>
        <v>-0.28633601351756743</v>
      </c>
      <c r="F200" s="449">
        <f t="shared" si="21"/>
        <v>-6.7295415730522057E-2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705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651</v>
      </c>
      <c r="C203" s="448">
        <f>C133+C168</f>
        <v>95948897</v>
      </c>
      <c r="D203" s="448">
        <f>LN_ID14+LN_IE14</f>
        <v>104354788</v>
      </c>
      <c r="E203" s="448">
        <f t="shared" ref="E203:E211" si="22">D203-C203</f>
        <v>8405891</v>
      </c>
      <c r="F203" s="449">
        <f t="shared" ref="F203:F211" si="23">IF(C203=0,0,E203/C203)</f>
        <v>8.7608000329592123E-2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652</v>
      </c>
      <c r="C204" s="448">
        <f>C134+C169</f>
        <v>19994411</v>
      </c>
      <c r="D204" s="448">
        <f>LN_ID15+LN_IE15</f>
        <v>18933996</v>
      </c>
      <c r="E204" s="448">
        <f t="shared" si="22"/>
        <v>-1060415</v>
      </c>
      <c r="F204" s="449">
        <f t="shared" si="23"/>
        <v>-5.3035570790257336E-2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653</v>
      </c>
      <c r="C205" s="453">
        <f>IF(C203=0,0,C204/C203)</f>
        <v>0.20838604324966861</v>
      </c>
      <c r="D205" s="453">
        <f>IF(LN_IF14=0,0,LN_IF15/LN_IF14)</f>
        <v>0.18143868971302016</v>
      </c>
      <c r="E205" s="454">
        <f t="shared" si="22"/>
        <v>-2.6947353536648455E-2</v>
      </c>
      <c r="F205" s="449">
        <f t="shared" si="23"/>
        <v>-0.12931457940473809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654</v>
      </c>
      <c r="C206" s="453">
        <f>IF(C188=0,0,C203/C188)</f>
        <v>1.5081551736769496</v>
      </c>
      <c r="D206" s="453">
        <f>IF(LN_IF1=0,0,LN_IF14/LN_IF1)</f>
        <v>1.4637687703249906</v>
      </c>
      <c r="E206" s="454">
        <f t="shared" si="22"/>
        <v>-4.4386403351958981E-2</v>
      </c>
      <c r="F206" s="449">
        <f t="shared" si="23"/>
        <v>-2.9430926025829921E-2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655</v>
      </c>
      <c r="C207" s="463">
        <f>C137+C172</f>
        <v>3224.4357613213183</v>
      </c>
      <c r="D207" s="463">
        <f>LN_ID18+LN_IE18</f>
        <v>3400.3348534649531</v>
      </c>
      <c r="E207" s="463">
        <f t="shared" si="22"/>
        <v>175.89909214363479</v>
      </c>
      <c r="F207" s="449">
        <f t="shared" si="23"/>
        <v>5.4551898429371831E-2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656</v>
      </c>
      <c r="C208" s="465">
        <f>IF(C207=0,0,C204/C207)</f>
        <v>6200.9022601233755</v>
      </c>
      <c r="D208" s="465">
        <f>IF(LN_IF18=0,0,LN_IF15/LN_IF18)</f>
        <v>5568.2739541684232</v>
      </c>
      <c r="E208" s="465">
        <f t="shared" si="22"/>
        <v>-632.62830595495234</v>
      </c>
      <c r="F208" s="449">
        <f t="shared" si="23"/>
        <v>-0.10202197670865487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706</v>
      </c>
      <c r="C209" s="465">
        <f>C61-C208</f>
        <v>7373.6427882303506</v>
      </c>
      <c r="D209" s="465">
        <f>LN_IB18-LN_IF19</f>
        <v>9033.1536690514731</v>
      </c>
      <c r="E209" s="465">
        <f t="shared" si="22"/>
        <v>1659.5108808211226</v>
      </c>
      <c r="F209" s="449">
        <f t="shared" si="23"/>
        <v>0.22505984199153206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707</v>
      </c>
      <c r="C210" s="465">
        <f>C32-C208</f>
        <v>2201.4971692074614</v>
      </c>
      <c r="D210" s="465">
        <f>LN_IA16-LN_IF19</f>
        <v>3940.6921417660478</v>
      </c>
      <c r="E210" s="465">
        <f t="shared" si="22"/>
        <v>1739.1949725585864</v>
      </c>
      <c r="F210" s="449">
        <f t="shared" si="23"/>
        <v>0.7900055457190055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667</v>
      </c>
      <c r="C211" s="479">
        <f>C141+C176</f>
        <v>7098586.2008401882</v>
      </c>
      <c r="D211" s="441">
        <f>LN_IF21*LN_IF18</f>
        <v>13399672.836422546</v>
      </c>
      <c r="E211" s="441">
        <f t="shared" si="22"/>
        <v>6301086.6355823576</v>
      </c>
      <c r="F211" s="449">
        <f t="shared" si="23"/>
        <v>0.88765374643708084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708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658</v>
      </c>
      <c r="C214" s="448">
        <f>C188+C203</f>
        <v>159568940</v>
      </c>
      <c r="D214" s="448">
        <f>LN_IF1+LN_IF14</f>
        <v>175646641</v>
      </c>
      <c r="E214" s="448">
        <f>D214-C214</f>
        <v>16077701</v>
      </c>
      <c r="F214" s="449">
        <f>IF(C214=0,0,E214/C214)</f>
        <v>0.10075708342738882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659</v>
      </c>
      <c r="C215" s="448">
        <f>C189+C204</f>
        <v>31082795</v>
      </c>
      <c r="D215" s="448">
        <f>LN_IF2+LN_IF15</f>
        <v>29640372</v>
      </c>
      <c r="E215" s="448">
        <f>D215-C215</f>
        <v>-1442423</v>
      </c>
      <c r="F215" s="449">
        <f>IF(C215=0,0,E215/C215)</f>
        <v>-4.6405833194859088E-2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660</v>
      </c>
      <c r="C216" s="448">
        <f>C214-C215</f>
        <v>128486145</v>
      </c>
      <c r="D216" s="448">
        <f>LN_IF23-LN_IF24</f>
        <v>146006269</v>
      </c>
      <c r="E216" s="448">
        <f>D216-C216</f>
        <v>17520124</v>
      </c>
      <c r="F216" s="449">
        <f>IF(C216=0,0,E216/C216)</f>
        <v>0.13635807969800945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709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710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642</v>
      </c>
      <c r="C221" s="448">
        <v>1339754</v>
      </c>
      <c r="D221" s="448">
        <v>1669163</v>
      </c>
      <c r="E221" s="448">
        <f t="shared" ref="E221:E230" si="24">D221-C221</f>
        <v>329409</v>
      </c>
      <c r="F221" s="449">
        <f t="shared" ref="F221:F230" si="25">IF(C221=0,0,E221/C221)</f>
        <v>0.24587274977346588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643</v>
      </c>
      <c r="C222" s="448">
        <v>338550</v>
      </c>
      <c r="D222" s="448">
        <v>377732</v>
      </c>
      <c r="E222" s="448">
        <f t="shared" si="24"/>
        <v>39182</v>
      </c>
      <c r="F222" s="449">
        <f t="shared" si="25"/>
        <v>0.11573475114458721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644</v>
      </c>
      <c r="C223" s="453">
        <f>IF(C221=0,0,C222/C221)</f>
        <v>0.2526956441257126</v>
      </c>
      <c r="D223" s="453">
        <f>IF(LN_IG1=0,0,LN_IG2/LN_IG1)</f>
        <v>0.22630024748931052</v>
      </c>
      <c r="E223" s="454">
        <f t="shared" si="24"/>
        <v>-2.6395396636402085E-2</v>
      </c>
      <c r="F223" s="449">
        <f t="shared" si="25"/>
        <v>-0.10445528939656253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62</v>
      </c>
      <c r="D224" s="456">
        <v>44</v>
      </c>
      <c r="E224" s="456">
        <f t="shared" si="24"/>
        <v>-18</v>
      </c>
      <c r="F224" s="449">
        <f t="shared" si="25"/>
        <v>-0.29032258064516131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645</v>
      </c>
      <c r="C225" s="459">
        <v>0.79674999999999996</v>
      </c>
      <c r="D225" s="459">
        <v>1.2712000000000001</v>
      </c>
      <c r="E225" s="460">
        <f t="shared" si="24"/>
        <v>0.47445000000000015</v>
      </c>
      <c r="F225" s="449">
        <f t="shared" si="25"/>
        <v>0.59548164417947935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646</v>
      </c>
      <c r="C226" s="463">
        <f>C224*C225</f>
        <v>49.398499999999999</v>
      </c>
      <c r="D226" s="463">
        <f>LN_IG3*LN_IG4</f>
        <v>55.932800000000007</v>
      </c>
      <c r="E226" s="463">
        <f t="shared" si="24"/>
        <v>6.5343000000000089</v>
      </c>
      <c r="F226" s="449">
        <f t="shared" si="25"/>
        <v>0.13227729586930795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647</v>
      </c>
      <c r="C227" s="465">
        <f>IF(C226=0,0,C222/C226)</f>
        <v>6853.4469670131684</v>
      </c>
      <c r="D227" s="465">
        <f>IF(LN_IG5=0,0,LN_IG2/LN_IG5)</f>
        <v>6753.3182676354472</v>
      </c>
      <c r="E227" s="465">
        <f t="shared" si="24"/>
        <v>-100.1286993777212</v>
      </c>
      <c r="F227" s="449">
        <f t="shared" si="25"/>
        <v>-1.4609976535845106E-2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163</v>
      </c>
      <c r="D228" s="456">
        <v>129</v>
      </c>
      <c r="E228" s="456">
        <f t="shared" si="24"/>
        <v>-34</v>
      </c>
      <c r="F228" s="449">
        <f t="shared" si="25"/>
        <v>-0.20858895705521471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648</v>
      </c>
      <c r="C229" s="465">
        <f>IF(C228=0,0,C222/C228)</f>
        <v>2076.9938650306749</v>
      </c>
      <c r="D229" s="465">
        <f>IF(LN_IG6=0,0,LN_IG2/LN_IG6)</f>
        <v>2928.1550387596899</v>
      </c>
      <c r="E229" s="465">
        <f t="shared" si="24"/>
        <v>851.16117372901499</v>
      </c>
      <c r="F229" s="449">
        <f t="shared" si="25"/>
        <v>0.40980437547726906</v>
      </c>
      <c r="Q229" s="421"/>
      <c r="U229" s="462"/>
    </row>
    <row r="230" spans="1:21" ht="15.75" customHeight="1" x14ac:dyDescent="0.2">
      <c r="A230" s="451">
        <v>10</v>
      </c>
      <c r="B230" s="447" t="s">
        <v>649</v>
      </c>
      <c r="C230" s="466">
        <f>IF(C224=0,0,C228/C224)</f>
        <v>2.629032258064516</v>
      </c>
      <c r="D230" s="466">
        <f>IF(LN_IG3=0,0,LN_IG6/LN_IG3)</f>
        <v>2.9318181818181817</v>
      </c>
      <c r="E230" s="466">
        <f t="shared" si="24"/>
        <v>0.30278592375366564</v>
      </c>
      <c r="F230" s="449">
        <f t="shared" si="25"/>
        <v>0.11517010596765197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711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651</v>
      </c>
      <c r="C233" s="448">
        <v>2626269</v>
      </c>
      <c r="D233" s="448">
        <v>2759727</v>
      </c>
      <c r="E233" s="448">
        <f>D233-C233</f>
        <v>133458</v>
      </c>
      <c r="F233" s="449">
        <f>IF(C233=0,0,E233/C233)</f>
        <v>5.0816576672077382E-2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652</v>
      </c>
      <c r="C234" s="448">
        <v>840268</v>
      </c>
      <c r="D234" s="448">
        <v>373436</v>
      </c>
      <c r="E234" s="448">
        <f>D234-C234</f>
        <v>-466832</v>
      </c>
      <c r="F234" s="449">
        <f>IF(C234=0,0,E234/C234)</f>
        <v>-0.55557512603121861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712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658</v>
      </c>
      <c r="C237" s="448">
        <f>C221+C233</f>
        <v>3966023</v>
      </c>
      <c r="D237" s="448">
        <f>LN_IG1+LN_IG9</f>
        <v>4428890</v>
      </c>
      <c r="E237" s="448">
        <f>D237-C237</f>
        <v>462867</v>
      </c>
      <c r="F237" s="449">
        <f>IF(C237=0,0,E237/C237)</f>
        <v>0.11670809775939273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659</v>
      </c>
      <c r="C238" s="448">
        <f>C222+C234</f>
        <v>1178818</v>
      </c>
      <c r="D238" s="448">
        <f>LN_IG2+LN_IG10</f>
        <v>751168</v>
      </c>
      <c r="E238" s="448">
        <f>D238-C238</f>
        <v>-427650</v>
      </c>
      <c r="F238" s="449">
        <f>IF(C238=0,0,E238/C238)</f>
        <v>-0.36277864776411628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660</v>
      </c>
      <c r="C239" s="448">
        <f>C237-C238</f>
        <v>2787205</v>
      </c>
      <c r="D239" s="448">
        <f>LN_IG13-LN_IG14</f>
        <v>3677722</v>
      </c>
      <c r="E239" s="448">
        <f>D239-C239</f>
        <v>890517</v>
      </c>
      <c r="F239" s="449">
        <f>IF(C239=0,0,E239/C239)</f>
        <v>0.31950179480877799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713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714</v>
      </c>
      <c r="C243" s="448">
        <v>11871399</v>
      </c>
      <c r="D243" s="448">
        <v>12173148</v>
      </c>
      <c r="E243" s="441">
        <f>D243-C243</f>
        <v>301749</v>
      </c>
      <c r="F243" s="503">
        <f>IF(C243=0,0,E243/C243)</f>
        <v>2.5418149958568489E-2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715</v>
      </c>
      <c r="C244" s="448">
        <v>334537291</v>
      </c>
      <c r="D244" s="448">
        <v>342279038</v>
      </c>
      <c r="E244" s="441">
        <f>D244-C244</f>
        <v>7741747</v>
      </c>
      <c r="F244" s="503">
        <f>IF(C244=0,0,E244/C244)</f>
        <v>2.3141656276519557E-2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716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717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718</v>
      </c>
      <c r="C248" s="441">
        <v>7509399</v>
      </c>
      <c r="D248" s="441">
        <v>8529846</v>
      </c>
      <c r="E248" s="441">
        <f>D248-C248</f>
        <v>1020447</v>
      </c>
      <c r="F248" s="449">
        <f>IF(C248=0,0,E248/C248)</f>
        <v>0.1358893035248227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719</v>
      </c>
      <c r="C249" s="441">
        <v>12199395</v>
      </c>
      <c r="D249" s="441">
        <v>11094963</v>
      </c>
      <c r="E249" s="441">
        <f>D249-C249</f>
        <v>-1104432</v>
      </c>
      <c r="F249" s="449">
        <f>IF(C249=0,0,E249/C249)</f>
        <v>-9.0531702596727132E-2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720</v>
      </c>
      <c r="C250" s="441">
        <f>C248+C249</f>
        <v>19708794</v>
      </c>
      <c r="D250" s="441">
        <f>LN_IH4+LN_IH5</f>
        <v>19624809</v>
      </c>
      <c r="E250" s="441">
        <f>D250-C250</f>
        <v>-83985</v>
      </c>
      <c r="F250" s="449">
        <f>IF(C250=0,0,E250/C250)</f>
        <v>-4.261295744427589E-3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721</v>
      </c>
      <c r="C251" s="441">
        <f>C250*C313</f>
        <v>6004919.3644543281</v>
      </c>
      <c r="D251" s="441">
        <f>LN_IH6*LN_III10</f>
        <v>5687259.5927899508</v>
      </c>
      <c r="E251" s="441">
        <f>D251-C251</f>
        <v>-317659.7716643773</v>
      </c>
      <c r="F251" s="449">
        <f>IF(C251=0,0,E251/C251)</f>
        <v>-5.2899922943968343E-2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722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658</v>
      </c>
      <c r="C254" s="441">
        <f>C188+C203</f>
        <v>159568940</v>
      </c>
      <c r="D254" s="441">
        <f>LN_IF23</f>
        <v>175646641</v>
      </c>
      <c r="E254" s="441">
        <f>D254-C254</f>
        <v>16077701</v>
      </c>
      <c r="F254" s="449">
        <f>IF(C254=0,0,E254/C254)</f>
        <v>0.10075708342738882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659</v>
      </c>
      <c r="C255" s="441">
        <f>C189+C204</f>
        <v>31082795</v>
      </c>
      <c r="D255" s="441">
        <f>LN_IF24</f>
        <v>29640372</v>
      </c>
      <c r="E255" s="441">
        <f>D255-C255</f>
        <v>-1442423</v>
      </c>
      <c r="F255" s="449">
        <f>IF(C255=0,0,E255/C255)</f>
        <v>-4.6405833194859088E-2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723</v>
      </c>
      <c r="C256" s="441">
        <f>C254*C313</f>
        <v>48617820.946905769</v>
      </c>
      <c r="D256" s="441">
        <f>LN_IH8*LN_III10</f>
        <v>50902306.563522868</v>
      </c>
      <c r="E256" s="441">
        <f>D256-C256</f>
        <v>2284485.6166170985</v>
      </c>
      <c r="F256" s="449">
        <f>IF(C256=0,0,E256/C256)</f>
        <v>4.6988646799121757E-2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724</v>
      </c>
      <c r="C257" s="441">
        <f>C256-C255</f>
        <v>17535025.946905769</v>
      </c>
      <c r="D257" s="441">
        <f>LN_IH10-LN_IH9</f>
        <v>21261934.563522868</v>
      </c>
      <c r="E257" s="441">
        <f>D257-C257</f>
        <v>3726908.6166170985</v>
      </c>
      <c r="F257" s="449">
        <f>IF(C257=0,0,E257/C257)</f>
        <v>0.21254080991392824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725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726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506827583</v>
      </c>
      <c r="D261" s="448">
        <f>LN_IA1+LN_IB1+LN_IF1+LN_IG1</f>
        <v>574805058</v>
      </c>
      <c r="E261" s="448">
        <f t="shared" ref="E261:E274" si="26">D261-C261</f>
        <v>67977475</v>
      </c>
      <c r="F261" s="503">
        <f t="shared" ref="F261:F274" si="27">IF(C261=0,0,E261/C261)</f>
        <v>0.1341234717290436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147913660</v>
      </c>
      <c r="D262" s="448">
        <f>+LN_IA2+LN_IB2+LN_IF2+LN_IG2</f>
        <v>152802438</v>
      </c>
      <c r="E262" s="448">
        <f t="shared" si="26"/>
        <v>4888778</v>
      </c>
      <c r="F262" s="503">
        <f t="shared" si="27"/>
        <v>3.305156535238192E-2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727</v>
      </c>
      <c r="C263" s="453">
        <f>IF(C261=0,0,C262/C261)</f>
        <v>0.29184216676699698</v>
      </c>
      <c r="D263" s="453">
        <f>IF(LN_IIA1=0,0,LN_IIA2/LN_IIA1)</f>
        <v>0.26583349584930061</v>
      </c>
      <c r="E263" s="454">
        <f t="shared" si="26"/>
        <v>-2.6008670917696375E-2</v>
      </c>
      <c r="F263" s="458">
        <f t="shared" si="27"/>
        <v>-8.9118961820419063E-2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14158</v>
      </c>
      <c r="D264" s="456">
        <f>LN_IA4+LN_IB4+LN_IF4+LN_IG3</f>
        <v>15162</v>
      </c>
      <c r="E264" s="456">
        <f t="shared" si="26"/>
        <v>1004</v>
      </c>
      <c r="F264" s="503">
        <f t="shared" si="27"/>
        <v>7.0913970899844608E-2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728</v>
      </c>
      <c r="C265" s="525">
        <f>IF(C264=0,0,C266/C264)</f>
        <v>1.2326168173470831</v>
      </c>
      <c r="D265" s="525">
        <f>IF(LN_IIA4=0,0,LN_IIA6/LN_IIA4)</f>
        <v>1.2225429494789604</v>
      </c>
      <c r="E265" s="525">
        <f t="shared" si="26"/>
        <v>-1.0073867868122699E-2</v>
      </c>
      <c r="F265" s="503">
        <f t="shared" si="27"/>
        <v>-8.1727490054892514E-3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729</v>
      </c>
      <c r="C266" s="463">
        <f>C20+C47+C193+C226</f>
        <v>17451.388900000002</v>
      </c>
      <c r="D266" s="463">
        <f>LN_IA6+LN_IB6+LN_IF6+LN_IG5</f>
        <v>18536.196199999998</v>
      </c>
      <c r="E266" s="463">
        <f t="shared" si="26"/>
        <v>1084.8072999999968</v>
      </c>
      <c r="F266" s="503">
        <f t="shared" si="27"/>
        <v>6.2161659809208458E-2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612322696</v>
      </c>
      <c r="D267" s="448">
        <f>LN_IA11+LN_IB13+LN_IF14+LN_IG9</f>
        <v>641716420</v>
      </c>
      <c r="E267" s="448">
        <f t="shared" si="26"/>
        <v>29393724</v>
      </c>
      <c r="F267" s="503">
        <f t="shared" si="27"/>
        <v>4.8003649369874085E-2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654</v>
      </c>
      <c r="C268" s="453">
        <f>IF(C261=0,0,C267/C261)</f>
        <v>1.2081479314435812</v>
      </c>
      <c r="D268" s="453">
        <f>IF(LN_IIA1=0,0,LN_IIA7/LN_IIA1)</f>
        <v>1.1164070515190212</v>
      </c>
      <c r="E268" s="454">
        <f t="shared" si="26"/>
        <v>-9.1740879924560037E-2</v>
      </c>
      <c r="F268" s="458">
        <f t="shared" si="27"/>
        <v>-7.5935138021501633E-2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191463972</v>
      </c>
      <c r="D269" s="448">
        <f>LN_IA12+LN_IB14+LN_IF15+LN_IG10</f>
        <v>198787599</v>
      </c>
      <c r="E269" s="448">
        <f t="shared" si="26"/>
        <v>7323627</v>
      </c>
      <c r="F269" s="503">
        <f t="shared" si="27"/>
        <v>3.8250679349742099E-2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653</v>
      </c>
      <c r="C270" s="453">
        <f>IF(C267=0,0,C269/C267)</f>
        <v>0.31268475470652812</v>
      </c>
      <c r="D270" s="453">
        <f>IF(LN_IIA7=0,0,LN_IIA9/LN_IIA7)</f>
        <v>0.3097748363677526</v>
      </c>
      <c r="E270" s="454">
        <f t="shared" si="26"/>
        <v>-2.909918338775519E-3</v>
      </c>
      <c r="F270" s="458">
        <f t="shared" si="27"/>
        <v>-9.3062366967863134E-3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730</v>
      </c>
      <c r="C271" s="441">
        <f>C261+C267</f>
        <v>1119150279</v>
      </c>
      <c r="D271" s="441">
        <f>LN_IIA1+LN_IIA7</f>
        <v>1216521478</v>
      </c>
      <c r="E271" s="441">
        <f t="shared" si="26"/>
        <v>97371199</v>
      </c>
      <c r="F271" s="503">
        <f t="shared" si="27"/>
        <v>8.700457912319387E-2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731</v>
      </c>
      <c r="C272" s="441">
        <f>C262+C269</f>
        <v>339377632</v>
      </c>
      <c r="D272" s="441">
        <f>LN_IIA2+LN_IIA9</f>
        <v>351590037</v>
      </c>
      <c r="E272" s="441">
        <f t="shared" si="26"/>
        <v>12212405</v>
      </c>
      <c r="F272" s="503">
        <f t="shared" si="27"/>
        <v>3.5984708031671336E-2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732</v>
      </c>
      <c r="C273" s="453">
        <f>IF(C271=0,0,C272/C271)</f>
        <v>0.30324580922523275</v>
      </c>
      <c r="D273" s="453">
        <f>IF(LN_IIA11=0,0,LN_IIA12/LN_IIA11)</f>
        <v>0.28901260138705087</v>
      </c>
      <c r="E273" s="454">
        <f t="shared" si="26"/>
        <v>-1.4233207838181883E-2</v>
      </c>
      <c r="F273" s="458">
        <f t="shared" si="27"/>
        <v>-4.6936206223414982E-2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59473</v>
      </c>
      <c r="D274" s="508">
        <f>LN_IA8+LN_IB10+LN_IF11+LN_IG6</f>
        <v>62546</v>
      </c>
      <c r="E274" s="528">
        <f t="shared" si="26"/>
        <v>3073</v>
      </c>
      <c r="F274" s="458">
        <f t="shared" si="27"/>
        <v>5.1670505943873693E-2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733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734</v>
      </c>
      <c r="C277" s="448">
        <f>C15+C188+C221</f>
        <v>364969226</v>
      </c>
      <c r="D277" s="448">
        <f>LN_IA1+LN_IF1+LN_IG1</f>
        <v>418867855</v>
      </c>
      <c r="E277" s="448">
        <f t="shared" ref="E277:E291" si="28">D277-C277</f>
        <v>53898629</v>
      </c>
      <c r="F277" s="503">
        <f t="shared" ref="F277:F291" si="29">IF(C277=0,0,E277/C277)</f>
        <v>0.14767992795096646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735</v>
      </c>
      <c r="C278" s="448">
        <f>C16+C189+C222</f>
        <v>83972566</v>
      </c>
      <c r="D278" s="448">
        <f>LN_IA2+LN_IF2+LN_IG2</f>
        <v>83236008</v>
      </c>
      <c r="E278" s="448">
        <f t="shared" si="28"/>
        <v>-736558</v>
      </c>
      <c r="F278" s="503">
        <f t="shared" si="29"/>
        <v>-8.771412320542878E-3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736</v>
      </c>
      <c r="C279" s="453">
        <f>IF(C277=0,0,C278/C277)</f>
        <v>0.23008122334127973</v>
      </c>
      <c r="D279" s="453">
        <f>IF(D277=0,0,LN_IIB2/D277)</f>
        <v>0.1987166286608458</v>
      </c>
      <c r="E279" s="454">
        <f t="shared" si="28"/>
        <v>-3.1364594680433927E-2</v>
      </c>
      <c r="F279" s="458">
        <f t="shared" si="29"/>
        <v>-0.13631966235641399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737</v>
      </c>
      <c r="C280" s="456">
        <f>C18+C191+C224</f>
        <v>9737</v>
      </c>
      <c r="D280" s="456">
        <f>LN_IA4+LN_IF4+LN_IG3</f>
        <v>10637</v>
      </c>
      <c r="E280" s="456">
        <f t="shared" si="28"/>
        <v>900</v>
      </c>
      <c r="F280" s="503">
        <f t="shared" si="29"/>
        <v>9.2430933552428873E-2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738</v>
      </c>
      <c r="C281" s="525">
        <f>IF(C280=0,0,C282/C280)</f>
        <v>1.2882445106295575</v>
      </c>
      <c r="D281" s="525">
        <f>IF(LN_IIB4=0,0,LN_IIB6/LN_IIB4)</f>
        <v>1.2622512174485288</v>
      </c>
      <c r="E281" s="525">
        <f t="shared" si="28"/>
        <v>-2.599329318102872E-2</v>
      </c>
      <c r="F281" s="503">
        <f t="shared" si="29"/>
        <v>-2.0177297839465237E-2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739</v>
      </c>
      <c r="C282" s="463">
        <f>C20+C193+C226</f>
        <v>12543.6368</v>
      </c>
      <c r="D282" s="463">
        <f>LN_IA6+LN_IF6+LN_IG5</f>
        <v>13426.566200000001</v>
      </c>
      <c r="E282" s="463">
        <f t="shared" si="28"/>
        <v>882.9294000000009</v>
      </c>
      <c r="F282" s="503">
        <f t="shared" si="29"/>
        <v>7.03886292370966E-2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740</v>
      </c>
      <c r="C283" s="448">
        <f>C27+C203+C233</f>
        <v>318952999</v>
      </c>
      <c r="D283" s="448">
        <f>LN_IA11+LN_IF14+LN_IG9</f>
        <v>346637727</v>
      </c>
      <c r="E283" s="448">
        <f t="shared" si="28"/>
        <v>27684728</v>
      </c>
      <c r="F283" s="503">
        <f t="shared" si="29"/>
        <v>8.6798769996829533E-2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741</v>
      </c>
      <c r="C284" s="453">
        <f>IF(C277=0,0,C283/C277)</f>
        <v>0.87391751489754377</v>
      </c>
      <c r="D284" s="453">
        <f>IF(D277=0,0,LN_IIB7/D277)</f>
        <v>0.82755867479971701</v>
      </c>
      <c r="E284" s="454">
        <f t="shared" si="28"/>
        <v>-4.6358840097826759E-2</v>
      </c>
      <c r="F284" s="458">
        <f t="shared" si="29"/>
        <v>-5.3047157549258837E-2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742</v>
      </c>
      <c r="C285" s="448">
        <f>C28+C204+C234</f>
        <v>67354158</v>
      </c>
      <c r="D285" s="448">
        <f>LN_IA12+LN_IF15+LN_IG10</f>
        <v>73761116</v>
      </c>
      <c r="E285" s="448">
        <f t="shared" si="28"/>
        <v>6406958</v>
      </c>
      <c r="F285" s="503">
        <f t="shared" si="29"/>
        <v>9.5123422075887282E-2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743</v>
      </c>
      <c r="C286" s="453">
        <f>IF(C283=0,0,C285/C283)</f>
        <v>0.21117267500594969</v>
      </c>
      <c r="D286" s="453">
        <f>IF(LN_IIB7=0,0,LN_IIB9/LN_IIB7)</f>
        <v>0.21279021368611734</v>
      </c>
      <c r="E286" s="454">
        <f t="shared" si="28"/>
        <v>1.6175386801676461E-3</v>
      </c>
      <c r="F286" s="458">
        <f t="shared" si="29"/>
        <v>7.6597915905647958E-3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744</v>
      </c>
      <c r="C287" s="441">
        <f>C277+C283</f>
        <v>683922225</v>
      </c>
      <c r="D287" s="441">
        <f>D277+LN_IIB7</f>
        <v>765505582</v>
      </c>
      <c r="E287" s="441">
        <f t="shared" si="28"/>
        <v>81583357</v>
      </c>
      <c r="F287" s="503">
        <f t="shared" si="29"/>
        <v>0.11928747746134438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745</v>
      </c>
      <c r="C288" s="441">
        <f>C278+C285</f>
        <v>151326724</v>
      </c>
      <c r="D288" s="441">
        <f>LN_IIB2+LN_IIB9</f>
        <v>156997124</v>
      </c>
      <c r="E288" s="441">
        <f t="shared" si="28"/>
        <v>5670400</v>
      </c>
      <c r="F288" s="503">
        <f t="shared" si="29"/>
        <v>3.7471240043496876E-2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746</v>
      </c>
      <c r="C289" s="453">
        <f>IF(C287=0,0,C288/C287)</f>
        <v>0.22126305955329936</v>
      </c>
      <c r="D289" s="453">
        <f>IF(LN_IIB11=0,0,LN_IIB12/LN_IIB11)</f>
        <v>0.20508945681339263</v>
      </c>
      <c r="E289" s="454">
        <f t="shared" si="28"/>
        <v>-1.6173602739906728E-2</v>
      </c>
      <c r="F289" s="458">
        <f t="shared" si="29"/>
        <v>-7.3096714709446203E-2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44109</v>
      </c>
      <c r="D290" s="508">
        <f>LN_IA8+LN_IF11+LN_IG6</f>
        <v>47427</v>
      </c>
      <c r="E290" s="528">
        <f t="shared" si="28"/>
        <v>3318</v>
      </c>
      <c r="F290" s="458">
        <f t="shared" si="29"/>
        <v>7.5222743657756927E-2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747</v>
      </c>
      <c r="C291" s="448">
        <f>C287-C288</f>
        <v>532595501</v>
      </c>
      <c r="D291" s="516">
        <f>LN_IIB11-LN_IIB12</f>
        <v>608508458</v>
      </c>
      <c r="E291" s="441">
        <f t="shared" si="28"/>
        <v>75912957</v>
      </c>
      <c r="F291" s="503">
        <f t="shared" si="29"/>
        <v>0.14253398096203596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649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640</v>
      </c>
      <c r="C294" s="466">
        <f>IF(C18=0,0,C22/C18)</f>
        <v>4.6237229666976249</v>
      </c>
      <c r="D294" s="466">
        <f>IF(LN_IA4=0,0,LN_IA8/LN_IA4)</f>
        <v>4.6044740024183799</v>
      </c>
      <c r="E294" s="466">
        <f t="shared" ref="E294:E300" si="30">D294-C294</f>
        <v>-1.9248964279245051E-2</v>
      </c>
      <c r="F294" s="503">
        <f t="shared" ref="F294:F300" si="31">IF(C294=0,0,E294/C294)</f>
        <v>-4.1630877147886582E-3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661</v>
      </c>
      <c r="C295" s="466">
        <f>IF(C45=0,0,C51/C45)</f>
        <v>3.4752318479981903</v>
      </c>
      <c r="D295" s="466">
        <f>IF(LN_IB4=0,0,(LN_IB10)/(LN_IB4))</f>
        <v>3.3412154696132599</v>
      </c>
      <c r="E295" s="466">
        <f t="shared" si="30"/>
        <v>-0.13401637838493041</v>
      </c>
      <c r="F295" s="503">
        <f t="shared" si="31"/>
        <v>-3.8563291385041484E-2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676</v>
      </c>
      <c r="C296" s="466">
        <f>IF(C86=0,0,C93/C86)</f>
        <v>4.1703296703296706</v>
      </c>
      <c r="D296" s="466">
        <f>IF(LN_IC4=0,0,LN_IC11/LN_IC4)</f>
        <v>3.75</v>
      </c>
      <c r="E296" s="466">
        <f t="shared" si="30"/>
        <v>-0.42032967032967061</v>
      </c>
      <c r="F296" s="503">
        <f t="shared" si="31"/>
        <v>-0.10079051383399215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4.2549111318989707</v>
      </c>
      <c r="D297" s="466">
        <f>IF(LN_ID4=0,0,LN_ID11/LN_ID4)</f>
        <v>3.9685751183814033</v>
      </c>
      <c r="E297" s="466">
        <f t="shared" si="30"/>
        <v>-0.28633601351756743</v>
      </c>
      <c r="F297" s="503">
        <f t="shared" si="31"/>
        <v>-6.7295415730522057E-2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748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2.629032258064516</v>
      </c>
      <c r="D299" s="466">
        <f>IF(LN_IG3=0,0,LN_IG6/LN_IG3)</f>
        <v>2.9318181818181817</v>
      </c>
      <c r="E299" s="466">
        <f t="shared" si="30"/>
        <v>0.30278592375366564</v>
      </c>
      <c r="F299" s="503">
        <f t="shared" si="31"/>
        <v>0.11517010596765197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749</v>
      </c>
      <c r="C300" s="466">
        <f>IF(C264=0,0,C274/C264)</f>
        <v>4.2006639355841218</v>
      </c>
      <c r="D300" s="466">
        <f>IF(LN_IIA4=0,0,LN_IIA14/LN_IIA4)</f>
        <v>4.1251813744888537</v>
      </c>
      <c r="E300" s="466">
        <f t="shared" si="30"/>
        <v>-7.5482561095268075E-2</v>
      </c>
      <c r="F300" s="503">
        <f t="shared" si="31"/>
        <v>-1.7969197787009322E-2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750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744</v>
      </c>
      <c r="C304" s="441">
        <f>C35+C66+C214+C221+C233</f>
        <v>1119150279</v>
      </c>
      <c r="D304" s="441">
        <f>LN_IIA11</f>
        <v>1216521478</v>
      </c>
      <c r="E304" s="441">
        <f t="shared" ref="E304:E316" si="32">D304-C304</f>
        <v>97371199</v>
      </c>
      <c r="F304" s="449">
        <f>IF(C304=0,0,E304/C304)</f>
        <v>8.700457912319387E-2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747</v>
      </c>
      <c r="C305" s="441">
        <f>C291</f>
        <v>532595501</v>
      </c>
      <c r="D305" s="441">
        <f>LN_IIB14</f>
        <v>608508458</v>
      </c>
      <c r="E305" s="441">
        <f t="shared" si="32"/>
        <v>75912957</v>
      </c>
      <c r="F305" s="449">
        <f>IF(C305=0,0,E305/C305)</f>
        <v>0.14253398096203596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751</v>
      </c>
      <c r="C306" s="441">
        <f>C250</f>
        <v>19708794</v>
      </c>
      <c r="D306" s="441">
        <f>LN_IH6</f>
        <v>19624809</v>
      </c>
      <c r="E306" s="441">
        <f t="shared" si="32"/>
        <v>-83985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752</v>
      </c>
      <c r="C307" s="441">
        <f>C73-C74</f>
        <v>209014806</v>
      </c>
      <c r="D307" s="441">
        <f>LN_IB32-LN_IB33</f>
        <v>218498518</v>
      </c>
      <c r="E307" s="441">
        <f t="shared" si="32"/>
        <v>9483712</v>
      </c>
      <c r="F307" s="449">
        <f t="shared" ref="F307:F316" si="33">IF(C307=0,0,E307/C307)</f>
        <v>4.5373398093147527E-2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753</v>
      </c>
      <c r="C308" s="441">
        <v>16845972</v>
      </c>
      <c r="D308" s="441">
        <v>17342392</v>
      </c>
      <c r="E308" s="441">
        <f t="shared" si="32"/>
        <v>496420</v>
      </c>
      <c r="F308" s="449">
        <f t="shared" si="33"/>
        <v>2.9468171976066444E-2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754</v>
      </c>
      <c r="C309" s="441">
        <f>C305+C307+C308+C306</f>
        <v>778165073</v>
      </c>
      <c r="D309" s="441">
        <f>LN_III2+LN_III3+LN_III4+LN_III5</f>
        <v>863974177</v>
      </c>
      <c r="E309" s="441">
        <f t="shared" si="32"/>
        <v>85809104</v>
      </c>
      <c r="F309" s="449">
        <f t="shared" si="33"/>
        <v>0.11027108126195738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755</v>
      </c>
      <c r="C310" s="441">
        <f>C304-C309</f>
        <v>340985206</v>
      </c>
      <c r="D310" s="441">
        <f>LN_III1-LN_III6</f>
        <v>352547301</v>
      </c>
      <c r="E310" s="441">
        <f t="shared" si="32"/>
        <v>11562095</v>
      </c>
      <c r="F310" s="449">
        <f t="shared" si="33"/>
        <v>3.3907908016396468E-2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756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757</v>
      </c>
      <c r="C312" s="441">
        <f>C310+C311</f>
        <v>340985206</v>
      </c>
      <c r="D312" s="441">
        <f>LN_III7+LN_III8</f>
        <v>352547301</v>
      </c>
      <c r="E312" s="441">
        <f t="shared" si="32"/>
        <v>11562095</v>
      </c>
      <c r="F312" s="449">
        <f t="shared" si="33"/>
        <v>3.3907908016396468E-2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758</v>
      </c>
      <c r="C313" s="532">
        <f>IF(C304=0,0,C312/C304)</f>
        <v>0.30468223293897778</v>
      </c>
      <c r="D313" s="532">
        <f>IF(LN_III1=0,0,LN_III9/LN_III1)</f>
        <v>0.28979948761743113</v>
      </c>
      <c r="E313" s="532">
        <f t="shared" si="32"/>
        <v>-1.4882745321546653E-2</v>
      </c>
      <c r="F313" s="449">
        <f t="shared" si="33"/>
        <v>-4.8846777765762905E-2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721</v>
      </c>
      <c r="C314" s="441">
        <f>C306*C313</f>
        <v>6004919.3644543281</v>
      </c>
      <c r="D314" s="441">
        <f>D313*LN_III5</f>
        <v>5687259.5927899508</v>
      </c>
      <c r="E314" s="441">
        <f t="shared" si="32"/>
        <v>-317659.7716643773</v>
      </c>
      <c r="F314" s="449">
        <f t="shared" si="33"/>
        <v>-5.2899922943968343E-2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724</v>
      </c>
      <c r="C315" s="441">
        <f>(C214*C313)-C215</f>
        <v>17535025.946905769</v>
      </c>
      <c r="D315" s="441">
        <f>D313*LN_IH8-LN_IH9</f>
        <v>21261934.563522868</v>
      </c>
      <c r="E315" s="441">
        <f t="shared" si="32"/>
        <v>3726908.6166170985</v>
      </c>
      <c r="F315" s="449">
        <f t="shared" si="33"/>
        <v>0.21254080991392824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759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760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761</v>
      </c>
      <c r="C318" s="441">
        <f>C314+C315+C316</f>
        <v>23539945.311360098</v>
      </c>
      <c r="D318" s="441">
        <f>D314+D315+D316</f>
        <v>26949194.15631282</v>
      </c>
      <c r="E318" s="441">
        <f>D318-C318</f>
        <v>3409248.8449527211</v>
      </c>
      <c r="F318" s="449">
        <f>IF(C318=0,0,E318/C318)</f>
        <v>0.14482823982209755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762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7098586.2008401882</v>
      </c>
      <c r="D322" s="441">
        <f>LN_ID22</f>
        <v>13399672.836422546</v>
      </c>
      <c r="E322" s="441">
        <f>LN_IV2-C322</f>
        <v>6301086.6355823576</v>
      </c>
      <c r="F322" s="449">
        <f>IF(C322=0,0,E322/C322)</f>
        <v>0.88765374643708084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748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763</v>
      </c>
      <c r="C324" s="441">
        <f>C92+C106</f>
        <v>-3064216.1078764033</v>
      </c>
      <c r="D324" s="441">
        <f>LN_IC10+LN_IC22</f>
        <v>-2996108.5501056942</v>
      </c>
      <c r="E324" s="441">
        <f>LN_IV1-C324</f>
        <v>68107.557770709042</v>
      </c>
      <c r="F324" s="449">
        <f>IF(C324=0,0,E324/C324)</f>
        <v>-2.2226747518114737E-2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764</v>
      </c>
      <c r="C325" s="516">
        <f>C324+C322+C323</f>
        <v>4034370.0929637849</v>
      </c>
      <c r="D325" s="516">
        <f>LN_IV1+LN_IV2+LN_IV3</f>
        <v>10403564.286316851</v>
      </c>
      <c r="E325" s="441">
        <f>LN_IV4-C325</f>
        <v>6369194.1933530662</v>
      </c>
      <c r="F325" s="449">
        <f>IF(C325=0,0,E325/C325)</f>
        <v>1.5787332462287911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765</v>
      </c>
      <c r="B327" s="530" t="s">
        <v>766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767</v>
      </c>
      <c r="C329" s="518">
        <v>23313424</v>
      </c>
      <c r="D329" s="518">
        <v>23800791</v>
      </c>
      <c r="E329" s="518">
        <f t="shared" ref="E329:E335" si="34">D329-C329</f>
        <v>487367</v>
      </c>
      <c r="F329" s="542">
        <f t="shared" ref="F329:F335" si="35">IF(C329=0,0,E329/C329)</f>
        <v>2.0904994478717499E-2</v>
      </c>
    </row>
    <row r="330" spans="1:22" s="420" customFormat="1" ht="15.75" customHeight="1" x14ac:dyDescent="0.2">
      <c r="A330" s="451">
        <v>2</v>
      </c>
      <c r="B330" s="447" t="s">
        <v>768</v>
      </c>
      <c r="C330" s="516">
        <v>8457989</v>
      </c>
      <c r="D330" s="516">
        <v>-4419016</v>
      </c>
      <c r="E330" s="518">
        <f t="shared" si="34"/>
        <v>-12877005</v>
      </c>
      <c r="F330" s="543">
        <f t="shared" si="35"/>
        <v>-1.5224665106563746</v>
      </c>
    </row>
    <row r="331" spans="1:22" s="420" customFormat="1" ht="15.75" customHeight="1" x14ac:dyDescent="0.2">
      <c r="A331" s="427">
        <v>3</v>
      </c>
      <c r="B331" s="447" t="s">
        <v>769</v>
      </c>
      <c r="C331" s="516">
        <v>347835624</v>
      </c>
      <c r="D331" s="516">
        <v>347171019</v>
      </c>
      <c r="E331" s="518">
        <f t="shared" si="34"/>
        <v>-664605</v>
      </c>
      <c r="F331" s="542">
        <f t="shared" si="35"/>
        <v>-1.9106869858735343E-3</v>
      </c>
    </row>
    <row r="332" spans="1:22" s="420" customFormat="1" ht="27" customHeight="1" x14ac:dyDescent="0.2">
      <c r="A332" s="451">
        <v>4</v>
      </c>
      <c r="B332" s="447" t="s">
        <v>770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771</v>
      </c>
      <c r="C333" s="516">
        <v>1119150279</v>
      </c>
      <c r="D333" s="516">
        <v>1216521478</v>
      </c>
      <c r="E333" s="518">
        <f t="shared" si="34"/>
        <v>97371199</v>
      </c>
      <c r="F333" s="542">
        <f t="shared" si="35"/>
        <v>8.700457912319387E-2</v>
      </c>
    </row>
    <row r="334" spans="1:22" s="420" customFormat="1" ht="15.75" customHeight="1" x14ac:dyDescent="0.2">
      <c r="A334" s="427">
        <v>6</v>
      </c>
      <c r="B334" s="447" t="s">
        <v>772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773</v>
      </c>
      <c r="C335" s="516">
        <v>19708794</v>
      </c>
      <c r="D335" s="516">
        <v>19624809</v>
      </c>
      <c r="E335" s="516">
        <f t="shared" si="34"/>
        <v>-83985</v>
      </c>
      <c r="F335" s="542">
        <f t="shared" si="35"/>
        <v>-4.261295744427589E-3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634</v>
      </c>
      <c r="B3" s="820"/>
      <c r="C3" s="820"/>
      <c r="D3" s="820"/>
      <c r="E3" s="820"/>
    </row>
    <row r="4" spans="1:5" s="428" customFormat="1" ht="15.75" customHeight="1" x14ac:dyDescent="0.25">
      <c r="A4" s="820" t="s">
        <v>774</v>
      </c>
      <c r="B4" s="820"/>
      <c r="C4" s="820"/>
      <c r="D4" s="820"/>
      <c r="E4" s="820"/>
    </row>
    <row r="5" spans="1:5" s="428" customFormat="1" ht="15.75" customHeight="1" x14ac:dyDescent="0.25">
      <c r="A5" s="820" t="s">
        <v>775</v>
      </c>
      <c r="B5" s="820"/>
      <c r="C5" s="820"/>
      <c r="D5" s="820"/>
      <c r="E5" s="820"/>
    </row>
    <row r="6" spans="1:5" s="428" customFormat="1" ht="15.75" customHeight="1" x14ac:dyDescent="0.25">
      <c r="A6" s="820" t="s">
        <v>776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777</v>
      </c>
      <c r="D9" s="573" t="s">
        <v>778</v>
      </c>
      <c r="E9" s="573" t="s">
        <v>779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780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781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661</v>
      </c>
      <c r="C14" s="589">
        <v>141858357</v>
      </c>
      <c r="D14" s="589">
        <v>155937203</v>
      </c>
      <c r="E14" s="590">
        <f t="shared" ref="E14:E22" si="0">D14-C14</f>
        <v>14078846</v>
      </c>
    </row>
    <row r="15" spans="1:5" s="421" customFormat="1" x14ac:dyDescent="0.2">
      <c r="A15" s="588">
        <v>2</v>
      </c>
      <c r="B15" s="587" t="s">
        <v>640</v>
      </c>
      <c r="C15" s="589">
        <v>300009429</v>
      </c>
      <c r="D15" s="591">
        <v>345906839</v>
      </c>
      <c r="E15" s="590">
        <f t="shared" si="0"/>
        <v>45897410</v>
      </c>
    </row>
    <row r="16" spans="1:5" s="421" customFormat="1" x14ac:dyDescent="0.2">
      <c r="A16" s="588">
        <v>3</v>
      </c>
      <c r="B16" s="587" t="s">
        <v>782</v>
      </c>
      <c r="C16" s="589">
        <v>63620043</v>
      </c>
      <c r="D16" s="591">
        <v>71291853</v>
      </c>
      <c r="E16" s="590">
        <f t="shared" si="0"/>
        <v>7671810</v>
      </c>
    </row>
    <row r="17" spans="1:5" s="421" customFormat="1" x14ac:dyDescent="0.2">
      <c r="A17" s="588">
        <v>4</v>
      </c>
      <c r="B17" s="587" t="s">
        <v>115</v>
      </c>
      <c r="C17" s="589">
        <v>63620043</v>
      </c>
      <c r="D17" s="591">
        <v>71291853</v>
      </c>
      <c r="E17" s="590">
        <f t="shared" si="0"/>
        <v>7671810</v>
      </c>
    </row>
    <row r="18" spans="1:5" s="421" customFormat="1" x14ac:dyDescent="0.2">
      <c r="A18" s="588">
        <v>5</v>
      </c>
      <c r="B18" s="587" t="s">
        <v>748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1339754</v>
      </c>
      <c r="D19" s="591">
        <v>1669163</v>
      </c>
      <c r="E19" s="590">
        <f t="shared" si="0"/>
        <v>329409</v>
      </c>
    </row>
    <row r="20" spans="1:5" s="421" customFormat="1" x14ac:dyDescent="0.2">
      <c r="A20" s="588">
        <v>7</v>
      </c>
      <c r="B20" s="587" t="s">
        <v>763</v>
      </c>
      <c r="C20" s="589">
        <v>6206111</v>
      </c>
      <c r="D20" s="591">
        <v>5822241</v>
      </c>
      <c r="E20" s="590">
        <f t="shared" si="0"/>
        <v>-383870</v>
      </c>
    </row>
    <row r="21" spans="1:5" s="421" customFormat="1" x14ac:dyDescent="0.2">
      <c r="A21" s="588"/>
      <c r="B21" s="592" t="s">
        <v>783</v>
      </c>
      <c r="C21" s="593">
        <f>SUM(C15+C16+C19)</f>
        <v>364969226</v>
      </c>
      <c r="D21" s="593">
        <f>SUM(D15+D16+D19)</f>
        <v>418867855</v>
      </c>
      <c r="E21" s="593">
        <f t="shared" si="0"/>
        <v>53898629</v>
      </c>
    </row>
    <row r="22" spans="1:5" s="421" customFormat="1" x14ac:dyDescent="0.2">
      <c r="A22" s="588"/>
      <c r="B22" s="592" t="s">
        <v>465</v>
      </c>
      <c r="C22" s="593">
        <f>SUM(C14+C21)</f>
        <v>506827583</v>
      </c>
      <c r="D22" s="593">
        <f>SUM(D14+D21)</f>
        <v>574805058</v>
      </c>
      <c r="E22" s="593">
        <f t="shared" si="0"/>
        <v>67977475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784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661</v>
      </c>
      <c r="C25" s="589">
        <v>293369697</v>
      </c>
      <c r="D25" s="589">
        <v>295078693</v>
      </c>
      <c r="E25" s="590">
        <f t="shared" ref="E25:E33" si="1">D25-C25</f>
        <v>1708996</v>
      </c>
    </row>
    <row r="26" spans="1:5" s="421" customFormat="1" x14ac:dyDescent="0.2">
      <c r="A26" s="588">
        <v>2</v>
      </c>
      <c r="B26" s="587" t="s">
        <v>640</v>
      </c>
      <c r="C26" s="589">
        <v>220377833</v>
      </c>
      <c r="D26" s="591">
        <v>239523212</v>
      </c>
      <c r="E26" s="590">
        <f t="shared" si="1"/>
        <v>19145379</v>
      </c>
    </row>
    <row r="27" spans="1:5" s="421" customFormat="1" x14ac:dyDescent="0.2">
      <c r="A27" s="588">
        <v>3</v>
      </c>
      <c r="B27" s="587" t="s">
        <v>782</v>
      </c>
      <c r="C27" s="589">
        <v>95948897</v>
      </c>
      <c r="D27" s="591">
        <v>104354788</v>
      </c>
      <c r="E27" s="590">
        <f t="shared" si="1"/>
        <v>8405891</v>
      </c>
    </row>
    <row r="28" spans="1:5" s="421" customFormat="1" x14ac:dyDescent="0.2">
      <c r="A28" s="588">
        <v>4</v>
      </c>
      <c r="B28" s="587" t="s">
        <v>115</v>
      </c>
      <c r="C28" s="589">
        <v>95948897</v>
      </c>
      <c r="D28" s="591">
        <v>104354788</v>
      </c>
      <c r="E28" s="590">
        <f t="shared" si="1"/>
        <v>8405891</v>
      </c>
    </row>
    <row r="29" spans="1:5" s="421" customFormat="1" x14ac:dyDescent="0.2">
      <c r="A29" s="588">
        <v>5</v>
      </c>
      <c r="B29" s="587" t="s">
        <v>748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2626269</v>
      </c>
      <c r="D30" s="591">
        <v>2759727</v>
      </c>
      <c r="E30" s="590">
        <f t="shared" si="1"/>
        <v>133458</v>
      </c>
    </row>
    <row r="31" spans="1:5" s="421" customFormat="1" x14ac:dyDescent="0.2">
      <c r="A31" s="588">
        <v>7</v>
      </c>
      <c r="B31" s="587" t="s">
        <v>763</v>
      </c>
      <c r="C31" s="590">
        <v>13838417</v>
      </c>
      <c r="D31" s="594">
        <v>14863650</v>
      </c>
      <c r="E31" s="590">
        <f t="shared" si="1"/>
        <v>1025233</v>
      </c>
    </row>
    <row r="32" spans="1:5" s="421" customFormat="1" x14ac:dyDescent="0.2">
      <c r="A32" s="588"/>
      <c r="B32" s="592" t="s">
        <v>785</v>
      </c>
      <c r="C32" s="593">
        <f>SUM(C26+C27+C30)</f>
        <v>318952999</v>
      </c>
      <c r="D32" s="593">
        <f>SUM(D26+D27+D30)</f>
        <v>346637727</v>
      </c>
      <c r="E32" s="593">
        <f t="shared" si="1"/>
        <v>27684728</v>
      </c>
    </row>
    <row r="33" spans="1:5" s="421" customFormat="1" x14ac:dyDescent="0.2">
      <c r="A33" s="588"/>
      <c r="B33" s="592" t="s">
        <v>467</v>
      </c>
      <c r="C33" s="593">
        <f>SUM(C25+C32)</f>
        <v>612322696</v>
      </c>
      <c r="D33" s="593">
        <f>SUM(D25+D32)</f>
        <v>641716420</v>
      </c>
      <c r="E33" s="593">
        <f t="shared" si="1"/>
        <v>29393724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658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786</v>
      </c>
      <c r="C36" s="590">
        <f t="shared" ref="C36:D42" si="2">C14+C25</f>
        <v>435228054</v>
      </c>
      <c r="D36" s="590">
        <f t="shared" si="2"/>
        <v>451015896</v>
      </c>
      <c r="E36" s="590">
        <f t="shared" ref="E36:E44" si="3">D36-C36</f>
        <v>15787842</v>
      </c>
    </row>
    <row r="37" spans="1:5" s="421" customFormat="1" x14ac:dyDescent="0.2">
      <c r="A37" s="588">
        <v>2</v>
      </c>
      <c r="B37" s="587" t="s">
        <v>787</v>
      </c>
      <c r="C37" s="590">
        <f t="shared" si="2"/>
        <v>520387262</v>
      </c>
      <c r="D37" s="590">
        <f t="shared" si="2"/>
        <v>585430051</v>
      </c>
      <c r="E37" s="590">
        <f t="shared" si="3"/>
        <v>65042789</v>
      </c>
    </row>
    <row r="38" spans="1:5" s="421" customFormat="1" x14ac:dyDescent="0.2">
      <c r="A38" s="588">
        <v>3</v>
      </c>
      <c r="B38" s="587" t="s">
        <v>788</v>
      </c>
      <c r="C38" s="590">
        <f t="shared" si="2"/>
        <v>159568940</v>
      </c>
      <c r="D38" s="590">
        <f t="shared" si="2"/>
        <v>175646641</v>
      </c>
      <c r="E38" s="590">
        <f t="shared" si="3"/>
        <v>16077701</v>
      </c>
    </row>
    <row r="39" spans="1:5" s="421" customFormat="1" x14ac:dyDescent="0.2">
      <c r="A39" s="588">
        <v>4</v>
      </c>
      <c r="B39" s="587" t="s">
        <v>789</v>
      </c>
      <c r="C39" s="590">
        <f t="shared" si="2"/>
        <v>159568940</v>
      </c>
      <c r="D39" s="590">
        <f t="shared" si="2"/>
        <v>175646641</v>
      </c>
      <c r="E39" s="590">
        <f t="shared" si="3"/>
        <v>16077701</v>
      </c>
    </row>
    <row r="40" spans="1:5" s="421" customFormat="1" x14ac:dyDescent="0.2">
      <c r="A40" s="588">
        <v>5</v>
      </c>
      <c r="B40" s="587" t="s">
        <v>790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791</v>
      </c>
      <c r="C41" s="590">
        <f t="shared" si="2"/>
        <v>3966023</v>
      </c>
      <c r="D41" s="590">
        <f t="shared" si="2"/>
        <v>4428890</v>
      </c>
      <c r="E41" s="590">
        <f t="shared" si="3"/>
        <v>462867</v>
      </c>
    </row>
    <row r="42" spans="1:5" s="421" customFormat="1" x14ac:dyDescent="0.2">
      <c r="A42" s="588">
        <v>7</v>
      </c>
      <c r="B42" s="587" t="s">
        <v>792</v>
      </c>
      <c r="C42" s="590">
        <f t="shared" si="2"/>
        <v>20044528</v>
      </c>
      <c r="D42" s="590">
        <f t="shared" si="2"/>
        <v>20685891</v>
      </c>
      <c r="E42" s="590">
        <f t="shared" si="3"/>
        <v>641363</v>
      </c>
    </row>
    <row r="43" spans="1:5" s="421" customFormat="1" x14ac:dyDescent="0.2">
      <c r="A43" s="588"/>
      <c r="B43" s="592" t="s">
        <v>793</v>
      </c>
      <c r="C43" s="593">
        <f>SUM(C37+C38+C41)</f>
        <v>683922225</v>
      </c>
      <c r="D43" s="593">
        <f>SUM(D37+D38+D41)</f>
        <v>765505582</v>
      </c>
      <c r="E43" s="593">
        <f t="shared" si="3"/>
        <v>81583357</v>
      </c>
    </row>
    <row r="44" spans="1:5" s="421" customFormat="1" x14ac:dyDescent="0.2">
      <c r="A44" s="588"/>
      <c r="B44" s="592" t="s">
        <v>730</v>
      </c>
      <c r="C44" s="593">
        <f>SUM(C36+C43)</f>
        <v>1119150279</v>
      </c>
      <c r="D44" s="593">
        <f>SUM(D36+D43)</f>
        <v>1216521478</v>
      </c>
      <c r="E44" s="593">
        <f t="shared" si="3"/>
        <v>97371199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794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661</v>
      </c>
      <c r="C47" s="589">
        <v>63941094</v>
      </c>
      <c r="D47" s="589">
        <v>69566430</v>
      </c>
      <c r="E47" s="590">
        <f t="shared" ref="E47:E55" si="4">D47-C47</f>
        <v>5625336</v>
      </c>
    </row>
    <row r="48" spans="1:5" s="421" customFormat="1" x14ac:dyDescent="0.2">
      <c r="A48" s="588">
        <v>2</v>
      </c>
      <c r="B48" s="587" t="s">
        <v>640</v>
      </c>
      <c r="C48" s="589">
        <v>72545632</v>
      </c>
      <c r="D48" s="591">
        <v>72151900</v>
      </c>
      <c r="E48" s="590">
        <f t="shared" si="4"/>
        <v>-393732</v>
      </c>
    </row>
    <row r="49" spans="1:5" s="421" customFormat="1" x14ac:dyDescent="0.2">
      <c r="A49" s="588">
        <v>3</v>
      </c>
      <c r="B49" s="587" t="s">
        <v>782</v>
      </c>
      <c r="C49" s="589">
        <v>11088384</v>
      </c>
      <c r="D49" s="591">
        <v>10706376</v>
      </c>
      <c r="E49" s="590">
        <f t="shared" si="4"/>
        <v>-382008</v>
      </c>
    </row>
    <row r="50" spans="1:5" s="421" customFormat="1" x14ac:dyDescent="0.2">
      <c r="A50" s="588">
        <v>4</v>
      </c>
      <c r="B50" s="587" t="s">
        <v>115</v>
      </c>
      <c r="C50" s="589">
        <v>11088384</v>
      </c>
      <c r="D50" s="591">
        <v>10706376</v>
      </c>
      <c r="E50" s="590">
        <f t="shared" si="4"/>
        <v>-382008</v>
      </c>
    </row>
    <row r="51" spans="1:5" s="421" customFormat="1" x14ac:dyDescent="0.2">
      <c r="A51" s="588">
        <v>5</v>
      </c>
      <c r="B51" s="587" t="s">
        <v>748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338550</v>
      </c>
      <c r="D52" s="591">
        <v>377732</v>
      </c>
      <c r="E52" s="590">
        <f t="shared" si="4"/>
        <v>39182</v>
      </c>
    </row>
    <row r="53" spans="1:5" s="421" customFormat="1" x14ac:dyDescent="0.2">
      <c r="A53" s="588">
        <v>7</v>
      </c>
      <c r="B53" s="587" t="s">
        <v>763</v>
      </c>
      <c r="C53" s="589">
        <v>4126794</v>
      </c>
      <c r="D53" s="591">
        <v>3735559</v>
      </c>
      <c r="E53" s="590">
        <f t="shared" si="4"/>
        <v>-391235</v>
      </c>
    </row>
    <row r="54" spans="1:5" s="421" customFormat="1" x14ac:dyDescent="0.2">
      <c r="A54" s="588"/>
      <c r="B54" s="592" t="s">
        <v>795</v>
      </c>
      <c r="C54" s="593">
        <f>SUM(C48+C49+C52)</f>
        <v>83972566</v>
      </c>
      <c r="D54" s="593">
        <f>SUM(D48+D49+D52)</f>
        <v>83236008</v>
      </c>
      <c r="E54" s="593">
        <f t="shared" si="4"/>
        <v>-736558</v>
      </c>
    </row>
    <row r="55" spans="1:5" s="421" customFormat="1" x14ac:dyDescent="0.2">
      <c r="A55" s="588"/>
      <c r="B55" s="592" t="s">
        <v>466</v>
      </c>
      <c r="C55" s="593">
        <f>SUM(C47+C54)</f>
        <v>147913660</v>
      </c>
      <c r="D55" s="593">
        <f>SUM(D47+D54)</f>
        <v>152802438</v>
      </c>
      <c r="E55" s="593">
        <f t="shared" si="4"/>
        <v>4888778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796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661</v>
      </c>
      <c r="C58" s="589">
        <v>124109814</v>
      </c>
      <c r="D58" s="589">
        <v>125026483</v>
      </c>
      <c r="E58" s="590">
        <f t="shared" ref="E58:E66" si="5">D58-C58</f>
        <v>916669</v>
      </c>
    </row>
    <row r="59" spans="1:5" s="421" customFormat="1" x14ac:dyDescent="0.2">
      <c r="A59" s="588">
        <v>2</v>
      </c>
      <c r="B59" s="587" t="s">
        <v>640</v>
      </c>
      <c r="C59" s="589">
        <v>46519479</v>
      </c>
      <c r="D59" s="591">
        <v>54453684</v>
      </c>
      <c r="E59" s="590">
        <f t="shared" si="5"/>
        <v>7934205</v>
      </c>
    </row>
    <row r="60" spans="1:5" s="421" customFormat="1" x14ac:dyDescent="0.2">
      <c r="A60" s="588">
        <v>3</v>
      </c>
      <c r="B60" s="587" t="s">
        <v>782</v>
      </c>
      <c r="C60" s="589">
        <f>C61+C62</f>
        <v>19994411</v>
      </c>
      <c r="D60" s="591">
        <f>D61+D62</f>
        <v>18933996</v>
      </c>
      <c r="E60" s="590">
        <f t="shared" si="5"/>
        <v>-1060415</v>
      </c>
    </row>
    <row r="61" spans="1:5" s="421" customFormat="1" x14ac:dyDescent="0.2">
      <c r="A61" s="588">
        <v>4</v>
      </c>
      <c r="B61" s="587" t="s">
        <v>115</v>
      </c>
      <c r="C61" s="589">
        <v>19994411</v>
      </c>
      <c r="D61" s="591">
        <v>18933996</v>
      </c>
      <c r="E61" s="590">
        <f t="shared" si="5"/>
        <v>-1060415</v>
      </c>
    </row>
    <row r="62" spans="1:5" s="421" customFormat="1" x14ac:dyDescent="0.2">
      <c r="A62" s="588">
        <v>5</v>
      </c>
      <c r="B62" s="587" t="s">
        <v>748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840268</v>
      </c>
      <c r="D63" s="591">
        <v>373436</v>
      </c>
      <c r="E63" s="590">
        <f t="shared" si="5"/>
        <v>-466832</v>
      </c>
    </row>
    <row r="64" spans="1:5" s="421" customFormat="1" x14ac:dyDescent="0.2">
      <c r="A64" s="588">
        <v>7</v>
      </c>
      <c r="B64" s="587" t="s">
        <v>763</v>
      </c>
      <c r="C64" s="589">
        <v>3652693</v>
      </c>
      <c r="D64" s="591">
        <v>4549613</v>
      </c>
      <c r="E64" s="590">
        <f t="shared" si="5"/>
        <v>896920</v>
      </c>
    </row>
    <row r="65" spans="1:5" s="421" customFormat="1" x14ac:dyDescent="0.2">
      <c r="A65" s="588"/>
      <c r="B65" s="592" t="s">
        <v>797</v>
      </c>
      <c r="C65" s="593">
        <f>SUM(C59+C60+C63)</f>
        <v>67354158</v>
      </c>
      <c r="D65" s="593">
        <f>SUM(D59+D60+D63)</f>
        <v>73761116</v>
      </c>
      <c r="E65" s="593">
        <f t="shared" si="5"/>
        <v>6406958</v>
      </c>
    </row>
    <row r="66" spans="1:5" s="421" customFormat="1" x14ac:dyDescent="0.2">
      <c r="A66" s="588"/>
      <c r="B66" s="592" t="s">
        <v>468</v>
      </c>
      <c r="C66" s="593">
        <f>SUM(C58+C65)</f>
        <v>191463972</v>
      </c>
      <c r="D66" s="593">
        <f>SUM(D58+D65)</f>
        <v>198787599</v>
      </c>
      <c r="E66" s="593">
        <f t="shared" si="5"/>
        <v>7323627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659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786</v>
      </c>
      <c r="C69" s="590">
        <f t="shared" ref="C69:D75" si="6">C47+C58</f>
        <v>188050908</v>
      </c>
      <c r="D69" s="590">
        <f t="shared" si="6"/>
        <v>194592913</v>
      </c>
      <c r="E69" s="590">
        <f t="shared" ref="E69:E77" si="7">D69-C69</f>
        <v>6542005</v>
      </c>
    </row>
    <row r="70" spans="1:5" s="421" customFormat="1" x14ac:dyDescent="0.2">
      <c r="A70" s="588">
        <v>2</v>
      </c>
      <c r="B70" s="587" t="s">
        <v>787</v>
      </c>
      <c r="C70" s="590">
        <f t="shared" si="6"/>
        <v>119065111</v>
      </c>
      <c r="D70" s="590">
        <f t="shared" si="6"/>
        <v>126605584</v>
      </c>
      <c r="E70" s="590">
        <f t="shared" si="7"/>
        <v>7540473</v>
      </c>
    </row>
    <row r="71" spans="1:5" s="421" customFormat="1" x14ac:dyDescent="0.2">
      <c r="A71" s="588">
        <v>3</v>
      </c>
      <c r="B71" s="587" t="s">
        <v>788</v>
      </c>
      <c r="C71" s="590">
        <f t="shared" si="6"/>
        <v>31082795</v>
      </c>
      <c r="D71" s="590">
        <f t="shared" si="6"/>
        <v>29640372</v>
      </c>
      <c r="E71" s="590">
        <f t="shared" si="7"/>
        <v>-1442423</v>
      </c>
    </row>
    <row r="72" spans="1:5" s="421" customFormat="1" x14ac:dyDescent="0.2">
      <c r="A72" s="588">
        <v>4</v>
      </c>
      <c r="B72" s="587" t="s">
        <v>789</v>
      </c>
      <c r="C72" s="590">
        <f t="shared" si="6"/>
        <v>31082795</v>
      </c>
      <c r="D72" s="590">
        <f t="shared" si="6"/>
        <v>29640372</v>
      </c>
      <c r="E72" s="590">
        <f t="shared" si="7"/>
        <v>-1442423</v>
      </c>
    </row>
    <row r="73" spans="1:5" s="421" customFormat="1" x14ac:dyDescent="0.2">
      <c r="A73" s="588">
        <v>5</v>
      </c>
      <c r="B73" s="587" t="s">
        <v>790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791</v>
      </c>
      <c r="C74" s="590">
        <f t="shared" si="6"/>
        <v>1178818</v>
      </c>
      <c r="D74" s="590">
        <f t="shared" si="6"/>
        <v>751168</v>
      </c>
      <c r="E74" s="590">
        <f t="shared" si="7"/>
        <v>-427650</v>
      </c>
    </row>
    <row r="75" spans="1:5" s="421" customFormat="1" x14ac:dyDescent="0.2">
      <c r="A75" s="588">
        <v>7</v>
      </c>
      <c r="B75" s="587" t="s">
        <v>792</v>
      </c>
      <c r="C75" s="590">
        <f t="shared" si="6"/>
        <v>7779487</v>
      </c>
      <c r="D75" s="590">
        <f t="shared" si="6"/>
        <v>8285172</v>
      </c>
      <c r="E75" s="590">
        <f t="shared" si="7"/>
        <v>505685</v>
      </c>
    </row>
    <row r="76" spans="1:5" s="421" customFormat="1" x14ac:dyDescent="0.2">
      <c r="A76" s="588"/>
      <c r="B76" s="592" t="s">
        <v>798</v>
      </c>
      <c r="C76" s="593">
        <f>SUM(C70+C71+C74)</f>
        <v>151326724</v>
      </c>
      <c r="D76" s="593">
        <f>SUM(D70+D71+D74)</f>
        <v>156997124</v>
      </c>
      <c r="E76" s="593">
        <f t="shared" si="7"/>
        <v>5670400</v>
      </c>
    </row>
    <row r="77" spans="1:5" s="421" customFormat="1" x14ac:dyDescent="0.2">
      <c r="A77" s="588"/>
      <c r="B77" s="592" t="s">
        <v>731</v>
      </c>
      <c r="C77" s="593">
        <f>SUM(C69+C76)</f>
        <v>339377632</v>
      </c>
      <c r="D77" s="593">
        <f>SUM(D69+D76)</f>
        <v>351590037</v>
      </c>
      <c r="E77" s="593">
        <f t="shared" si="7"/>
        <v>12212405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799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800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661</v>
      </c>
      <c r="C83" s="599">
        <f t="shared" ref="C83:D89" si="8">IF(C$44=0,0,C14/C$44)</f>
        <v>0.12675541405105614</v>
      </c>
      <c r="D83" s="599">
        <f t="shared" si="8"/>
        <v>0.12818286057420517</v>
      </c>
      <c r="E83" s="599">
        <f t="shared" ref="E83:E91" si="9">D83-C83</f>
        <v>1.427446523149023E-3</v>
      </c>
    </row>
    <row r="84" spans="1:5" s="421" customFormat="1" x14ac:dyDescent="0.2">
      <c r="A84" s="588">
        <v>2</v>
      </c>
      <c r="B84" s="587" t="s">
        <v>640</v>
      </c>
      <c r="C84" s="599">
        <f t="shared" si="8"/>
        <v>0.26806894000693898</v>
      </c>
      <c r="D84" s="599">
        <f t="shared" si="8"/>
        <v>0.28434092225702567</v>
      </c>
      <c r="E84" s="599">
        <f t="shared" si="9"/>
        <v>1.6271982250086692E-2</v>
      </c>
    </row>
    <row r="85" spans="1:5" s="421" customFormat="1" x14ac:dyDescent="0.2">
      <c r="A85" s="588">
        <v>3</v>
      </c>
      <c r="B85" s="587" t="s">
        <v>782</v>
      </c>
      <c r="C85" s="599">
        <f t="shared" si="8"/>
        <v>5.6846738274368959E-2</v>
      </c>
      <c r="D85" s="599">
        <f t="shared" si="8"/>
        <v>5.8603036846670453E-2</v>
      </c>
      <c r="E85" s="599">
        <f t="shared" si="9"/>
        <v>1.7562985723014943E-3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5.6846738274368959E-2</v>
      </c>
      <c r="D86" s="599">
        <f t="shared" si="8"/>
        <v>5.8603036846670453E-2</v>
      </c>
      <c r="E86" s="599">
        <f t="shared" si="9"/>
        <v>1.7562985723014943E-3</v>
      </c>
    </row>
    <row r="87" spans="1:5" s="421" customFormat="1" x14ac:dyDescent="0.2">
      <c r="A87" s="588">
        <v>5</v>
      </c>
      <c r="B87" s="587" t="s">
        <v>748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1.1971171567746175E-3</v>
      </c>
      <c r="D88" s="599">
        <f t="shared" si="8"/>
        <v>1.3720785289743976E-3</v>
      </c>
      <c r="E88" s="599">
        <f t="shared" si="9"/>
        <v>1.7496137219978006E-4</v>
      </c>
    </row>
    <row r="89" spans="1:5" s="421" customFormat="1" x14ac:dyDescent="0.2">
      <c r="A89" s="588">
        <v>7</v>
      </c>
      <c r="B89" s="587" t="s">
        <v>763</v>
      </c>
      <c r="C89" s="599">
        <f t="shared" si="8"/>
        <v>5.5453776998969058E-3</v>
      </c>
      <c r="D89" s="599">
        <f t="shared" si="8"/>
        <v>4.7859746870823434E-3</v>
      </c>
      <c r="E89" s="599">
        <f t="shared" si="9"/>
        <v>-7.5940301281456242E-4</v>
      </c>
    </row>
    <row r="90" spans="1:5" s="421" customFormat="1" x14ac:dyDescent="0.2">
      <c r="A90" s="588"/>
      <c r="B90" s="592" t="s">
        <v>801</v>
      </c>
      <c r="C90" s="600">
        <f>SUM(C84+C85+C88)</f>
        <v>0.32611279543808258</v>
      </c>
      <c r="D90" s="600">
        <f>SUM(D84+D85+D88)</f>
        <v>0.34431603763267055</v>
      </c>
      <c r="E90" s="601">
        <f t="shared" si="9"/>
        <v>1.8203242194587965E-2</v>
      </c>
    </row>
    <row r="91" spans="1:5" s="421" customFormat="1" x14ac:dyDescent="0.2">
      <c r="A91" s="588"/>
      <c r="B91" s="592" t="s">
        <v>802</v>
      </c>
      <c r="C91" s="600">
        <f>SUM(C83+C90)</f>
        <v>0.45286820948913875</v>
      </c>
      <c r="D91" s="600">
        <f>SUM(D83+D90)</f>
        <v>0.47249889820687574</v>
      </c>
      <c r="E91" s="601">
        <f t="shared" si="9"/>
        <v>1.9630688717736988E-2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803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661</v>
      </c>
      <c r="C95" s="599">
        <f t="shared" ref="C95:D101" si="10">IF(C$44=0,0,C25/C$44)</f>
        <v>0.26213610674532117</v>
      </c>
      <c r="D95" s="599">
        <f t="shared" si="10"/>
        <v>0.24255937797754196</v>
      </c>
      <c r="E95" s="599">
        <f t="shared" ref="E95:E103" si="11">D95-C95</f>
        <v>-1.9576728767779217E-2</v>
      </c>
    </row>
    <row r="96" spans="1:5" s="421" customFormat="1" x14ac:dyDescent="0.2">
      <c r="A96" s="588">
        <v>2</v>
      </c>
      <c r="B96" s="587" t="s">
        <v>640</v>
      </c>
      <c r="C96" s="599">
        <f t="shared" si="10"/>
        <v>0.19691531792934486</v>
      </c>
      <c r="D96" s="599">
        <f t="shared" si="10"/>
        <v>0.19689188915413461</v>
      </c>
      <c r="E96" s="599">
        <f t="shared" si="11"/>
        <v>-2.3428775210249109E-5</v>
      </c>
    </row>
    <row r="97" spans="1:5" s="421" customFormat="1" x14ac:dyDescent="0.2">
      <c r="A97" s="588">
        <v>3</v>
      </c>
      <c r="B97" s="587" t="s">
        <v>782</v>
      </c>
      <c r="C97" s="599">
        <f t="shared" si="10"/>
        <v>8.5733702435149009E-2</v>
      </c>
      <c r="D97" s="599">
        <f t="shared" si="10"/>
        <v>8.5781295182360925E-2</v>
      </c>
      <c r="E97" s="599">
        <f t="shared" si="11"/>
        <v>4.759274721191642E-5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8.5733702435149009E-2</v>
      </c>
      <c r="D98" s="599">
        <f t="shared" si="10"/>
        <v>8.5781295182360925E-2</v>
      </c>
      <c r="E98" s="599">
        <f t="shared" si="11"/>
        <v>4.759274721191642E-5</v>
      </c>
    </row>
    <row r="99" spans="1:5" s="421" customFormat="1" x14ac:dyDescent="0.2">
      <c r="A99" s="588">
        <v>5</v>
      </c>
      <c r="B99" s="587" t="s">
        <v>748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2.3466634010462502E-3</v>
      </c>
      <c r="D100" s="599">
        <f t="shared" si="10"/>
        <v>2.2685394790867802E-3</v>
      </c>
      <c r="E100" s="599">
        <f t="shared" si="11"/>
        <v>-7.8123921959469961E-5</v>
      </c>
    </row>
    <row r="101" spans="1:5" s="421" customFormat="1" x14ac:dyDescent="0.2">
      <c r="A101" s="588">
        <v>7</v>
      </c>
      <c r="B101" s="587" t="s">
        <v>763</v>
      </c>
      <c r="C101" s="599">
        <f t="shared" si="10"/>
        <v>1.2365110619786568E-2</v>
      </c>
      <c r="D101" s="599">
        <f t="shared" si="10"/>
        <v>1.2218156661266938E-2</v>
      </c>
      <c r="E101" s="599">
        <f t="shared" si="11"/>
        <v>-1.4695395851963E-4</v>
      </c>
    </row>
    <row r="102" spans="1:5" s="421" customFormat="1" x14ac:dyDescent="0.2">
      <c r="A102" s="588"/>
      <c r="B102" s="592" t="s">
        <v>804</v>
      </c>
      <c r="C102" s="600">
        <f>SUM(C96+C97+C100)</f>
        <v>0.28499568376554008</v>
      </c>
      <c r="D102" s="600">
        <f>SUM(D96+D97+D100)</f>
        <v>0.2849417238155823</v>
      </c>
      <c r="E102" s="601">
        <f t="shared" si="11"/>
        <v>-5.3959949957771425E-5</v>
      </c>
    </row>
    <row r="103" spans="1:5" s="421" customFormat="1" x14ac:dyDescent="0.2">
      <c r="A103" s="588"/>
      <c r="B103" s="592" t="s">
        <v>805</v>
      </c>
      <c r="C103" s="600">
        <f>SUM(C95+C102)</f>
        <v>0.54713179051086125</v>
      </c>
      <c r="D103" s="600">
        <f>SUM(D95+D102)</f>
        <v>0.52750110179312426</v>
      </c>
      <c r="E103" s="601">
        <f t="shared" si="11"/>
        <v>-1.9630688717736988E-2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806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807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661</v>
      </c>
      <c r="C109" s="599">
        <f t="shared" ref="C109:D115" si="12">IF(C$77=0,0,C47/C$77)</f>
        <v>0.188406918933302</v>
      </c>
      <c r="D109" s="599">
        <f t="shared" si="12"/>
        <v>0.19786234727692242</v>
      </c>
      <c r="E109" s="599">
        <f t="shared" ref="E109:E117" si="13">D109-C109</f>
        <v>9.4554283436204256E-3</v>
      </c>
    </row>
    <row r="110" spans="1:5" s="421" customFormat="1" x14ac:dyDescent="0.2">
      <c r="A110" s="588">
        <v>2</v>
      </c>
      <c r="B110" s="587" t="s">
        <v>640</v>
      </c>
      <c r="C110" s="599">
        <f t="shared" si="12"/>
        <v>0.21376079375791035</v>
      </c>
      <c r="D110" s="599">
        <f t="shared" si="12"/>
        <v>0.20521599706194177</v>
      </c>
      <c r="E110" s="599">
        <f t="shared" si="13"/>
        <v>-8.5447966959685817E-3</v>
      </c>
    </row>
    <row r="111" spans="1:5" s="421" customFormat="1" x14ac:dyDescent="0.2">
      <c r="A111" s="588">
        <v>3</v>
      </c>
      <c r="B111" s="587" t="s">
        <v>782</v>
      </c>
      <c r="C111" s="599">
        <f t="shared" si="12"/>
        <v>3.2672701305193855E-2</v>
      </c>
      <c r="D111" s="599">
        <f t="shared" si="12"/>
        <v>3.0451306559633826E-2</v>
      </c>
      <c r="E111" s="599">
        <f t="shared" si="13"/>
        <v>-2.2213947455600284E-3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3.2672701305193855E-2</v>
      </c>
      <c r="D112" s="599">
        <f t="shared" si="12"/>
        <v>3.0451306559633826E-2</v>
      </c>
      <c r="E112" s="599">
        <f t="shared" si="13"/>
        <v>-2.2213947455600284E-3</v>
      </c>
    </row>
    <row r="113" spans="1:5" s="421" customFormat="1" x14ac:dyDescent="0.2">
      <c r="A113" s="588">
        <v>5</v>
      </c>
      <c r="B113" s="587" t="s">
        <v>748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9.9756132425368564E-4</v>
      </c>
      <c r="D114" s="599">
        <f t="shared" si="12"/>
        <v>1.0743535374979922E-3</v>
      </c>
      <c r="E114" s="599">
        <f t="shared" si="13"/>
        <v>7.679221324430655E-5</v>
      </c>
    </row>
    <row r="115" spans="1:5" s="421" customFormat="1" x14ac:dyDescent="0.2">
      <c r="A115" s="588">
        <v>7</v>
      </c>
      <c r="B115" s="587" t="s">
        <v>763</v>
      </c>
      <c r="C115" s="599">
        <f t="shared" si="12"/>
        <v>1.2159888015247864E-2</v>
      </c>
      <c r="D115" s="599">
        <f t="shared" si="12"/>
        <v>1.0624757834079354E-2</v>
      </c>
      <c r="E115" s="599">
        <f t="shared" si="13"/>
        <v>-1.5351301811685099E-3</v>
      </c>
    </row>
    <row r="116" spans="1:5" s="421" customFormat="1" x14ac:dyDescent="0.2">
      <c r="A116" s="588"/>
      <c r="B116" s="592" t="s">
        <v>801</v>
      </c>
      <c r="C116" s="600">
        <f>SUM(C110+C111+C114)</f>
        <v>0.24743105638735788</v>
      </c>
      <c r="D116" s="600">
        <f>SUM(D110+D111+D114)</f>
        <v>0.23674165715907358</v>
      </c>
      <c r="E116" s="601">
        <f t="shared" si="13"/>
        <v>-1.0689399228284296E-2</v>
      </c>
    </row>
    <row r="117" spans="1:5" s="421" customFormat="1" x14ac:dyDescent="0.2">
      <c r="A117" s="588"/>
      <c r="B117" s="592" t="s">
        <v>802</v>
      </c>
      <c r="C117" s="600">
        <f>SUM(C109+C116)</f>
        <v>0.43583797532065988</v>
      </c>
      <c r="D117" s="600">
        <f>SUM(D109+D116)</f>
        <v>0.43460400443599601</v>
      </c>
      <c r="E117" s="601">
        <f t="shared" si="13"/>
        <v>-1.2339708846638708E-3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808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661</v>
      </c>
      <c r="C121" s="599">
        <f t="shared" ref="C121:D127" si="14">IF(C$77=0,0,C58/C$77)</f>
        <v>0.36569827324388898</v>
      </c>
      <c r="D121" s="599">
        <f t="shared" si="14"/>
        <v>0.35560303149318195</v>
      </c>
      <c r="E121" s="599">
        <f t="shared" ref="E121:E129" si="15">D121-C121</f>
        <v>-1.0095241750707029E-2</v>
      </c>
    </row>
    <row r="122" spans="1:5" s="421" customFormat="1" x14ac:dyDescent="0.2">
      <c r="A122" s="588">
        <v>2</v>
      </c>
      <c r="B122" s="587" t="s">
        <v>640</v>
      </c>
      <c r="C122" s="599">
        <f t="shared" si="14"/>
        <v>0.13707290821099252</v>
      </c>
      <c r="D122" s="599">
        <f t="shared" si="14"/>
        <v>0.15487834770471609</v>
      </c>
      <c r="E122" s="599">
        <f t="shared" si="15"/>
        <v>1.7805439493723568E-2</v>
      </c>
    </row>
    <row r="123" spans="1:5" s="421" customFormat="1" x14ac:dyDescent="0.2">
      <c r="A123" s="588">
        <v>3</v>
      </c>
      <c r="B123" s="587" t="s">
        <v>782</v>
      </c>
      <c r="C123" s="599">
        <f t="shared" si="14"/>
        <v>5.8914934617729904E-2</v>
      </c>
      <c r="D123" s="599">
        <f t="shared" si="14"/>
        <v>5.3852481604875511E-2</v>
      </c>
      <c r="E123" s="599">
        <f t="shared" si="15"/>
        <v>-5.0624530128543926E-3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5.8914934617729904E-2</v>
      </c>
      <c r="D124" s="599">
        <f t="shared" si="14"/>
        <v>5.3852481604875511E-2</v>
      </c>
      <c r="E124" s="599">
        <f t="shared" si="15"/>
        <v>-5.0624530128543926E-3</v>
      </c>
    </row>
    <row r="125" spans="1:5" s="421" customFormat="1" x14ac:dyDescent="0.2">
      <c r="A125" s="588">
        <v>5</v>
      </c>
      <c r="B125" s="587" t="s">
        <v>748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2.475908606728684E-3</v>
      </c>
      <c r="D126" s="599">
        <f t="shared" si="14"/>
        <v>1.0621347612304497E-3</v>
      </c>
      <c r="E126" s="599">
        <f t="shared" si="15"/>
        <v>-1.4137738454982343E-3</v>
      </c>
    </row>
    <row r="127" spans="1:5" s="421" customFormat="1" x14ac:dyDescent="0.2">
      <c r="A127" s="588">
        <v>7</v>
      </c>
      <c r="B127" s="587" t="s">
        <v>763</v>
      </c>
      <c r="C127" s="599">
        <f t="shared" si="14"/>
        <v>1.0762916160603065E-2</v>
      </c>
      <c r="D127" s="599">
        <f t="shared" si="14"/>
        <v>1.2940107856355441E-2</v>
      </c>
      <c r="E127" s="599">
        <f t="shared" si="15"/>
        <v>2.177191695752376E-3</v>
      </c>
    </row>
    <row r="128" spans="1:5" s="421" customFormat="1" x14ac:dyDescent="0.2">
      <c r="A128" s="588"/>
      <c r="B128" s="592" t="s">
        <v>804</v>
      </c>
      <c r="C128" s="600">
        <f>SUM(C122+C123+C126)</f>
        <v>0.19846375143545111</v>
      </c>
      <c r="D128" s="600">
        <f>SUM(D122+D123+D126)</f>
        <v>0.20979296407082207</v>
      </c>
      <c r="E128" s="601">
        <f t="shared" si="15"/>
        <v>1.1329212635370955E-2</v>
      </c>
    </row>
    <row r="129" spans="1:5" s="421" customFormat="1" x14ac:dyDescent="0.2">
      <c r="A129" s="588"/>
      <c r="B129" s="592" t="s">
        <v>805</v>
      </c>
      <c r="C129" s="600">
        <f>SUM(C121+C128)</f>
        <v>0.56416202467934007</v>
      </c>
      <c r="D129" s="600">
        <f>SUM(D121+D128)</f>
        <v>0.56539599556400399</v>
      </c>
      <c r="E129" s="601">
        <f t="shared" si="15"/>
        <v>1.2339708846639263E-3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809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810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811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661</v>
      </c>
      <c r="C137" s="606">
        <v>4421</v>
      </c>
      <c r="D137" s="606">
        <v>4525</v>
      </c>
      <c r="E137" s="607">
        <f t="shared" ref="E137:E145" si="16">D137-C137</f>
        <v>104</v>
      </c>
    </row>
    <row r="138" spans="1:5" s="421" customFormat="1" x14ac:dyDescent="0.2">
      <c r="A138" s="588">
        <v>2</v>
      </c>
      <c r="B138" s="587" t="s">
        <v>640</v>
      </c>
      <c r="C138" s="606">
        <v>7537</v>
      </c>
      <c r="D138" s="606">
        <v>8270</v>
      </c>
      <c r="E138" s="607">
        <f t="shared" si="16"/>
        <v>733</v>
      </c>
    </row>
    <row r="139" spans="1:5" s="421" customFormat="1" x14ac:dyDescent="0.2">
      <c r="A139" s="588">
        <v>3</v>
      </c>
      <c r="B139" s="587" t="s">
        <v>782</v>
      </c>
      <c r="C139" s="606">
        <f>C140+C141</f>
        <v>2138</v>
      </c>
      <c r="D139" s="606">
        <f>D140+D141</f>
        <v>2323</v>
      </c>
      <c r="E139" s="607">
        <f t="shared" si="16"/>
        <v>185</v>
      </c>
    </row>
    <row r="140" spans="1:5" s="421" customFormat="1" x14ac:dyDescent="0.2">
      <c r="A140" s="588">
        <v>4</v>
      </c>
      <c r="B140" s="587" t="s">
        <v>115</v>
      </c>
      <c r="C140" s="606">
        <v>2138</v>
      </c>
      <c r="D140" s="606">
        <v>2323</v>
      </c>
      <c r="E140" s="607">
        <f t="shared" si="16"/>
        <v>185</v>
      </c>
    </row>
    <row r="141" spans="1:5" s="421" customFormat="1" x14ac:dyDescent="0.2">
      <c r="A141" s="588">
        <v>5</v>
      </c>
      <c r="B141" s="587" t="s">
        <v>748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62</v>
      </c>
      <c r="D142" s="606">
        <v>44</v>
      </c>
      <c r="E142" s="607">
        <f t="shared" si="16"/>
        <v>-18</v>
      </c>
    </row>
    <row r="143" spans="1:5" s="421" customFormat="1" x14ac:dyDescent="0.2">
      <c r="A143" s="588">
        <v>7</v>
      </c>
      <c r="B143" s="587" t="s">
        <v>763</v>
      </c>
      <c r="C143" s="606">
        <v>182</v>
      </c>
      <c r="D143" s="606">
        <v>168</v>
      </c>
      <c r="E143" s="607">
        <f t="shared" si="16"/>
        <v>-14</v>
      </c>
    </row>
    <row r="144" spans="1:5" s="421" customFormat="1" x14ac:dyDescent="0.2">
      <c r="A144" s="588"/>
      <c r="B144" s="592" t="s">
        <v>812</v>
      </c>
      <c r="C144" s="608">
        <f>SUM(C138+C139+C142)</f>
        <v>9737</v>
      </c>
      <c r="D144" s="608">
        <f>SUM(D138+D139+D142)</f>
        <v>10637</v>
      </c>
      <c r="E144" s="609">
        <f t="shared" si="16"/>
        <v>900</v>
      </c>
    </row>
    <row r="145" spans="1:5" s="421" customFormat="1" x14ac:dyDescent="0.2">
      <c r="A145" s="588"/>
      <c r="B145" s="592" t="s">
        <v>138</v>
      </c>
      <c r="C145" s="608">
        <f>SUM(C137+C144)</f>
        <v>14158</v>
      </c>
      <c r="D145" s="608">
        <f>SUM(D137+D144)</f>
        <v>15162</v>
      </c>
      <c r="E145" s="609">
        <f t="shared" si="16"/>
        <v>1004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661</v>
      </c>
      <c r="C149" s="610">
        <v>15364</v>
      </c>
      <c r="D149" s="610">
        <v>15119</v>
      </c>
      <c r="E149" s="607">
        <f t="shared" ref="E149:E157" si="17">D149-C149</f>
        <v>-245</v>
      </c>
    </row>
    <row r="150" spans="1:5" s="421" customFormat="1" x14ac:dyDescent="0.2">
      <c r="A150" s="588">
        <v>2</v>
      </c>
      <c r="B150" s="587" t="s">
        <v>640</v>
      </c>
      <c r="C150" s="610">
        <v>34849</v>
      </c>
      <c r="D150" s="610">
        <v>38079</v>
      </c>
      <c r="E150" s="607">
        <f t="shared" si="17"/>
        <v>3230</v>
      </c>
    </row>
    <row r="151" spans="1:5" s="421" customFormat="1" x14ac:dyDescent="0.2">
      <c r="A151" s="588">
        <v>3</v>
      </c>
      <c r="B151" s="587" t="s">
        <v>782</v>
      </c>
      <c r="C151" s="610">
        <f>C152+C153</f>
        <v>9097</v>
      </c>
      <c r="D151" s="610">
        <f>D152+D153</f>
        <v>9219</v>
      </c>
      <c r="E151" s="607">
        <f t="shared" si="17"/>
        <v>122</v>
      </c>
    </row>
    <row r="152" spans="1:5" s="421" customFormat="1" x14ac:dyDescent="0.2">
      <c r="A152" s="588">
        <v>4</v>
      </c>
      <c r="B152" s="587" t="s">
        <v>115</v>
      </c>
      <c r="C152" s="610">
        <v>9097</v>
      </c>
      <c r="D152" s="610">
        <v>9219</v>
      </c>
      <c r="E152" s="607">
        <f t="shared" si="17"/>
        <v>122</v>
      </c>
    </row>
    <row r="153" spans="1:5" s="421" customFormat="1" x14ac:dyDescent="0.2">
      <c r="A153" s="588">
        <v>5</v>
      </c>
      <c r="B153" s="587" t="s">
        <v>748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163</v>
      </c>
      <c r="D154" s="610">
        <v>129</v>
      </c>
      <c r="E154" s="607">
        <f t="shared" si="17"/>
        <v>-34</v>
      </c>
    </row>
    <row r="155" spans="1:5" s="421" customFormat="1" x14ac:dyDescent="0.2">
      <c r="A155" s="588">
        <v>7</v>
      </c>
      <c r="B155" s="587" t="s">
        <v>763</v>
      </c>
      <c r="C155" s="610">
        <v>759</v>
      </c>
      <c r="D155" s="610">
        <v>630</v>
      </c>
      <c r="E155" s="607">
        <f t="shared" si="17"/>
        <v>-129</v>
      </c>
    </row>
    <row r="156" spans="1:5" s="421" customFormat="1" x14ac:dyDescent="0.2">
      <c r="A156" s="588"/>
      <c r="B156" s="592" t="s">
        <v>813</v>
      </c>
      <c r="C156" s="608">
        <f>SUM(C150+C151+C154)</f>
        <v>44109</v>
      </c>
      <c r="D156" s="608">
        <f>SUM(D150+D151+D154)</f>
        <v>47427</v>
      </c>
      <c r="E156" s="609">
        <f t="shared" si="17"/>
        <v>3318</v>
      </c>
    </row>
    <row r="157" spans="1:5" s="421" customFormat="1" x14ac:dyDescent="0.2">
      <c r="A157" s="588"/>
      <c r="B157" s="592" t="s">
        <v>140</v>
      </c>
      <c r="C157" s="608">
        <f>SUM(C149+C156)</f>
        <v>59473</v>
      </c>
      <c r="D157" s="608">
        <f>SUM(D149+D156)</f>
        <v>62546</v>
      </c>
      <c r="E157" s="609">
        <f t="shared" si="17"/>
        <v>3073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814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661</v>
      </c>
      <c r="C161" s="612">
        <f t="shared" ref="C161:D169" si="18">IF(C137=0,0,C149/C137)</f>
        <v>3.4752318479981903</v>
      </c>
      <c r="D161" s="612">
        <f t="shared" si="18"/>
        <v>3.3412154696132599</v>
      </c>
      <c r="E161" s="613">
        <f t="shared" ref="E161:E169" si="19">D161-C161</f>
        <v>-0.13401637838493041</v>
      </c>
    </row>
    <row r="162" spans="1:5" s="421" customFormat="1" x14ac:dyDescent="0.2">
      <c r="A162" s="588">
        <v>2</v>
      </c>
      <c r="B162" s="587" t="s">
        <v>640</v>
      </c>
      <c r="C162" s="612">
        <f t="shared" si="18"/>
        <v>4.6237229666976249</v>
      </c>
      <c r="D162" s="612">
        <f t="shared" si="18"/>
        <v>4.6044740024183799</v>
      </c>
      <c r="E162" s="613">
        <f t="shared" si="19"/>
        <v>-1.9248964279245051E-2</v>
      </c>
    </row>
    <row r="163" spans="1:5" s="421" customFormat="1" x14ac:dyDescent="0.2">
      <c r="A163" s="588">
        <v>3</v>
      </c>
      <c r="B163" s="587" t="s">
        <v>782</v>
      </c>
      <c r="C163" s="612">
        <f t="shared" si="18"/>
        <v>4.2549111318989707</v>
      </c>
      <c r="D163" s="612">
        <f t="shared" si="18"/>
        <v>3.9685751183814033</v>
      </c>
      <c r="E163" s="613">
        <f t="shared" si="19"/>
        <v>-0.28633601351756743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4.2549111318989707</v>
      </c>
      <c r="D164" s="612">
        <f t="shared" si="18"/>
        <v>3.9685751183814033</v>
      </c>
      <c r="E164" s="613">
        <f t="shared" si="19"/>
        <v>-0.28633601351756743</v>
      </c>
    </row>
    <row r="165" spans="1:5" s="421" customFormat="1" x14ac:dyDescent="0.2">
      <c r="A165" s="588">
        <v>5</v>
      </c>
      <c r="B165" s="587" t="s">
        <v>748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2.629032258064516</v>
      </c>
      <c r="D166" s="612">
        <f t="shared" si="18"/>
        <v>2.9318181818181817</v>
      </c>
      <c r="E166" s="613">
        <f t="shared" si="19"/>
        <v>0.30278592375366564</v>
      </c>
    </row>
    <row r="167" spans="1:5" s="421" customFormat="1" x14ac:dyDescent="0.2">
      <c r="A167" s="588">
        <v>7</v>
      </c>
      <c r="B167" s="587" t="s">
        <v>763</v>
      </c>
      <c r="C167" s="612">
        <f t="shared" si="18"/>
        <v>4.1703296703296706</v>
      </c>
      <c r="D167" s="612">
        <f t="shared" si="18"/>
        <v>3.75</v>
      </c>
      <c r="E167" s="613">
        <f t="shared" si="19"/>
        <v>-0.42032967032967061</v>
      </c>
    </row>
    <row r="168" spans="1:5" s="421" customFormat="1" x14ac:dyDescent="0.2">
      <c r="A168" s="588"/>
      <c r="B168" s="592" t="s">
        <v>815</v>
      </c>
      <c r="C168" s="614">
        <f t="shared" si="18"/>
        <v>4.5300400534045391</v>
      </c>
      <c r="D168" s="614">
        <f t="shared" si="18"/>
        <v>4.4586819591990219</v>
      </c>
      <c r="E168" s="615">
        <f t="shared" si="19"/>
        <v>-7.1358094205517197E-2</v>
      </c>
    </row>
    <row r="169" spans="1:5" s="421" customFormat="1" x14ac:dyDescent="0.2">
      <c r="A169" s="588"/>
      <c r="B169" s="592" t="s">
        <v>749</v>
      </c>
      <c r="C169" s="614">
        <f t="shared" si="18"/>
        <v>4.2006639355841218</v>
      </c>
      <c r="D169" s="614">
        <f t="shared" si="18"/>
        <v>4.1251813744888537</v>
      </c>
      <c r="E169" s="615">
        <f t="shared" si="19"/>
        <v>-7.5482561095268075E-2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816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661</v>
      </c>
      <c r="C173" s="617">
        <f t="shared" ref="C173:D181" si="20">IF(C137=0,0,C203/C137)</f>
        <v>1.1101000000000001</v>
      </c>
      <c r="D173" s="617">
        <f t="shared" si="20"/>
        <v>1.1292</v>
      </c>
      <c r="E173" s="618">
        <f t="shared" ref="E173:E181" si="21">D173-C173</f>
        <v>1.9099999999999895E-2</v>
      </c>
    </row>
    <row r="174" spans="1:5" s="421" customFormat="1" x14ac:dyDescent="0.2">
      <c r="A174" s="588">
        <v>2</v>
      </c>
      <c r="B174" s="587" t="s">
        <v>640</v>
      </c>
      <c r="C174" s="617">
        <f t="shared" si="20"/>
        <v>1.38656</v>
      </c>
      <c r="D174" s="617">
        <f t="shared" si="20"/>
        <v>1.3407</v>
      </c>
      <c r="E174" s="618">
        <f t="shared" si="21"/>
        <v>-4.5860000000000012E-2</v>
      </c>
    </row>
    <row r="175" spans="1:5" s="421" customFormat="1" x14ac:dyDescent="0.2">
      <c r="A175" s="588">
        <v>3</v>
      </c>
      <c r="B175" s="587" t="s">
        <v>782</v>
      </c>
      <c r="C175" s="617">
        <f t="shared" si="20"/>
        <v>0.95591000000000004</v>
      </c>
      <c r="D175" s="617">
        <f t="shared" si="20"/>
        <v>0.98280000000000012</v>
      </c>
      <c r="E175" s="618">
        <f t="shared" si="21"/>
        <v>2.6890000000000081E-2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0.95591000000000004</v>
      </c>
      <c r="D176" s="617">
        <f t="shared" si="20"/>
        <v>0.98280000000000012</v>
      </c>
      <c r="E176" s="618">
        <f t="shared" si="21"/>
        <v>2.6890000000000081E-2</v>
      </c>
    </row>
    <row r="177" spans="1:5" s="421" customFormat="1" x14ac:dyDescent="0.2">
      <c r="A177" s="588">
        <v>5</v>
      </c>
      <c r="B177" s="587" t="s">
        <v>748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0.79674999999999996</v>
      </c>
      <c r="D178" s="617">
        <f t="shared" si="20"/>
        <v>1.2712000000000001</v>
      </c>
      <c r="E178" s="618">
        <f t="shared" si="21"/>
        <v>0.47445000000000015</v>
      </c>
    </row>
    <row r="179" spans="1:5" s="421" customFormat="1" x14ac:dyDescent="0.2">
      <c r="A179" s="588">
        <v>7</v>
      </c>
      <c r="B179" s="587" t="s">
        <v>763</v>
      </c>
      <c r="C179" s="617">
        <f t="shared" si="20"/>
        <v>1.03321</v>
      </c>
      <c r="D179" s="617">
        <f t="shared" si="20"/>
        <v>1.1074999999999999</v>
      </c>
      <c r="E179" s="618">
        <f t="shared" si="21"/>
        <v>7.4289999999999967E-2</v>
      </c>
    </row>
    <row r="180" spans="1:5" s="421" customFormat="1" x14ac:dyDescent="0.2">
      <c r="A180" s="588"/>
      <c r="B180" s="592" t="s">
        <v>817</v>
      </c>
      <c r="C180" s="619">
        <f t="shared" si="20"/>
        <v>1.2882445106295575</v>
      </c>
      <c r="D180" s="619">
        <f t="shared" si="20"/>
        <v>1.2622512174485288</v>
      </c>
      <c r="E180" s="620">
        <f t="shared" si="21"/>
        <v>-2.599329318102872E-2</v>
      </c>
    </row>
    <row r="181" spans="1:5" s="421" customFormat="1" x14ac:dyDescent="0.2">
      <c r="A181" s="588"/>
      <c r="B181" s="592" t="s">
        <v>728</v>
      </c>
      <c r="C181" s="619">
        <f t="shared" si="20"/>
        <v>1.2326168173470831</v>
      </c>
      <c r="D181" s="619">
        <f t="shared" si="20"/>
        <v>1.2225429494789608</v>
      </c>
      <c r="E181" s="620">
        <f t="shared" si="21"/>
        <v>-1.0073867868122255E-2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818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819</v>
      </c>
      <c r="C185" s="589">
        <v>396628859</v>
      </c>
      <c r="D185" s="589">
        <v>414396424</v>
      </c>
      <c r="E185" s="590">
        <f>D185-C185</f>
        <v>17767565</v>
      </c>
    </row>
    <row r="186" spans="1:5" s="421" customFormat="1" ht="25.5" x14ac:dyDescent="0.2">
      <c r="A186" s="588">
        <v>2</v>
      </c>
      <c r="B186" s="587" t="s">
        <v>820</v>
      </c>
      <c r="C186" s="589">
        <v>187614053</v>
      </c>
      <c r="D186" s="589">
        <v>195897906</v>
      </c>
      <c r="E186" s="590">
        <f>D186-C186</f>
        <v>8283853</v>
      </c>
    </row>
    <row r="187" spans="1:5" s="421" customFormat="1" x14ac:dyDescent="0.2">
      <c r="A187" s="588"/>
      <c r="B187" s="587" t="s">
        <v>673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752</v>
      </c>
      <c r="C188" s="622">
        <f>+C185-C186</f>
        <v>209014806</v>
      </c>
      <c r="D188" s="622">
        <f>+D185-D186</f>
        <v>218498518</v>
      </c>
      <c r="E188" s="590">
        <f t="shared" ref="E188:E197" si="22">D188-C188</f>
        <v>9483712</v>
      </c>
    </row>
    <row r="189" spans="1:5" s="421" customFormat="1" x14ac:dyDescent="0.2">
      <c r="A189" s="588">
        <v>4</v>
      </c>
      <c r="B189" s="587" t="s">
        <v>675</v>
      </c>
      <c r="C189" s="623">
        <f>IF(C185=0,0,+C188/C185)</f>
        <v>0.5269783104713518</v>
      </c>
      <c r="D189" s="623">
        <f>IF(D185=0,0,+D188/D185)</f>
        <v>0.52726931350160489</v>
      </c>
      <c r="E189" s="599">
        <f t="shared" si="22"/>
        <v>2.9100303025308971E-4</v>
      </c>
    </row>
    <row r="190" spans="1:5" s="421" customFormat="1" x14ac:dyDescent="0.2">
      <c r="A190" s="588">
        <v>5</v>
      </c>
      <c r="B190" s="587" t="s">
        <v>767</v>
      </c>
      <c r="C190" s="589">
        <v>23313424</v>
      </c>
      <c r="D190" s="589">
        <v>23800791</v>
      </c>
      <c r="E190" s="622">
        <f t="shared" si="22"/>
        <v>487367</v>
      </c>
    </row>
    <row r="191" spans="1:5" s="421" customFormat="1" x14ac:dyDescent="0.2">
      <c r="A191" s="588">
        <v>6</v>
      </c>
      <c r="B191" s="587" t="s">
        <v>753</v>
      </c>
      <c r="C191" s="589">
        <v>16845972</v>
      </c>
      <c r="D191" s="589">
        <v>17342392</v>
      </c>
      <c r="E191" s="622">
        <f t="shared" si="22"/>
        <v>496420</v>
      </c>
    </row>
    <row r="192" spans="1:5" ht="29.25" x14ac:dyDescent="0.2">
      <c r="A192" s="588">
        <v>7</v>
      </c>
      <c r="B192" s="624" t="s">
        <v>821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822</v>
      </c>
      <c r="C193" s="589">
        <v>7509399</v>
      </c>
      <c r="D193" s="589">
        <v>8529846</v>
      </c>
      <c r="E193" s="622">
        <f t="shared" si="22"/>
        <v>1020447</v>
      </c>
    </row>
    <row r="194" spans="1:5" s="421" customFormat="1" x14ac:dyDescent="0.2">
      <c r="A194" s="588">
        <v>9</v>
      </c>
      <c r="B194" s="587" t="s">
        <v>823</v>
      </c>
      <c r="C194" s="589">
        <v>12199395</v>
      </c>
      <c r="D194" s="589">
        <v>11094963</v>
      </c>
      <c r="E194" s="622">
        <f t="shared" si="22"/>
        <v>-1104432</v>
      </c>
    </row>
    <row r="195" spans="1:5" s="421" customFormat="1" x14ac:dyDescent="0.2">
      <c r="A195" s="588">
        <v>10</v>
      </c>
      <c r="B195" s="587" t="s">
        <v>824</v>
      </c>
      <c r="C195" s="589">
        <f>+C193+C194</f>
        <v>19708794</v>
      </c>
      <c r="D195" s="589">
        <f>+D193+D194</f>
        <v>19624809</v>
      </c>
      <c r="E195" s="625">
        <f t="shared" si="22"/>
        <v>-83985</v>
      </c>
    </row>
    <row r="196" spans="1:5" s="421" customFormat="1" x14ac:dyDescent="0.2">
      <c r="A196" s="588">
        <v>11</v>
      </c>
      <c r="B196" s="587" t="s">
        <v>825</v>
      </c>
      <c r="C196" s="589">
        <v>11871399</v>
      </c>
      <c r="D196" s="589">
        <v>12173148</v>
      </c>
      <c r="E196" s="622">
        <f t="shared" si="22"/>
        <v>301749</v>
      </c>
    </row>
    <row r="197" spans="1:5" s="421" customFormat="1" x14ac:dyDescent="0.2">
      <c r="A197" s="588">
        <v>12</v>
      </c>
      <c r="B197" s="587" t="s">
        <v>715</v>
      </c>
      <c r="C197" s="589">
        <v>334537291</v>
      </c>
      <c r="D197" s="589">
        <v>342279038</v>
      </c>
      <c r="E197" s="622">
        <f t="shared" si="22"/>
        <v>7741747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826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827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661</v>
      </c>
      <c r="C203" s="629">
        <v>4907.7521000000006</v>
      </c>
      <c r="D203" s="629">
        <v>5109.63</v>
      </c>
      <c r="E203" s="630">
        <f t="shared" ref="E203:E211" si="23">D203-C203</f>
        <v>201.8778999999995</v>
      </c>
    </row>
    <row r="204" spans="1:5" s="421" customFormat="1" x14ac:dyDescent="0.2">
      <c r="A204" s="588">
        <v>2</v>
      </c>
      <c r="B204" s="587" t="s">
        <v>640</v>
      </c>
      <c r="C204" s="629">
        <v>10450.50272</v>
      </c>
      <c r="D204" s="629">
        <v>11087.589</v>
      </c>
      <c r="E204" s="630">
        <f t="shared" si="23"/>
        <v>637.08627999999953</v>
      </c>
    </row>
    <row r="205" spans="1:5" s="421" customFormat="1" x14ac:dyDescent="0.2">
      <c r="A205" s="588">
        <v>3</v>
      </c>
      <c r="B205" s="587" t="s">
        <v>782</v>
      </c>
      <c r="C205" s="629">
        <f>C206+C207</f>
        <v>2043.73558</v>
      </c>
      <c r="D205" s="629">
        <f>D206+D207</f>
        <v>2283.0444000000002</v>
      </c>
      <c r="E205" s="630">
        <f t="shared" si="23"/>
        <v>239.3088200000002</v>
      </c>
    </row>
    <row r="206" spans="1:5" s="421" customFormat="1" x14ac:dyDescent="0.2">
      <c r="A206" s="588">
        <v>4</v>
      </c>
      <c r="B206" s="587" t="s">
        <v>115</v>
      </c>
      <c r="C206" s="629">
        <v>2043.73558</v>
      </c>
      <c r="D206" s="629">
        <v>2283.0444000000002</v>
      </c>
      <c r="E206" s="630">
        <f t="shared" si="23"/>
        <v>239.3088200000002</v>
      </c>
    </row>
    <row r="207" spans="1:5" s="421" customFormat="1" x14ac:dyDescent="0.2">
      <c r="A207" s="588">
        <v>5</v>
      </c>
      <c r="B207" s="587" t="s">
        <v>748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49.398499999999999</v>
      </c>
      <c r="D208" s="629">
        <v>55.932800000000007</v>
      </c>
      <c r="E208" s="630">
        <f t="shared" si="23"/>
        <v>6.5343000000000089</v>
      </c>
    </row>
    <row r="209" spans="1:5" s="421" customFormat="1" x14ac:dyDescent="0.2">
      <c r="A209" s="588">
        <v>7</v>
      </c>
      <c r="B209" s="587" t="s">
        <v>763</v>
      </c>
      <c r="C209" s="629">
        <v>188.04422</v>
      </c>
      <c r="D209" s="629">
        <v>186.06</v>
      </c>
      <c r="E209" s="630">
        <f t="shared" si="23"/>
        <v>-1.9842199999999934</v>
      </c>
    </row>
    <row r="210" spans="1:5" s="421" customFormat="1" x14ac:dyDescent="0.2">
      <c r="A210" s="588"/>
      <c r="B210" s="592" t="s">
        <v>828</v>
      </c>
      <c r="C210" s="631">
        <f>C204+C205+C208</f>
        <v>12543.6368</v>
      </c>
      <c r="D210" s="631">
        <f>D204+D205+D208</f>
        <v>13426.566200000001</v>
      </c>
      <c r="E210" s="632">
        <f t="shared" si="23"/>
        <v>882.9294000000009</v>
      </c>
    </row>
    <row r="211" spans="1:5" s="421" customFormat="1" x14ac:dyDescent="0.2">
      <c r="A211" s="588"/>
      <c r="B211" s="592" t="s">
        <v>729</v>
      </c>
      <c r="C211" s="631">
        <f>C210+C203</f>
        <v>17451.388900000002</v>
      </c>
      <c r="D211" s="631">
        <f>D210+D203</f>
        <v>18536.196200000002</v>
      </c>
      <c r="E211" s="632">
        <f t="shared" si="23"/>
        <v>1084.8073000000004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829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661</v>
      </c>
      <c r="C215" s="633">
        <f>IF(C14*C137=0,0,C25/C14*C137)</f>
        <v>9142.8341471415733</v>
      </c>
      <c r="D215" s="633">
        <f>IF(D14*D137=0,0,D25/D14*D137)</f>
        <v>8562.620466041064</v>
      </c>
      <c r="E215" s="633">
        <f t="shared" ref="E215:E223" si="24">D215-C215</f>
        <v>-580.21368110050935</v>
      </c>
    </row>
    <row r="216" spans="1:5" s="421" customFormat="1" x14ac:dyDescent="0.2">
      <c r="A216" s="588">
        <v>2</v>
      </c>
      <c r="B216" s="587" t="s">
        <v>640</v>
      </c>
      <c r="C216" s="633">
        <f>IF(C15*C138=0,0,C26/C15*C138)</f>
        <v>5536.4517470582559</v>
      </c>
      <c r="D216" s="633">
        <f>IF(D15*D138=0,0,D26/D15*D138)</f>
        <v>5726.5620100676879</v>
      </c>
      <c r="E216" s="633">
        <f t="shared" si="24"/>
        <v>190.11026300943195</v>
      </c>
    </row>
    <row r="217" spans="1:5" s="421" customFormat="1" x14ac:dyDescent="0.2">
      <c r="A217" s="588">
        <v>3</v>
      </c>
      <c r="B217" s="587" t="s">
        <v>782</v>
      </c>
      <c r="C217" s="633">
        <f>C218+C219</f>
        <v>3224.4357613213183</v>
      </c>
      <c r="D217" s="633">
        <f>D218+D219</f>
        <v>3400.3348534649531</v>
      </c>
      <c r="E217" s="633">
        <f t="shared" si="24"/>
        <v>175.89909214363479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3224.4357613213183</v>
      </c>
      <c r="D218" s="633">
        <f t="shared" si="25"/>
        <v>3400.3348534649531</v>
      </c>
      <c r="E218" s="633">
        <f t="shared" si="24"/>
        <v>175.89909214363479</v>
      </c>
    </row>
    <row r="219" spans="1:5" s="421" customFormat="1" x14ac:dyDescent="0.2">
      <c r="A219" s="588">
        <v>5</v>
      </c>
      <c r="B219" s="587" t="s">
        <v>748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121.53625068482721</v>
      </c>
      <c r="D220" s="633">
        <f t="shared" si="25"/>
        <v>72.747831098580548</v>
      </c>
      <c r="E220" s="633">
        <f t="shared" si="24"/>
        <v>-48.788419586246661</v>
      </c>
    </row>
    <row r="221" spans="1:5" s="421" customFormat="1" x14ac:dyDescent="0.2">
      <c r="A221" s="588">
        <v>7</v>
      </c>
      <c r="B221" s="587" t="s">
        <v>763</v>
      </c>
      <c r="C221" s="633">
        <f t="shared" si="25"/>
        <v>405.82450007742375</v>
      </c>
      <c r="D221" s="633">
        <f t="shared" si="25"/>
        <v>428.88867018730417</v>
      </c>
      <c r="E221" s="633">
        <f t="shared" si="24"/>
        <v>23.064170109880422</v>
      </c>
    </row>
    <row r="222" spans="1:5" s="421" customFormat="1" x14ac:dyDescent="0.2">
      <c r="A222" s="588"/>
      <c r="B222" s="592" t="s">
        <v>830</v>
      </c>
      <c r="C222" s="634">
        <f>C216+C218+C219+C220</f>
        <v>8882.4237590644007</v>
      </c>
      <c r="D222" s="634">
        <f>D216+D218+D219+D220</f>
        <v>9199.6446946312226</v>
      </c>
      <c r="E222" s="634">
        <f t="shared" si="24"/>
        <v>317.22093556682194</v>
      </c>
    </row>
    <row r="223" spans="1:5" s="421" customFormat="1" x14ac:dyDescent="0.2">
      <c r="A223" s="588"/>
      <c r="B223" s="592" t="s">
        <v>831</v>
      </c>
      <c r="C223" s="634">
        <f>C215+C222</f>
        <v>18025.257906205974</v>
      </c>
      <c r="D223" s="634">
        <f>D215+D222</f>
        <v>17762.265160672287</v>
      </c>
      <c r="E223" s="634">
        <f t="shared" si="24"/>
        <v>-262.99274553368741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832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661</v>
      </c>
      <c r="C227" s="636">
        <f t="shared" ref="C227:D235" si="26">IF(C203=0,0,C47/C203)</f>
        <v>13028.590828782895</v>
      </c>
      <c r="D227" s="636">
        <f t="shared" si="26"/>
        <v>13614.768584026631</v>
      </c>
      <c r="E227" s="636">
        <f t="shared" ref="E227:E235" si="27">D227-C227</f>
        <v>586.1777552437361</v>
      </c>
    </row>
    <row r="228" spans="1:5" s="421" customFormat="1" x14ac:dyDescent="0.2">
      <c r="A228" s="588">
        <v>2</v>
      </c>
      <c r="B228" s="587" t="s">
        <v>640</v>
      </c>
      <c r="C228" s="636">
        <f t="shared" si="26"/>
        <v>6941.8317896959506</v>
      </c>
      <c r="D228" s="636">
        <f t="shared" si="26"/>
        <v>6507.4472006493024</v>
      </c>
      <c r="E228" s="636">
        <f t="shared" si="27"/>
        <v>-434.38458904664822</v>
      </c>
    </row>
    <row r="229" spans="1:5" s="421" customFormat="1" x14ac:dyDescent="0.2">
      <c r="A229" s="588">
        <v>3</v>
      </c>
      <c r="B229" s="587" t="s">
        <v>782</v>
      </c>
      <c r="C229" s="636">
        <f t="shared" si="26"/>
        <v>5425.5472716289451</v>
      </c>
      <c r="D229" s="636">
        <f t="shared" si="26"/>
        <v>4689.5172078125152</v>
      </c>
      <c r="E229" s="636">
        <f t="shared" si="27"/>
        <v>-736.0300638164299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5425.5472716289451</v>
      </c>
      <c r="D230" s="636">
        <f t="shared" si="26"/>
        <v>4689.5172078125152</v>
      </c>
      <c r="E230" s="636">
        <f t="shared" si="27"/>
        <v>-736.0300638164299</v>
      </c>
    </row>
    <row r="231" spans="1:5" s="421" customFormat="1" x14ac:dyDescent="0.2">
      <c r="A231" s="588">
        <v>5</v>
      </c>
      <c r="B231" s="587" t="s">
        <v>748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6853.4469670131684</v>
      </c>
      <c r="D232" s="636">
        <f t="shared" si="26"/>
        <v>6753.3182676354472</v>
      </c>
      <c r="E232" s="636">
        <f t="shared" si="27"/>
        <v>-100.1286993777212</v>
      </c>
    </row>
    <row r="233" spans="1:5" s="421" customFormat="1" x14ac:dyDescent="0.2">
      <c r="A233" s="588">
        <v>7</v>
      </c>
      <c r="B233" s="587" t="s">
        <v>763</v>
      </c>
      <c r="C233" s="636">
        <f t="shared" si="26"/>
        <v>21945.869966117545</v>
      </c>
      <c r="D233" s="636">
        <f t="shared" si="26"/>
        <v>20077.174029882834</v>
      </c>
      <c r="E233" s="636">
        <f t="shared" si="27"/>
        <v>-1868.6959362347116</v>
      </c>
    </row>
    <row r="234" spans="1:5" x14ac:dyDescent="0.2">
      <c r="A234" s="588"/>
      <c r="B234" s="592" t="s">
        <v>833</v>
      </c>
      <c r="C234" s="637">
        <f t="shared" si="26"/>
        <v>6694.435380973403</v>
      </c>
      <c r="D234" s="637">
        <f t="shared" si="26"/>
        <v>6199.3518491719788</v>
      </c>
      <c r="E234" s="637">
        <f t="shared" si="27"/>
        <v>-495.08353180142421</v>
      </c>
    </row>
    <row r="235" spans="1:5" s="421" customFormat="1" x14ac:dyDescent="0.2">
      <c r="A235" s="588"/>
      <c r="B235" s="592" t="s">
        <v>834</v>
      </c>
      <c r="C235" s="637">
        <f t="shared" si="26"/>
        <v>8475.7528955188191</v>
      </c>
      <c r="D235" s="637">
        <f t="shared" si="26"/>
        <v>8243.4624855772727</v>
      </c>
      <c r="E235" s="637">
        <f t="shared" si="27"/>
        <v>-232.29040994154639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835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661</v>
      </c>
      <c r="C239" s="636">
        <f t="shared" ref="C239:D247" si="28">IF(C215=0,0,C58/C215)</f>
        <v>13574.545048353726</v>
      </c>
      <c r="D239" s="636">
        <f t="shared" si="28"/>
        <v>14601.427623219895</v>
      </c>
      <c r="E239" s="638">
        <f t="shared" ref="E239:E247" si="29">D239-C239</f>
        <v>1026.8825748661693</v>
      </c>
    </row>
    <row r="240" spans="1:5" s="421" customFormat="1" x14ac:dyDescent="0.2">
      <c r="A240" s="588">
        <v>2</v>
      </c>
      <c r="B240" s="587" t="s">
        <v>640</v>
      </c>
      <c r="C240" s="636">
        <f t="shared" si="28"/>
        <v>8402.3994293308369</v>
      </c>
      <c r="D240" s="636">
        <f t="shared" si="28"/>
        <v>9508.966095934471</v>
      </c>
      <c r="E240" s="638">
        <f t="shared" si="29"/>
        <v>1106.5666666036341</v>
      </c>
    </row>
    <row r="241" spans="1:5" x14ac:dyDescent="0.2">
      <c r="A241" s="588">
        <v>3</v>
      </c>
      <c r="B241" s="587" t="s">
        <v>782</v>
      </c>
      <c r="C241" s="636">
        <f t="shared" si="28"/>
        <v>6200.9022601233755</v>
      </c>
      <c r="D241" s="636">
        <f t="shared" si="28"/>
        <v>5568.2739541684232</v>
      </c>
      <c r="E241" s="638">
        <f t="shared" si="29"/>
        <v>-632.62830595495234</v>
      </c>
    </row>
    <row r="242" spans="1:5" x14ac:dyDescent="0.2">
      <c r="A242" s="588">
        <v>4</v>
      </c>
      <c r="B242" s="587" t="s">
        <v>115</v>
      </c>
      <c r="C242" s="636">
        <f t="shared" si="28"/>
        <v>6200.9022601233755</v>
      </c>
      <c r="D242" s="636">
        <f t="shared" si="28"/>
        <v>5568.2739541684232</v>
      </c>
      <c r="E242" s="638">
        <f t="shared" si="29"/>
        <v>-632.62830595495234</v>
      </c>
    </row>
    <row r="243" spans="1:5" x14ac:dyDescent="0.2">
      <c r="A243" s="588">
        <v>5</v>
      </c>
      <c r="B243" s="587" t="s">
        <v>748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6913.7232329061844</v>
      </c>
      <c r="D244" s="636">
        <f t="shared" si="28"/>
        <v>5133.2939327628483</v>
      </c>
      <c r="E244" s="638">
        <f t="shared" si="29"/>
        <v>-1780.4293001433361</v>
      </c>
    </row>
    <row r="245" spans="1:5" x14ac:dyDescent="0.2">
      <c r="A245" s="588">
        <v>7</v>
      </c>
      <c r="B245" s="587" t="s">
        <v>763</v>
      </c>
      <c r="C245" s="636">
        <f t="shared" si="28"/>
        <v>9000.6714708035961</v>
      </c>
      <c r="D245" s="636">
        <f t="shared" si="28"/>
        <v>10607.911367798766</v>
      </c>
      <c r="E245" s="638">
        <f t="shared" si="29"/>
        <v>1607.2398969951701</v>
      </c>
    </row>
    <row r="246" spans="1:5" ht="25.5" x14ac:dyDescent="0.2">
      <c r="A246" s="588"/>
      <c r="B246" s="592" t="s">
        <v>836</v>
      </c>
      <c r="C246" s="637">
        <f t="shared" si="28"/>
        <v>7582.8579931537197</v>
      </c>
      <c r="D246" s="637">
        <f t="shared" si="28"/>
        <v>8017.8222581841565</v>
      </c>
      <c r="E246" s="639">
        <f t="shared" si="29"/>
        <v>434.96426503043676</v>
      </c>
    </row>
    <row r="247" spans="1:5" x14ac:dyDescent="0.2">
      <c r="A247" s="588"/>
      <c r="B247" s="592" t="s">
        <v>837</v>
      </c>
      <c r="C247" s="637">
        <f t="shared" si="28"/>
        <v>10621.982386952714</v>
      </c>
      <c r="D247" s="637">
        <f t="shared" si="28"/>
        <v>11191.568034922639</v>
      </c>
      <c r="E247" s="639">
        <f t="shared" si="29"/>
        <v>569.58564796992505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765</v>
      </c>
      <c r="B249" s="626" t="s">
        <v>762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7098586.2008401882</v>
      </c>
      <c r="D251" s="622">
        <f>((IF((IF(D15=0,0,D26/D15)*D138)=0,0,D59/(IF(D15=0,0,D26/D15)*D138)))-(IF((IF(D17=0,0,D28/D17)*D140)=0,0,D61/(IF(D17=0,0,D28/D17)*D140))))*(IF(D17=0,0,D28/D17)*D140)</f>
        <v>13399672.836422546</v>
      </c>
      <c r="E251" s="622">
        <f>D251-C251</f>
        <v>6301086.6355823576</v>
      </c>
    </row>
    <row r="252" spans="1:5" x14ac:dyDescent="0.2">
      <c r="A252" s="588">
        <v>2</v>
      </c>
      <c r="B252" s="587" t="s">
        <v>748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763</v>
      </c>
      <c r="C253" s="622">
        <f>IF(C233=0,0,(C228-C233)*C209+IF(C221=0,0,(C240-C245)*C221))</f>
        <v>-3064216.1078764033</v>
      </c>
      <c r="D253" s="622">
        <f>IF(D233=0,0,(D228-D233)*D209+IF(D221=0,0,(D240-D245)*D221))</f>
        <v>-2996108.5501056942</v>
      </c>
      <c r="E253" s="622">
        <f>D253-C253</f>
        <v>68107.557770709042</v>
      </c>
    </row>
    <row r="254" spans="1:5" ht="15" customHeight="1" x14ac:dyDescent="0.2">
      <c r="A254" s="588"/>
      <c r="B254" s="592" t="s">
        <v>764</v>
      </c>
      <c r="C254" s="640">
        <f>+C251+C252+C253</f>
        <v>4034370.0929637849</v>
      </c>
      <c r="D254" s="640">
        <f>+D251+D252+D253</f>
        <v>10403564.286316851</v>
      </c>
      <c r="E254" s="640">
        <f>D254-C254</f>
        <v>6369194.1933530662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838</v>
      </c>
      <c r="B256" s="626" t="s">
        <v>839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730</v>
      </c>
      <c r="C258" s="622">
        <f>+C44</f>
        <v>1119150279</v>
      </c>
      <c r="D258" s="625">
        <f>+D44</f>
        <v>1216521478</v>
      </c>
      <c r="E258" s="622">
        <f t="shared" ref="E258:E271" si="30">D258-C258</f>
        <v>97371199</v>
      </c>
    </row>
    <row r="259" spans="1:5" x14ac:dyDescent="0.2">
      <c r="A259" s="588">
        <v>2</v>
      </c>
      <c r="B259" s="587" t="s">
        <v>747</v>
      </c>
      <c r="C259" s="622">
        <f>+(C43-C76)</f>
        <v>532595501</v>
      </c>
      <c r="D259" s="625">
        <f>+(D43-D76)</f>
        <v>608508458</v>
      </c>
      <c r="E259" s="622">
        <f t="shared" si="30"/>
        <v>75912957</v>
      </c>
    </row>
    <row r="260" spans="1:5" x14ac:dyDescent="0.2">
      <c r="A260" s="588">
        <v>3</v>
      </c>
      <c r="B260" s="587" t="s">
        <v>751</v>
      </c>
      <c r="C260" s="622">
        <f>C195</f>
        <v>19708794</v>
      </c>
      <c r="D260" s="622">
        <f>D195</f>
        <v>19624809</v>
      </c>
      <c r="E260" s="622">
        <f t="shared" si="30"/>
        <v>-83985</v>
      </c>
    </row>
    <row r="261" spans="1:5" x14ac:dyDescent="0.2">
      <c r="A261" s="588">
        <v>4</v>
      </c>
      <c r="B261" s="587" t="s">
        <v>752</v>
      </c>
      <c r="C261" s="622">
        <f>C188</f>
        <v>209014806</v>
      </c>
      <c r="D261" s="622">
        <f>D188</f>
        <v>218498518</v>
      </c>
      <c r="E261" s="622">
        <f t="shared" si="30"/>
        <v>9483712</v>
      </c>
    </row>
    <row r="262" spans="1:5" x14ac:dyDescent="0.2">
      <c r="A262" s="588">
        <v>5</v>
      </c>
      <c r="B262" s="587" t="s">
        <v>753</v>
      </c>
      <c r="C262" s="622">
        <f>C191</f>
        <v>16845972</v>
      </c>
      <c r="D262" s="622">
        <f>D191</f>
        <v>17342392</v>
      </c>
      <c r="E262" s="622">
        <f t="shared" si="30"/>
        <v>496420</v>
      </c>
    </row>
    <row r="263" spans="1:5" x14ac:dyDescent="0.2">
      <c r="A263" s="588">
        <v>6</v>
      </c>
      <c r="B263" s="587" t="s">
        <v>754</v>
      </c>
      <c r="C263" s="622">
        <f>+C259+C260+C261+C262</f>
        <v>778165073</v>
      </c>
      <c r="D263" s="622">
        <f>+D259+D260+D261+D262</f>
        <v>863974177</v>
      </c>
      <c r="E263" s="622">
        <f t="shared" si="30"/>
        <v>85809104</v>
      </c>
    </row>
    <row r="264" spans="1:5" x14ac:dyDescent="0.2">
      <c r="A264" s="588">
        <v>7</v>
      </c>
      <c r="B264" s="587" t="s">
        <v>659</v>
      </c>
      <c r="C264" s="622">
        <f>+C258-C263</f>
        <v>340985206</v>
      </c>
      <c r="D264" s="622">
        <f>+D258-D263</f>
        <v>352547301</v>
      </c>
      <c r="E264" s="622">
        <f t="shared" si="30"/>
        <v>11562095</v>
      </c>
    </row>
    <row r="265" spans="1:5" x14ac:dyDescent="0.2">
      <c r="A265" s="588">
        <v>8</v>
      </c>
      <c r="B265" s="587" t="s">
        <v>840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841</v>
      </c>
      <c r="C266" s="622">
        <f>+C264+C265</f>
        <v>340985206</v>
      </c>
      <c r="D266" s="622">
        <f>+D264+D265</f>
        <v>352547301</v>
      </c>
      <c r="E266" s="641">
        <f t="shared" si="30"/>
        <v>11562095</v>
      </c>
    </row>
    <row r="267" spans="1:5" x14ac:dyDescent="0.2">
      <c r="A267" s="588">
        <v>10</v>
      </c>
      <c r="B267" s="587" t="s">
        <v>842</v>
      </c>
      <c r="C267" s="642">
        <f>IF(C258=0,0,C266/C258)</f>
        <v>0.30468223293897778</v>
      </c>
      <c r="D267" s="642">
        <f>IF(D258=0,0,D266/D258)</f>
        <v>0.28979948761743113</v>
      </c>
      <c r="E267" s="643">
        <f t="shared" si="30"/>
        <v>-1.4882745321546653E-2</v>
      </c>
    </row>
    <row r="268" spans="1:5" x14ac:dyDescent="0.2">
      <c r="A268" s="588">
        <v>11</v>
      </c>
      <c r="B268" s="587" t="s">
        <v>721</v>
      </c>
      <c r="C268" s="622">
        <f>+C260*C267</f>
        <v>6004919.3644543281</v>
      </c>
      <c r="D268" s="644">
        <f>+D260*D267</f>
        <v>5687259.5927899508</v>
      </c>
      <c r="E268" s="622">
        <f t="shared" si="30"/>
        <v>-317659.7716643773</v>
      </c>
    </row>
    <row r="269" spans="1:5" x14ac:dyDescent="0.2">
      <c r="A269" s="588">
        <v>12</v>
      </c>
      <c r="B269" s="587" t="s">
        <v>843</v>
      </c>
      <c r="C269" s="622">
        <f>((C17+C18+C28+C29)*C267)-(C50+C51+C61+C62)</f>
        <v>17535025.946905769</v>
      </c>
      <c r="D269" s="644">
        <f>((D17+D18+D28+D29)*D267)-(D50+D51+D61+D62)</f>
        <v>21261934.563522868</v>
      </c>
      <c r="E269" s="622">
        <f t="shared" si="30"/>
        <v>3726908.6166170985</v>
      </c>
    </row>
    <row r="270" spans="1:5" s="648" customFormat="1" x14ac:dyDescent="0.2">
      <c r="A270" s="645">
        <v>13</v>
      </c>
      <c r="B270" s="646" t="s">
        <v>844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845</v>
      </c>
      <c r="C271" s="622">
        <f>+C268+C269+C270</f>
        <v>23539945.311360098</v>
      </c>
      <c r="D271" s="622">
        <f>+D268+D269+D270</f>
        <v>26949194.15631282</v>
      </c>
      <c r="E271" s="625">
        <f t="shared" si="30"/>
        <v>3409248.8449527211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846</v>
      </c>
      <c r="B273" s="626" t="s">
        <v>847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848</v>
      </c>
      <c r="C275" s="425"/>
      <c r="D275" s="425"/>
      <c r="E275" s="596"/>
    </row>
    <row r="276" spans="1:5" x14ac:dyDescent="0.2">
      <c r="A276" s="588">
        <v>1</v>
      </c>
      <c r="B276" s="587" t="s">
        <v>661</v>
      </c>
      <c r="C276" s="623">
        <f t="shared" ref="C276:D284" si="31">IF(C14=0,0,+C47/C14)</f>
        <v>0.45073900017043056</v>
      </c>
      <c r="D276" s="623">
        <f t="shared" si="31"/>
        <v>0.44611823645445275</v>
      </c>
      <c r="E276" s="650">
        <f t="shared" ref="E276:E284" si="32">D276-C276</f>
        <v>-4.6207637159778048E-3</v>
      </c>
    </row>
    <row r="277" spans="1:5" x14ac:dyDescent="0.2">
      <c r="A277" s="588">
        <v>2</v>
      </c>
      <c r="B277" s="587" t="s">
        <v>640</v>
      </c>
      <c r="C277" s="623">
        <f t="shared" si="31"/>
        <v>0.2418111732081594</v>
      </c>
      <c r="D277" s="623">
        <f t="shared" si="31"/>
        <v>0.20858766542051516</v>
      </c>
      <c r="E277" s="650">
        <f t="shared" si="32"/>
        <v>-3.3223507787644241E-2</v>
      </c>
    </row>
    <row r="278" spans="1:5" x14ac:dyDescent="0.2">
      <c r="A278" s="588">
        <v>3</v>
      </c>
      <c r="B278" s="587" t="s">
        <v>782</v>
      </c>
      <c r="C278" s="623">
        <f t="shared" si="31"/>
        <v>0.17429073413232368</v>
      </c>
      <c r="D278" s="623">
        <f t="shared" si="31"/>
        <v>0.15017671093497878</v>
      </c>
      <c r="E278" s="650">
        <f t="shared" si="32"/>
        <v>-2.4114023197344903E-2</v>
      </c>
    </row>
    <row r="279" spans="1:5" x14ac:dyDescent="0.2">
      <c r="A279" s="588">
        <v>4</v>
      </c>
      <c r="B279" s="587" t="s">
        <v>115</v>
      </c>
      <c r="C279" s="623">
        <f t="shared" si="31"/>
        <v>0.17429073413232368</v>
      </c>
      <c r="D279" s="623">
        <f t="shared" si="31"/>
        <v>0.15017671093497878</v>
      </c>
      <c r="E279" s="650">
        <f t="shared" si="32"/>
        <v>-2.4114023197344903E-2</v>
      </c>
    </row>
    <row r="280" spans="1:5" x14ac:dyDescent="0.2">
      <c r="A280" s="588">
        <v>5</v>
      </c>
      <c r="B280" s="587" t="s">
        <v>748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0.2526956441257126</v>
      </c>
      <c r="D281" s="623">
        <f t="shared" si="31"/>
        <v>0.22630024748931052</v>
      </c>
      <c r="E281" s="650">
        <f t="shared" si="32"/>
        <v>-2.6395396636402085E-2</v>
      </c>
    </row>
    <row r="282" spans="1:5" x14ac:dyDescent="0.2">
      <c r="A282" s="588">
        <v>7</v>
      </c>
      <c r="B282" s="587" t="s">
        <v>763</v>
      </c>
      <c r="C282" s="623">
        <f t="shared" si="31"/>
        <v>0.66495652430322305</v>
      </c>
      <c r="D282" s="623">
        <f t="shared" si="31"/>
        <v>0.64160157575064314</v>
      </c>
      <c r="E282" s="650">
        <f t="shared" si="32"/>
        <v>-2.3354948552579913E-2</v>
      </c>
    </row>
    <row r="283" spans="1:5" ht="29.25" customHeight="1" x14ac:dyDescent="0.2">
      <c r="A283" s="588"/>
      <c r="B283" s="592" t="s">
        <v>849</v>
      </c>
      <c r="C283" s="651">
        <f t="shared" si="31"/>
        <v>0.23008122334127973</v>
      </c>
      <c r="D283" s="651">
        <f t="shared" si="31"/>
        <v>0.1987166286608458</v>
      </c>
      <c r="E283" s="652">
        <f t="shared" si="32"/>
        <v>-3.1364594680433927E-2</v>
      </c>
    </row>
    <row r="284" spans="1:5" x14ac:dyDescent="0.2">
      <c r="A284" s="588"/>
      <c r="B284" s="592" t="s">
        <v>850</v>
      </c>
      <c r="C284" s="651">
        <f t="shared" si="31"/>
        <v>0.29184216676699698</v>
      </c>
      <c r="D284" s="651">
        <f t="shared" si="31"/>
        <v>0.26583349584930061</v>
      </c>
      <c r="E284" s="652">
        <f t="shared" si="32"/>
        <v>-2.6008670917696375E-2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851</v>
      </c>
      <c r="C286" s="596"/>
      <c r="D286" s="596"/>
      <c r="E286" s="596"/>
    </row>
    <row r="287" spans="1:5" x14ac:dyDescent="0.2">
      <c r="A287" s="588">
        <v>1</v>
      </c>
      <c r="B287" s="587" t="s">
        <v>661</v>
      </c>
      <c r="C287" s="623">
        <f t="shared" ref="C287:D295" si="33">IF(C25=0,0,+C58/C25)</f>
        <v>0.42304919447764233</v>
      </c>
      <c r="D287" s="623">
        <f t="shared" si="33"/>
        <v>0.42370556046891533</v>
      </c>
      <c r="E287" s="650">
        <f t="shared" ref="E287:E295" si="34">D287-C287</f>
        <v>6.5636599127300022E-4</v>
      </c>
    </row>
    <row r="288" spans="1:5" x14ac:dyDescent="0.2">
      <c r="A288" s="588">
        <v>2</v>
      </c>
      <c r="B288" s="587" t="s">
        <v>640</v>
      </c>
      <c r="C288" s="623">
        <f t="shared" si="33"/>
        <v>0.2110896471152795</v>
      </c>
      <c r="D288" s="623">
        <f t="shared" si="33"/>
        <v>0.22734199138912684</v>
      </c>
      <c r="E288" s="650">
        <f t="shared" si="34"/>
        <v>1.6252344273847336E-2</v>
      </c>
    </row>
    <row r="289" spans="1:5" x14ac:dyDescent="0.2">
      <c r="A289" s="588">
        <v>3</v>
      </c>
      <c r="B289" s="587" t="s">
        <v>782</v>
      </c>
      <c r="C289" s="623">
        <f t="shared" si="33"/>
        <v>0.20838604324966861</v>
      </c>
      <c r="D289" s="623">
        <f t="shared" si="33"/>
        <v>0.18143868971302016</v>
      </c>
      <c r="E289" s="650">
        <f t="shared" si="34"/>
        <v>-2.6947353536648455E-2</v>
      </c>
    </row>
    <row r="290" spans="1:5" x14ac:dyDescent="0.2">
      <c r="A290" s="588">
        <v>4</v>
      </c>
      <c r="B290" s="587" t="s">
        <v>115</v>
      </c>
      <c r="C290" s="623">
        <f t="shared" si="33"/>
        <v>0.20838604324966861</v>
      </c>
      <c r="D290" s="623">
        <f t="shared" si="33"/>
        <v>0.18143868971302016</v>
      </c>
      <c r="E290" s="650">
        <f t="shared" si="34"/>
        <v>-2.6947353536648455E-2</v>
      </c>
    </row>
    <row r="291" spans="1:5" x14ac:dyDescent="0.2">
      <c r="A291" s="588">
        <v>5</v>
      </c>
      <c r="B291" s="587" t="s">
        <v>748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0.3199474235122145</v>
      </c>
      <c r="D292" s="623">
        <f t="shared" si="33"/>
        <v>0.13531628309611785</v>
      </c>
      <c r="E292" s="650">
        <f t="shared" si="34"/>
        <v>-0.18463114041609666</v>
      </c>
    </row>
    <row r="293" spans="1:5" x14ac:dyDescent="0.2">
      <c r="A293" s="588">
        <v>7</v>
      </c>
      <c r="B293" s="587" t="s">
        <v>763</v>
      </c>
      <c r="C293" s="623">
        <f t="shared" si="33"/>
        <v>0.26395309521313021</v>
      </c>
      <c r="D293" s="623">
        <f t="shared" si="33"/>
        <v>0.30608989043740936</v>
      </c>
      <c r="E293" s="650">
        <f t="shared" si="34"/>
        <v>4.2136795224279155E-2</v>
      </c>
    </row>
    <row r="294" spans="1:5" ht="29.25" customHeight="1" x14ac:dyDescent="0.2">
      <c r="A294" s="588"/>
      <c r="B294" s="592" t="s">
        <v>852</v>
      </c>
      <c r="C294" s="651">
        <f t="shared" si="33"/>
        <v>0.21117267500594969</v>
      </c>
      <c r="D294" s="651">
        <f t="shared" si="33"/>
        <v>0.21279021368611734</v>
      </c>
      <c r="E294" s="652">
        <f t="shared" si="34"/>
        <v>1.6175386801676461E-3</v>
      </c>
    </row>
    <row r="295" spans="1:5" x14ac:dyDescent="0.2">
      <c r="A295" s="588"/>
      <c r="B295" s="592" t="s">
        <v>853</v>
      </c>
      <c r="C295" s="651">
        <f t="shared" si="33"/>
        <v>0.31268475470652812</v>
      </c>
      <c r="D295" s="651">
        <f t="shared" si="33"/>
        <v>0.3097748363677526</v>
      </c>
      <c r="E295" s="652">
        <f t="shared" si="34"/>
        <v>-2.909918338775519E-3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854</v>
      </c>
      <c r="B297" s="579" t="s">
        <v>855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856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659</v>
      </c>
      <c r="C301" s="590">
        <f>+C48+C47+C50+C51+C52+C59+C58+C61+C62+C63</f>
        <v>339377632</v>
      </c>
      <c r="D301" s="590">
        <f>+D48+D47+D50+D51+D52+D59+D58+D61+D62+D63</f>
        <v>351590037</v>
      </c>
      <c r="E301" s="590">
        <f>D301-C301</f>
        <v>12212405</v>
      </c>
    </row>
    <row r="302" spans="1:5" ht="25.5" x14ac:dyDescent="0.2">
      <c r="A302" s="588">
        <v>2</v>
      </c>
      <c r="B302" s="587" t="s">
        <v>857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858</v>
      </c>
      <c r="C303" s="593">
        <f>+C301+C302</f>
        <v>339377632</v>
      </c>
      <c r="D303" s="593">
        <f>+D301+D302</f>
        <v>351590037</v>
      </c>
      <c r="E303" s="593">
        <f>D303-C303</f>
        <v>12212405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859</v>
      </c>
      <c r="C305" s="589">
        <v>8457989</v>
      </c>
      <c r="D305" s="654">
        <v>-4419016</v>
      </c>
      <c r="E305" s="655">
        <f>D305-C305</f>
        <v>-12877005</v>
      </c>
    </row>
    <row r="306" spans="1:5" x14ac:dyDescent="0.2">
      <c r="A306" s="588">
        <v>4</v>
      </c>
      <c r="B306" s="592" t="s">
        <v>860</v>
      </c>
      <c r="C306" s="593">
        <f>+C303+C305+C194+C190-C191</f>
        <v>366502468</v>
      </c>
      <c r="D306" s="593">
        <f>+D303+D305</f>
        <v>347171021</v>
      </c>
      <c r="E306" s="656">
        <f>D306-C306</f>
        <v>-19331447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861</v>
      </c>
      <c r="C308" s="589">
        <v>347835624</v>
      </c>
      <c r="D308" s="589">
        <v>347171019</v>
      </c>
      <c r="E308" s="590">
        <f>D308-C308</f>
        <v>-664605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862</v>
      </c>
      <c r="C310" s="657">
        <f>C306-C308</f>
        <v>18666844</v>
      </c>
      <c r="D310" s="658">
        <f>D306-D308</f>
        <v>2</v>
      </c>
      <c r="E310" s="656">
        <f>D310-C310</f>
        <v>-18666842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863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864</v>
      </c>
      <c r="C314" s="590">
        <f>+C14+C15+C16+C19+C25+C26+C27+C30</f>
        <v>1119150279</v>
      </c>
      <c r="D314" s="590">
        <f>+D14+D15+D16+D19+D25+D26+D27+D30</f>
        <v>1216521478</v>
      </c>
      <c r="E314" s="590">
        <f>D314-C314</f>
        <v>97371199</v>
      </c>
    </row>
    <row r="315" spans="1:5" x14ac:dyDescent="0.2">
      <c r="A315" s="588">
        <v>2</v>
      </c>
      <c r="B315" s="659" t="s">
        <v>865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866</v>
      </c>
      <c r="C316" s="657">
        <f>C314+C315</f>
        <v>1119150279</v>
      </c>
      <c r="D316" s="657">
        <f>D314+D315</f>
        <v>1216521478</v>
      </c>
      <c r="E316" s="593">
        <f>D316-C316</f>
        <v>97371199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867</v>
      </c>
      <c r="C318" s="589">
        <v>1119150279</v>
      </c>
      <c r="D318" s="589">
        <v>1216521478</v>
      </c>
      <c r="E318" s="590">
        <f>D318-C318</f>
        <v>97371199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862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868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869</v>
      </c>
      <c r="C324" s="589">
        <f>+C193+C194</f>
        <v>19708794</v>
      </c>
      <c r="D324" s="589">
        <f>+D193+D194</f>
        <v>19624809</v>
      </c>
      <c r="E324" s="590">
        <f>D324-C324</f>
        <v>-83985</v>
      </c>
    </row>
    <row r="325" spans="1:5" x14ac:dyDescent="0.2">
      <c r="A325" s="588">
        <v>2</v>
      </c>
      <c r="B325" s="587" t="s">
        <v>870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871</v>
      </c>
      <c r="C326" s="657">
        <f>C324+C325</f>
        <v>19708794</v>
      </c>
      <c r="D326" s="657">
        <f>D324+D325</f>
        <v>19624809</v>
      </c>
      <c r="E326" s="593">
        <f>D326-C326</f>
        <v>-83985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872</v>
      </c>
      <c r="C328" s="589">
        <v>19708794</v>
      </c>
      <c r="D328" s="589">
        <v>19624809</v>
      </c>
      <c r="E328" s="590">
        <f>D328-C328</f>
        <v>-83985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873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634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874</v>
      </c>
      <c r="B5" s="824"/>
      <c r="C5" s="825"/>
      <c r="D5" s="661"/>
    </row>
    <row r="6" spans="1:58" s="662" customFormat="1" ht="15.75" customHeight="1" x14ac:dyDescent="0.25">
      <c r="A6" s="823" t="s">
        <v>875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876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877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781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661</v>
      </c>
      <c r="C14" s="589">
        <v>155937203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640</v>
      </c>
      <c r="C15" s="591">
        <v>345906839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782</v>
      </c>
      <c r="C16" s="591">
        <v>71291853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71291853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748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1669163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763</v>
      </c>
      <c r="C20" s="591">
        <v>5822241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783</v>
      </c>
      <c r="C21" s="593">
        <f>SUM(C15+C16+C19)</f>
        <v>418867855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574805058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784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661</v>
      </c>
      <c r="C25" s="589">
        <v>295078693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640</v>
      </c>
      <c r="C26" s="591">
        <v>239523212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782</v>
      </c>
      <c r="C27" s="591">
        <v>104354788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104354788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748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2759727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763</v>
      </c>
      <c r="C31" s="594">
        <v>14863650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785</v>
      </c>
      <c r="C32" s="593">
        <f>SUM(C26+C27+C30)</f>
        <v>346637727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641716420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658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878</v>
      </c>
      <c r="C36" s="590">
        <f>SUM(C14+C25)</f>
        <v>451015896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879</v>
      </c>
      <c r="C37" s="594">
        <f>SUM(C21+C32)</f>
        <v>765505582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658</v>
      </c>
      <c r="C38" s="593">
        <f>SUM(+C36+C37)</f>
        <v>1216521478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794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661</v>
      </c>
      <c r="C41" s="589">
        <v>69566430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640</v>
      </c>
      <c r="C42" s="591">
        <v>72151900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782</v>
      </c>
      <c r="C43" s="591">
        <v>10706376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10706376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748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377732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763</v>
      </c>
      <c r="C47" s="591">
        <v>3735559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795</v>
      </c>
      <c r="C48" s="593">
        <f>SUM(C42+C43+C46)</f>
        <v>83236008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152802438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796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661</v>
      </c>
      <c r="C52" s="589">
        <v>125026483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640</v>
      </c>
      <c r="C53" s="591">
        <v>54453684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782</v>
      </c>
      <c r="C54" s="591">
        <v>18933996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18933996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748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373436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763</v>
      </c>
      <c r="C58" s="591">
        <v>4549613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797</v>
      </c>
      <c r="C59" s="593">
        <f>SUM(C53+C54+C57)</f>
        <v>73761116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198787599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659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880</v>
      </c>
      <c r="C63" s="590">
        <f>SUM(C41+C52)</f>
        <v>194592913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881</v>
      </c>
      <c r="C64" s="594">
        <f>SUM(C48+C59)</f>
        <v>156997124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659</v>
      </c>
      <c r="C65" s="593">
        <f>SUM(+C63+C64)</f>
        <v>351590037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882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883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661</v>
      </c>
      <c r="C70" s="606">
        <v>4525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640</v>
      </c>
      <c r="C71" s="606">
        <v>8270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782</v>
      </c>
      <c r="C72" s="606">
        <v>2323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2323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748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763</v>
      </c>
      <c r="C76" s="621">
        <v>168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812</v>
      </c>
      <c r="C77" s="608">
        <f>SUM(C71+C72+C75)</f>
        <v>10637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15162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816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661</v>
      </c>
      <c r="C81" s="617">
        <v>1.1292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640</v>
      </c>
      <c r="C82" s="617">
        <v>1.3407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782</v>
      </c>
      <c r="C83" s="617">
        <f>((C73*C84)+(C74*C85))/(C73+C74)</f>
        <v>0.98280000000000012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0.98280000000000001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748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1.2712000000000001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763</v>
      </c>
      <c r="C87" s="617">
        <v>1.1074999999999999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817</v>
      </c>
      <c r="C88" s="619">
        <f>((C71*C82)+(C73*C84)+(C74*C85)+(C75*C86))/(C71+C73+C74+C75)</f>
        <v>1.2622512174485288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728</v>
      </c>
      <c r="C89" s="619">
        <f>((C70*C81)+(C71*C82)+(C73*C84)+(C74*C85)+(C75*C86))/(C70+C71+C73+C74+C75)</f>
        <v>1.2225429494789604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818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819</v>
      </c>
      <c r="C92" s="589">
        <v>414396424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820</v>
      </c>
      <c r="C93" s="622">
        <v>195897906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673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752</v>
      </c>
      <c r="C95" s="589">
        <f>+C92-C93</f>
        <v>218498518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675</v>
      </c>
      <c r="C96" s="681">
        <f>(+C92-C93)/C92</f>
        <v>0.52726931350160489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767</v>
      </c>
      <c r="C98" s="589">
        <v>23800791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753</v>
      </c>
      <c r="C99" s="589">
        <v>17342392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884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822</v>
      </c>
      <c r="C103" s="589">
        <v>8529846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823</v>
      </c>
      <c r="C104" s="589">
        <v>11094963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824</v>
      </c>
      <c r="C105" s="654">
        <f>+C103+C104</f>
        <v>19624809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825</v>
      </c>
      <c r="C107" s="589">
        <v>12173148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715</v>
      </c>
      <c r="C108" s="589">
        <v>342279038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855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856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659</v>
      </c>
      <c r="C114" s="590">
        <f>+C65</f>
        <v>351590037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857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858</v>
      </c>
      <c r="C116" s="593">
        <f>+C114+C115</f>
        <v>351590037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859</v>
      </c>
      <c r="C118" s="654">
        <v>-4419016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860</v>
      </c>
      <c r="C119" s="656">
        <f>+C116+C118</f>
        <v>347171021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861</v>
      </c>
      <c r="C121" s="589">
        <v>347171019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862</v>
      </c>
      <c r="C123" s="658">
        <f>C119-C121</f>
        <v>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863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864</v>
      </c>
      <c r="C127" s="590">
        <f>C38</f>
        <v>1216521478</v>
      </c>
      <c r="D127" s="664"/>
      <c r="AR127" s="485"/>
    </row>
    <row r="128" spans="1:58" s="421" customFormat="1" ht="12.75" x14ac:dyDescent="0.2">
      <c r="A128" s="588">
        <v>2</v>
      </c>
      <c r="B128" s="659" t="s">
        <v>865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866</v>
      </c>
      <c r="C129" s="657">
        <f>C127+C128</f>
        <v>1216521478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867</v>
      </c>
      <c r="C131" s="589">
        <v>1216521478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862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868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869</v>
      </c>
      <c r="C137" s="589">
        <f>C105</f>
        <v>19624809</v>
      </c>
      <c r="D137" s="664"/>
      <c r="AR137" s="485"/>
    </row>
    <row r="138" spans="1:44" s="421" customFormat="1" ht="12.75" x14ac:dyDescent="0.2">
      <c r="A138" s="588">
        <v>2</v>
      </c>
      <c r="B138" s="669" t="s">
        <v>885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871</v>
      </c>
      <c r="C139" s="657">
        <f>C137+C138</f>
        <v>19624809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886</v>
      </c>
      <c r="C141" s="589">
        <v>19624809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873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634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887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637</v>
      </c>
      <c r="D8" s="177" t="s">
        <v>637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888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889</v>
      </c>
      <c r="C12" s="185">
        <v>3679</v>
      </c>
      <c r="D12" s="185">
        <v>4478</v>
      </c>
      <c r="E12" s="185">
        <f>+D12-C12</f>
        <v>799</v>
      </c>
      <c r="F12" s="77">
        <f>IF(C12=0,0,+E12/C12)</f>
        <v>0.2171785811361783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890</v>
      </c>
      <c r="C13" s="185">
        <v>2603</v>
      </c>
      <c r="D13" s="185">
        <v>2895</v>
      </c>
      <c r="E13" s="185">
        <f>+D13-C13</f>
        <v>292</v>
      </c>
      <c r="F13" s="77">
        <f>IF(C13=0,0,+E13/C13)</f>
        <v>0.11217825585862466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891</v>
      </c>
      <c r="C15" s="76">
        <v>7509399</v>
      </c>
      <c r="D15" s="76">
        <v>8529846</v>
      </c>
      <c r="E15" s="76">
        <f>+D15-C15</f>
        <v>1020447</v>
      </c>
      <c r="F15" s="77">
        <f>IF(C15=0,0,+E15/C15)</f>
        <v>0.1358893035248227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892</v>
      </c>
      <c r="C16" s="79">
        <f>IF(C13=0,0,+C15/+C13)</f>
        <v>2884.9016519400693</v>
      </c>
      <c r="D16" s="79">
        <f>IF(D13=0,0,+D15/+D13)</f>
        <v>2946.4062176165803</v>
      </c>
      <c r="E16" s="79">
        <f>+D16-C16</f>
        <v>61.504565676510992</v>
      </c>
      <c r="F16" s="80">
        <f>IF(C16=0,0,+E16/C16)</f>
        <v>2.131946703803568E-2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893</v>
      </c>
      <c r="C18" s="704">
        <v>0.31490699999999999</v>
      </c>
      <c r="D18" s="704">
        <v>0.29578300000000002</v>
      </c>
      <c r="E18" s="704">
        <f>+D18-C18</f>
        <v>-1.9123999999999974E-2</v>
      </c>
      <c r="F18" s="77">
        <f>IF(C18=0,0,+E18/C18)</f>
        <v>-6.0729040637394455E-2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894</v>
      </c>
      <c r="C19" s="79">
        <f>+C15*C18</f>
        <v>2364762.3108930001</v>
      </c>
      <c r="D19" s="79">
        <f>+D15*D18</f>
        <v>2522983.4394180002</v>
      </c>
      <c r="E19" s="79">
        <f>+D19-C19</f>
        <v>158221.12852500007</v>
      </c>
      <c r="F19" s="80">
        <f>IF(C19=0,0,+E19/C19)</f>
        <v>6.6907835851481981E-2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895</v>
      </c>
      <c r="C20" s="79">
        <f>IF(C13=0,0,+C19/C13)</f>
        <v>908.47572450749135</v>
      </c>
      <c r="D20" s="79">
        <f>IF(D13=0,0,+D19/D13)</f>
        <v>871.496870265285</v>
      </c>
      <c r="E20" s="79">
        <f>+D20-C20</f>
        <v>-36.978854242206353</v>
      </c>
      <c r="F20" s="80">
        <f>IF(C20=0,0,+E20/C20)</f>
        <v>-4.0704284379479226E-2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896</v>
      </c>
      <c r="C22" s="76">
        <v>1121518</v>
      </c>
      <c r="D22" s="76">
        <v>2148665</v>
      </c>
      <c r="E22" s="76">
        <f>+D22-C22</f>
        <v>1027147</v>
      </c>
      <c r="F22" s="77">
        <f>IF(C22=0,0,+E22/C22)</f>
        <v>0.91585422614706136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897</v>
      </c>
      <c r="C23" s="185">
        <v>2669833</v>
      </c>
      <c r="D23" s="185">
        <v>3180582</v>
      </c>
      <c r="E23" s="185">
        <f>+D23-C23</f>
        <v>510749</v>
      </c>
      <c r="F23" s="77">
        <f>IF(C23=0,0,+E23/C23)</f>
        <v>0.19130372573865106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898</v>
      </c>
      <c r="C24" s="185">
        <v>3718048</v>
      </c>
      <c r="D24" s="185">
        <v>3200599</v>
      </c>
      <c r="E24" s="185">
        <f>+D24-C24</f>
        <v>-517449</v>
      </c>
      <c r="F24" s="77">
        <f>IF(C24=0,0,+E24/C24)</f>
        <v>-0.13917222155281481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899</v>
      </c>
      <c r="C25" s="79">
        <f>+C22+C23+C24</f>
        <v>7509399</v>
      </c>
      <c r="D25" s="79">
        <f>+D22+D23+D24</f>
        <v>8529846</v>
      </c>
      <c r="E25" s="79">
        <f>+E22+E23+E24</f>
        <v>1020447</v>
      </c>
      <c r="F25" s="80">
        <f>IF(C25=0,0,+E25/C25)</f>
        <v>0.1358893035248227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900</v>
      </c>
      <c r="C27" s="185">
        <v>137</v>
      </c>
      <c r="D27" s="185">
        <v>286</v>
      </c>
      <c r="E27" s="185">
        <f>+D27-C27</f>
        <v>149</v>
      </c>
      <c r="F27" s="77">
        <f>IF(C27=0,0,+E27/C27)</f>
        <v>1.0875912408759123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901</v>
      </c>
      <c r="C28" s="185">
        <v>33</v>
      </c>
      <c r="D28" s="185">
        <v>69</v>
      </c>
      <c r="E28" s="185">
        <f>+D28-C28</f>
        <v>36</v>
      </c>
      <c r="F28" s="77">
        <f>IF(C28=0,0,+E28/C28)</f>
        <v>1.0909090909090908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902</v>
      </c>
      <c r="C29" s="185">
        <v>1061</v>
      </c>
      <c r="D29" s="185">
        <v>1299</v>
      </c>
      <c r="E29" s="185">
        <f>+D29-C29</f>
        <v>238</v>
      </c>
      <c r="F29" s="77">
        <f>IF(C29=0,0,+E29/C29)</f>
        <v>0.22431668237511782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903</v>
      </c>
      <c r="C30" s="185">
        <v>1360</v>
      </c>
      <c r="D30" s="185">
        <v>2148</v>
      </c>
      <c r="E30" s="185">
        <f>+D30-C30</f>
        <v>788</v>
      </c>
      <c r="F30" s="77">
        <f>IF(C30=0,0,+E30/C30)</f>
        <v>0.5794117647058824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904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905</v>
      </c>
      <c r="C33" s="76">
        <v>3072553</v>
      </c>
      <c r="D33" s="76">
        <v>2778668</v>
      </c>
      <c r="E33" s="76">
        <f>+D33-C33</f>
        <v>-293885</v>
      </c>
      <c r="F33" s="77">
        <f>IF(C33=0,0,+E33/C33)</f>
        <v>-9.5648472133759779E-2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906</v>
      </c>
      <c r="C34" s="185">
        <v>2534540</v>
      </c>
      <c r="D34" s="185">
        <v>2225289</v>
      </c>
      <c r="E34" s="185">
        <f>+D34-C34</f>
        <v>-309251</v>
      </c>
      <c r="F34" s="77">
        <f>IF(C34=0,0,+E34/C34)</f>
        <v>-0.12201464565562192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907</v>
      </c>
      <c r="C35" s="185">
        <v>6592302</v>
      </c>
      <c r="D35" s="185">
        <v>6091006</v>
      </c>
      <c r="E35" s="185">
        <f>+D35-C35</f>
        <v>-501296</v>
      </c>
      <c r="F35" s="77">
        <f>IF(C35=0,0,+E35/C35)</f>
        <v>-7.6042632755598874E-2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908</v>
      </c>
      <c r="C36" s="79">
        <f>+C33+C34+C35</f>
        <v>12199395</v>
      </c>
      <c r="D36" s="79">
        <f>+D33+D34+D35</f>
        <v>11094963</v>
      </c>
      <c r="E36" s="79">
        <f>+E33+E34+E35</f>
        <v>-1104432</v>
      </c>
      <c r="F36" s="80">
        <f>IF(C36=0,0,+E36/C36)</f>
        <v>-9.0531702596727132E-2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909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910</v>
      </c>
      <c r="C39" s="76">
        <f>+C25</f>
        <v>7509399</v>
      </c>
      <c r="D39" s="76">
        <f>+D25</f>
        <v>8529846</v>
      </c>
      <c r="E39" s="76">
        <f>+D39-C39</f>
        <v>1020447</v>
      </c>
      <c r="F39" s="77">
        <f>IF(C39=0,0,+E39/C39)</f>
        <v>0.1358893035248227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911</v>
      </c>
      <c r="C40" s="185">
        <f>+C36</f>
        <v>12199395</v>
      </c>
      <c r="D40" s="185">
        <f>+D36</f>
        <v>11094963</v>
      </c>
      <c r="E40" s="185">
        <f>+D40-C40</f>
        <v>-1104432</v>
      </c>
      <c r="F40" s="77">
        <f>IF(C40=0,0,+E40/C40)</f>
        <v>-9.0531702596727132E-2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912</v>
      </c>
      <c r="C41" s="79">
        <f>+C39+C40</f>
        <v>19708794</v>
      </c>
      <c r="D41" s="79">
        <f>+D39+D40</f>
        <v>19624809</v>
      </c>
      <c r="E41" s="79">
        <f>+E39+E40</f>
        <v>-83985</v>
      </c>
      <c r="F41" s="80">
        <f>IF(C41=0,0,+E41/C41)</f>
        <v>-4.261295744427589E-3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913</v>
      </c>
      <c r="C43" s="76">
        <f t="shared" ref="C43:D45" si="0">+C22+C33</f>
        <v>4194071</v>
      </c>
      <c r="D43" s="76">
        <f t="shared" si="0"/>
        <v>4927333</v>
      </c>
      <c r="E43" s="76">
        <f>+D43-C43</f>
        <v>733262</v>
      </c>
      <c r="F43" s="77">
        <f>IF(C43=0,0,+E43/C43)</f>
        <v>0.17483299638942687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914</v>
      </c>
      <c r="C44" s="185">
        <f t="shared" si="0"/>
        <v>5204373</v>
      </c>
      <c r="D44" s="185">
        <f t="shared" si="0"/>
        <v>5405871</v>
      </c>
      <c r="E44" s="185">
        <f>+D44-C44</f>
        <v>201498</v>
      </c>
      <c r="F44" s="77">
        <f>IF(C44=0,0,+E44/C44)</f>
        <v>3.8717055829780071E-2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915</v>
      </c>
      <c r="C45" s="185">
        <f t="shared" si="0"/>
        <v>10310350</v>
      </c>
      <c r="D45" s="185">
        <f t="shared" si="0"/>
        <v>9291605</v>
      </c>
      <c r="E45" s="185">
        <f>+D45-C45</f>
        <v>-1018745</v>
      </c>
      <c r="F45" s="77">
        <f>IF(C45=0,0,+E45/C45)</f>
        <v>-9.8807993909033151E-2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912</v>
      </c>
      <c r="C46" s="79">
        <f>+C43+C44+C45</f>
        <v>19708794</v>
      </c>
      <c r="D46" s="79">
        <f>+D43+D44+D45</f>
        <v>19624809</v>
      </c>
      <c r="E46" s="79">
        <f>+E43+E44+E45</f>
        <v>-83985</v>
      </c>
      <c r="F46" s="80">
        <f>IF(C46=0,0,+E46/C46)</f>
        <v>-4.261295744427589E-3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916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634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917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918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919</v>
      </c>
      <c r="D10" s="177" t="s">
        <v>919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920</v>
      </c>
      <c r="D11" s="693" t="s">
        <v>920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921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396628859</v>
      </c>
      <c r="D15" s="76">
        <v>414396424</v>
      </c>
      <c r="E15" s="76">
        <f>+D15-C15</f>
        <v>17767565</v>
      </c>
      <c r="F15" s="77">
        <f>IF(C15=0,0,E15/C15)</f>
        <v>4.4796450376294983E-2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922</v>
      </c>
      <c r="C17" s="76">
        <v>209014806</v>
      </c>
      <c r="D17" s="76">
        <v>218498518</v>
      </c>
      <c r="E17" s="76">
        <f>+D17-C17</f>
        <v>9483712</v>
      </c>
      <c r="F17" s="77">
        <f>IF(C17=0,0,E17/C17)</f>
        <v>4.5373398093147527E-2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923</v>
      </c>
      <c r="C19" s="79">
        <f>+C15-C17</f>
        <v>187614053</v>
      </c>
      <c r="D19" s="79">
        <f>+D15-D17</f>
        <v>195897906</v>
      </c>
      <c r="E19" s="79">
        <f>+D19-C19</f>
        <v>8283853</v>
      </c>
      <c r="F19" s="80">
        <f>IF(C19=0,0,E19/C19)</f>
        <v>4.4153691408180387E-2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924</v>
      </c>
      <c r="C21" s="720">
        <f>IF(C15=0,0,C17/C15)</f>
        <v>0.5269783104713518</v>
      </c>
      <c r="D21" s="720">
        <f>IF(D15=0,0,D17/D15)</f>
        <v>0.52726931350160489</v>
      </c>
      <c r="E21" s="720">
        <f>+D21-C21</f>
        <v>2.9100303025308971E-4</v>
      </c>
      <c r="F21" s="80">
        <f>IF(C21=0,0,E21/C21)</f>
        <v>5.5221064030662708E-4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925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926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927</v>
      </c>
      <c r="B6" s="734" t="s">
        <v>928</v>
      </c>
      <c r="C6" s="734" t="s">
        <v>929</v>
      </c>
      <c r="D6" s="734" t="s">
        <v>930</v>
      </c>
      <c r="E6" s="734" t="s">
        <v>931</v>
      </c>
    </row>
    <row r="7" spans="1:6" ht="37.5" customHeight="1" x14ac:dyDescent="0.25">
      <c r="A7" s="735" t="s">
        <v>8</v>
      </c>
      <c r="B7" s="736" t="s">
        <v>9</v>
      </c>
      <c r="C7" s="737" t="s">
        <v>932</v>
      </c>
      <c r="D7" s="737" t="s">
        <v>933</v>
      </c>
      <c r="E7" s="737" t="s">
        <v>934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935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936</v>
      </c>
      <c r="C10" s="744">
        <v>473660251</v>
      </c>
      <c r="D10" s="744">
        <v>506827583</v>
      </c>
      <c r="E10" s="744">
        <v>574805058</v>
      </c>
    </row>
    <row r="11" spans="1:6" ht="26.1" customHeight="1" x14ac:dyDescent="0.25">
      <c r="A11" s="742">
        <v>2</v>
      </c>
      <c r="B11" s="743" t="s">
        <v>937</v>
      </c>
      <c r="C11" s="744">
        <v>560012120</v>
      </c>
      <c r="D11" s="744">
        <v>612322696</v>
      </c>
      <c r="E11" s="744">
        <v>641716420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1033672371</v>
      </c>
      <c r="D12" s="744">
        <f>+D11+D10</f>
        <v>1119150279</v>
      </c>
      <c r="E12" s="744">
        <f>+E11+E10</f>
        <v>1216521478</v>
      </c>
    </row>
    <row r="13" spans="1:6" ht="26.1" customHeight="1" x14ac:dyDescent="0.25">
      <c r="A13" s="742">
        <v>4</v>
      </c>
      <c r="B13" s="743" t="s">
        <v>507</v>
      </c>
      <c r="C13" s="744">
        <v>336113486</v>
      </c>
      <c r="D13" s="744">
        <v>347835624</v>
      </c>
      <c r="E13" s="744">
        <v>347171019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938</v>
      </c>
      <c r="C16" s="744">
        <v>328515648</v>
      </c>
      <c r="D16" s="744">
        <v>334537291</v>
      </c>
      <c r="E16" s="744">
        <v>342279038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939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59935</v>
      </c>
      <c r="D19" s="747">
        <v>59473</v>
      </c>
      <c r="E19" s="747">
        <v>62546</v>
      </c>
    </row>
    <row r="20" spans="1:5" ht="26.1" customHeight="1" x14ac:dyDescent="0.25">
      <c r="A20" s="742">
        <v>2</v>
      </c>
      <c r="B20" s="743" t="s">
        <v>381</v>
      </c>
      <c r="C20" s="748">
        <v>13855</v>
      </c>
      <c r="D20" s="748">
        <v>14158</v>
      </c>
      <c r="E20" s="748">
        <v>15162</v>
      </c>
    </row>
    <row r="21" spans="1:5" ht="26.1" customHeight="1" x14ac:dyDescent="0.25">
      <c r="A21" s="742">
        <v>3</v>
      </c>
      <c r="B21" s="743" t="s">
        <v>940</v>
      </c>
      <c r="C21" s="749">
        <f>IF(C20=0,0,+C19/C20)</f>
        <v>4.3258751353302056</v>
      </c>
      <c r="D21" s="749">
        <f>IF(D20=0,0,+D19/D20)</f>
        <v>4.2006639355841218</v>
      </c>
      <c r="E21" s="749">
        <f>IF(E20=0,0,+E19/E20)</f>
        <v>4.1251813744888537</v>
      </c>
    </row>
    <row r="22" spans="1:5" ht="26.1" customHeight="1" x14ac:dyDescent="0.25">
      <c r="A22" s="742">
        <v>4</v>
      </c>
      <c r="B22" s="743" t="s">
        <v>941</v>
      </c>
      <c r="C22" s="748">
        <f>IF(C10=0,0,C19*(C12/C10))</f>
        <v>130796.60669243068</v>
      </c>
      <c r="D22" s="748">
        <f>IF(D10=0,0,D19*(D12/D10))</f>
        <v>131325.18192674412</v>
      </c>
      <c r="E22" s="748">
        <f>IF(E10=0,0,E19*(E12/E10))</f>
        <v>132372.79544430869</v>
      </c>
    </row>
    <row r="23" spans="1:5" ht="26.1" customHeight="1" x14ac:dyDescent="0.25">
      <c r="A23" s="742">
        <v>0</v>
      </c>
      <c r="B23" s="743" t="s">
        <v>942</v>
      </c>
      <c r="C23" s="748">
        <f>IF(C10=0,0,C20*(C12/C10))</f>
        <v>30235.871956680188</v>
      </c>
      <c r="D23" s="748">
        <f>IF(D10=0,0,D20*(D12/D10))</f>
        <v>31262.958413378223</v>
      </c>
      <c r="E23" s="748">
        <f>IF(E10=0,0,E20*(E12/E10))</f>
        <v>32088.963715131398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943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1.21346661854926</v>
      </c>
      <c r="D26" s="750">
        <v>1.2326168173470831</v>
      </c>
      <c r="E26" s="750">
        <v>1.2225429494789604</v>
      </c>
    </row>
    <row r="27" spans="1:5" ht="26.1" customHeight="1" x14ac:dyDescent="0.25">
      <c r="A27" s="742">
        <v>2</v>
      </c>
      <c r="B27" s="743" t="s">
        <v>944</v>
      </c>
      <c r="C27" s="748">
        <f>C19*C26</f>
        <v>72729.121782749891</v>
      </c>
      <c r="D27" s="748">
        <f>D19*D26</f>
        <v>73307.419978083068</v>
      </c>
      <c r="E27" s="748">
        <f>E19*E26</f>
        <v>76465.171318111054</v>
      </c>
    </row>
    <row r="28" spans="1:5" ht="26.1" customHeight="1" x14ac:dyDescent="0.25">
      <c r="A28" s="742">
        <v>3</v>
      </c>
      <c r="B28" s="743" t="s">
        <v>945</v>
      </c>
      <c r="C28" s="748">
        <f>C20*C26</f>
        <v>16812.579999999998</v>
      </c>
      <c r="D28" s="748">
        <f>D20*D26</f>
        <v>17451.388900000002</v>
      </c>
      <c r="E28" s="748">
        <f>E20*E26</f>
        <v>18536.196199999998</v>
      </c>
    </row>
    <row r="29" spans="1:5" ht="26.1" customHeight="1" x14ac:dyDescent="0.25">
      <c r="A29" s="742">
        <v>4</v>
      </c>
      <c r="B29" s="743" t="s">
        <v>946</v>
      </c>
      <c r="C29" s="748">
        <f>C22*C26</f>
        <v>158717.31604078136</v>
      </c>
      <c r="D29" s="748">
        <f>D22*D26</f>
        <v>161873.62778407001</v>
      </c>
      <c r="E29" s="748">
        <f>E22*E26</f>
        <v>161831.42777326025</v>
      </c>
    </row>
    <row r="30" spans="1:5" ht="26.1" customHeight="1" x14ac:dyDescent="0.25">
      <c r="A30" s="742">
        <v>5</v>
      </c>
      <c r="B30" s="743" t="s">
        <v>947</v>
      </c>
      <c r="C30" s="748">
        <f>C23*C26</f>
        <v>36690.221302161102</v>
      </c>
      <c r="D30" s="748">
        <f>D23*D26</f>
        <v>38535.248300352476</v>
      </c>
      <c r="E30" s="748">
        <f>E23*E26</f>
        <v>39230.136346020074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948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949</v>
      </c>
      <c r="C33" s="744">
        <f>IF(C19=0,0,C12/C19)</f>
        <v>17246.556619671312</v>
      </c>
      <c r="D33" s="744">
        <f>IF(D19=0,0,D12/D19)</f>
        <v>18817.787550653236</v>
      </c>
      <c r="E33" s="744">
        <f>IF(E19=0,0,E12/E19)</f>
        <v>19450.028427077672</v>
      </c>
    </row>
    <row r="34" spans="1:5" ht="26.1" customHeight="1" x14ac:dyDescent="0.25">
      <c r="A34" s="742">
        <v>2</v>
      </c>
      <c r="B34" s="743" t="s">
        <v>950</v>
      </c>
      <c r="C34" s="744">
        <f>IF(C20=0,0,C12/C20)</f>
        <v>74606.450451100682</v>
      </c>
      <c r="D34" s="744">
        <f>IF(D20=0,0,D12/D20)</f>
        <v>79047.201511512932</v>
      </c>
      <c r="E34" s="744">
        <f>IF(E20=0,0,E12/E20)</f>
        <v>80234.895000659541</v>
      </c>
    </row>
    <row r="35" spans="1:5" ht="26.1" customHeight="1" x14ac:dyDescent="0.25">
      <c r="A35" s="742">
        <v>3</v>
      </c>
      <c r="B35" s="743" t="s">
        <v>951</v>
      </c>
      <c r="C35" s="744">
        <f>IF(C22=0,0,C12/C22)</f>
        <v>7902.8989905731214</v>
      </c>
      <c r="D35" s="744">
        <f>IF(D22=0,0,D12/D22)</f>
        <v>8521.9777546113364</v>
      </c>
      <c r="E35" s="744">
        <f>IF(E22=0,0,E12/E22)</f>
        <v>9190.1170018866123</v>
      </c>
    </row>
    <row r="36" spans="1:5" ht="26.1" customHeight="1" x14ac:dyDescent="0.25">
      <c r="A36" s="742">
        <v>4</v>
      </c>
      <c r="B36" s="743" t="s">
        <v>952</v>
      </c>
      <c r="C36" s="744">
        <f>IF(C23=0,0,C12/C23)</f>
        <v>34186.954240346444</v>
      </c>
      <c r="D36" s="744">
        <f>IF(D23=0,0,D12/D23)</f>
        <v>35797.964613646</v>
      </c>
      <c r="E36" s="744">
        <f>IF(E23=0,0,E12/E23)</f>
        <v>37910.899485556001</v>
      </c>
    </row>
    <row r="37" spans="1:5" ht="26.1" customHeight="1" x14ac:dyDescent="0.25">
      <c r="A37" s="742">
        <v>5</v>
      </c>
      <c r="B37" s="743" t="s">
        <v>953</v>
      </c>
      <c r="C37" s="744">
        <f>IF(C29=0,0,C12/C29)</f>
        <v>6512.6628699694293</v>
      </c>
      <c r="D37" s="744">
        <f>IF(D29=0,0,D12/D29)</f>
        <v>6913.7282849611629</v>
      </c>
      <c r="E37" s="744">
        <f>IF(E29=0,0,E12/E29)</f>
        <v>7517.2140216451107</v>
      </c>
    </row>
    <row r="38" spans="1:5" ht="26.1" customHeight="1" x14ac:dyDescent="0.25">
      <c r="A38" s="742">
        <v>6</v>
      </c>
      <c r="B38" s="743" t="s">
        <v>954</v>
      </c>
      <c r="C38" s="744">
        <f>IF(C30=0,0,C12/C30)</f>
        <v>28172.966373989009</v>
      </c>
      <c r="D38" s="744">
        <f>IF(D30=0,0,D12/D30)</f>
        <v>29042.249067064226</v>
      </c>
      <c r="E38" s="744">
        <f>IF(E30=0,0,E12/E30)</f>
        <v>31009.871270136868</v>
      </c>
    </row>
    <row r="39" spans="1:5" ht="26.1" customHeight="1" x14ac:dyDescent="0.25">
      <c r="A39" s="742">
        <v>7</v>
      </c>
      <c r="B39" s="743" t="s">
        <v>955</v>
      </c>
      <c r="C39" s="744">
        <f>IF(C22=0,0,C10/C22)</f>
        <v>3621.3496892455023</v>
      </c>
      <c r="D39" s="744">
        <f>IF(D22=0,0,D10/D22)</f>
        <v>3859.3328070371062</v>
      </c>
      <c r="E39" s="744">
        <f>IF(E22=0,0,E10/E22)</f>
        <v>4342.3201577836999</v>
      </c>
    </row>
    <row r="40" spans="1:5" ht="26.1" customHeight="1" x14ac:dyDescent="0.25">
      <c r="A40" s="742">
        <v>8</v>
      </c>
      <c r="B40" s="743" t="s">
        <v>956</v>
      </c>
      <c r="C40" s="744">
        <f>IF(C23=0,0,C10/C23)</f>
        <v>15665.506577042885</v>
      </c>
      <c r="D40" s="744">
        <f>IF(D23=0,0,D10/D23)</f>
        <v>16211.760137937408</v>
      </c>
      <c r="E40" s="744">
        <f>IF(E23=0,0,E10/E23)</f>
        <v>17912.858236956821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957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958</v>
      </c>
      <c r="C43" s="744">
        <f>IF(C19=0,0,C13/C19)</f>
        <v>5607.9667306248439</v>
      </c>
      <c r="D43" s="744">
        <f>IF(D19=0,0,D13/D19)</f>
        <v>5848.6308745144852</v>
      </c>
      <c r="E43" s="744">
        <f>IF(E19=0,0,E13/E19)</f>
        <v>5550.6510248457134</v>
      </c>
    </row>
    <row r="44" spans="1:5" ht="26.1" customHeight="1" x14ac:dyDescent="0.25">
      <c r="A44" s="742">
        <v>2</v>
      </c>
      <c r="B44" s="743" t="s">
        <v>959</v>
      </c>
      <c r="C44" s="744">
        <f>IF(C20=0,0,C13/C20)</f>
        <v>24259.363839769037</v>
      </c>
      <c r="D44" s="744">
        <f>IF(D20=0,0,D13/D20)</f>
        <v>24568.132787116825</v>
      </c>
      <c r="E44" s="744">
        <f>IF(E20=0,0,E13/E20)</f>
        <v>22897.442223981005</v>
      </c>
    </row>
    <row r="45" spans="1:5" ht="26.1" customHeight="1" x14ac:dyDescent="0.25">
      <c r="A45" s="742">
        <v>3</v>
      </c>
      <c r="B45" s="743" t="s">
        <v>960</v>
      </c>
      <c r="C45" s="744">
        <f>IF(C22=0,0,C13/C22)</f>
        <v>2569.7416355026221</v>
      </c>
      <c r="D45" s="744">
        <f>IF(D22=0,0,D13/D22)</f>
        <v>2648.6589921042701</v>
      </c>
      <c r="E45" s="744">
        <f>IF(E22=0,0,E13/E22)</f>
        <v>2622.6764935704655</v>
      </c>
    </row>
    <row r="46" spans="1:5" ht="26.1" customHeight="1" x14ac:dyDescent="0.25">
      <c r="A46" s="742">
        <v>4</v>
      </c>
      <c r="B46" s="743" t="s">
        <v>961</v>
      </c>
      <c r="C46" s="744">
        <f>IF(C23=0,0,C13/C23)</f>
        <v>11116.381445243569</v>
      </c>
      <c r="D46" s="744">
        <f>IF(D23=0,0,D13/D23)</f>
        <v>11126.126305792999</v>
      </c>
      <c r="E46" s="744">
        <f>IF(E23=0,0,E13/E23)</f>
        <v>10819.016222586619</v>
      </c>
    </row>
    <row r="47" spans="1:5" ht="26.1" customHeight="1" x14ac:dyDescent="0.25">
      <c r="A47" s="742">
        <v>5</v>
      </c>
      <c r="B47" s="743" t="s">
        <v>962</v>
      </c>
      <c r="C47" s="744">
        <f>IF(C29=0,0,C13/C29)</f>
        <v>2117.686301560429</v>
      </c>
      <c r="D47" s="744">
        <f>IF(D29=0,0,D13/D29)</f>
        <v>2148.8097150944964</v>
      </c>
      <c r="E47" s="744">
        <f>IF(E29=0,0,E13/E29)</f>
        <v>2145.2632765893686</v>
      </c>
    </row>
    <row r="48" spans="1:5" ht="26.1" customHeight="1" x14ac:dyDescent="0.25">
      <c r="A48" s="742">
        <v>6</v>
      </c>
      <c r="B48" s="743" t="s">
        <v>963</v>
      </c>
      <c r="C48" s="744">
        <f>IF(C30=0,0,C13/C30)</f>
        <v>9160.8465163496439</v>
      </c>
      <c r="D48" s="744">
        <f>IF(D30=0,0,D13/D30)</f>
        <v>9026.4274746302435</v>
      </c>
      <c r="E48" s="744">
        <f>IF(E30=0,0,E13/E30)</f>
        <v>8849.6001119613938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964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965</v>
      </c>
      <c r="C51" s="744">
        <f>IF(C19=0,0,C16/C19)</f>
        <v>5481.1987653291062</v>
      </c>
      <c r="D51" s="744">
        <f>IF(D19=0,0,D16/D19)</f>
        <v>5625.0280127116503</v>
      </c>
      <c r="E51" s="744">
        <f>IF(E19=0,0,E16/E19)</f>
        <v>5472.4368944456883</v>
      </c>
    </row>
    <row r="52" spans="1:6" ht="26.1" customHeight="1" x14ac:dyDescent="0.25">
      <c r="A52" s="742">
        <v>2</v>
      </c>
      <c r="B52" s="743" t="s">
        <v>966</v>
      </c>
      <c r="C52" s="744">
        <f>IF(C20=0,0,C16/C20)</f>
        <v>23710.981450739804</v>
      </c>
      <c r="D52" s="744">
        <f>IF(D20=0,0,D16/D20)</f>
        <v>23628.852309648257</v>
      </c>
      <c r="E52" s="744">
        <f>IF(E20=0,0,E16/E20)</f>
        <v>22574.794750032976</v>
      </c>
    </row>
    <row r="53" spans="1:6" ht="26.1" customHeight="1" x14ac:dyDescent="0.25">
      <c r="A53" s="742">
        <v>3</v>
      </c>
      <c r="B53" s="743" t="s">
        <v>967</v>
      </c>
      <c r="C53" s="744">
        <f>IF(C22=0,0,C16/C22)</f>
        <v>2511.6526820340782</v>
      </c>
      <c r="D53" s="744">
        <f>IF(D22=0,0,D16/D22)</f>
        <v>2547.3963644429732</v>
      </c>
      <c r="E53" s="744">
        <f>IF(E22=0,0,E16/E22)</f>
        <v>2585.7204031322444</v>
      </c>
    </row>
    <row r="54" spans="1:6" ht="26.1" customHeight="1" x14ac:dyDescent="0.25">
      <c r="A54" s="742">
        <v>4</v>
      </c>
      <c r="B54" s="743" t="s">
        <v>968</v>
      </c>
      <c r="C54" s="744">
        <f>IF(C23=0,0,C16/C23)</f>
        <v>10865.095885796643</v>
      </c>
      <c r="D54" s="744">
        <f>IF(D23=0,0,D16/D23)</f>
        <v>10700.756037753705</v>
      </c>
      <c r="E54" s="744">
        <f>IF(E23=0,0,E16/E23)</f>
        <v>10666.565646636946</v>
      </c>
    </row>
    <row r="55" spans="1:6" ht="26.1" customHeight="1" x14ac:dyDescent="0.25">
      <c r="A55" s="742">
        <v>5</v>
      </c>
      <c r="B55" s="743" t="s">
        <v>969</v>
      </c>
      <c r="C55" s="744">
        <f>IF(C29=0,0,C16/C29)</f>
        <v>2069.8160490288915</v>
      </c>
      <c r="D55" s="744">
        <f>IF(D29=0,0,D16/D29)</f>
        <v>2066.6571545937877</v>
      </c>
      <c r="E55" s="744">
        <f>IF(E29=0,0,E16/E29)</f>
        <v>2115.0344077762347</v>
      </c>
    </row>
    <row r="56" spans="1:6" ht="26.1" customHeight="1" x14ac:dyDescent="0.25">
      <c r="A56" s="742">
        <v>6</v>
      </c>
      <c r="B56" s="743" t="s">
        <v>970</v>
      </c>
      <c r="C56" s="744">
        <f>IF(C30=0,0,C16/C30)</f>
        <v>8953.7657812014877</v>
      </c>
      <c r="D56" s="744">
        <f>IF(D30=0,0,D16/D30)</f>
        <v>8681.3321765190249</v>
      </c>
      <c r="E56" s="744">
        <f>IF(E30=0,0,E16/E30)</f>
        <v>8724.9005453615882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971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972</v>
      </c>
      <c r="C59" s="752">
        <v>46575871</v>
      </c>
      <c r="D59" s="752">
        <v>47712048</v>
      </c>
      <c r="E59" s="752">
        <v>48997371</v>
      </c>
    </row>
    <row r="60" spans="1:6" ht="26.1" customHeight="1" x14ac:dyDescent="0.25">
      <c r="A60" s="742">
        <v>2</v>
      </c>
      <c r="B60" s="743" t="s">
        <v>973</v>
      </c>
      <c r="C60" s="752">
        <v>12732163</v>
      </c>
      <c r="D60" s="752">
        <v>11105634</v>
      </c>
      <c r="E60" s="752">
        <v>11061300</v>
      </c>
    </row>
    <row r="61" spans="1:6" ht="26.1" customHeight="1" x14ac:dyDescent="0.25">
      <c r="A61" s="753">
        <v>3</v>
      </c>
      <c r="B61" s="754" t="s">
        <v>974</v>
      </c>
      <c r="C61" s="755">
        <f>C59+C60</f>
        <v>59308034</v>
      </c>
      <c r="D61" s="755">
        <f>D59+D60</f>
        <v>58817682</v>
      </c>
      <c r="E61" s="755">
        <f>E59+E60</f>
        <v>60058671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975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976</v>
      </c>
      <c r="C64" s="744">
        <v>25136796</v>
      </c>
      <c r="D64" s="744">
        <v>26601785</v>
      </c>
      <c r="E64" s="752">
        <v>27684896</v>
      </c>
      <c r="F64" s="756"/>
    </row>
    <row r="65" spans="1:6" ht="26.1" customHeight="1" x14ac:dyDescent="0.25">
      <c r="A65" s="742">
        <v>2</v>
      </c>
      <c r="B65" s="743" t="s">
        <v>977</v>
      </c>
      <c r="C65" s="752">
        <v>6871493</v>
      </c>
      <c r="D65" s="752">
        <v>6191930</v>
      </c>
      <c r="E65" s="752">
        <v>6249946</v>
      </c>
      <c r="F65" s="756"/>
    </row>
    <row r="66" spans="1:6" ht="26.1" customHeight="1" x14ac:dyDescent="0.25">
      <c r="A66" s="753">
        <v>3</v>
      </c>
      <c r="B66" s="754" t="s">
        <v>978</v>
      </c>
      <c r="C66" s="757">
        <f>C64+C65</f>
        <v>32008289</v>
      </c>
      <c r="D66" s="757">
        <f>D64+D65</f>
        <v>32793715</v>
      </c>
      <c r="E66" s="757">
        <f>E64+E65</f>
        <v>33934842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979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980</v>
      </c>
      <c r="C69" s="752">
        <v>83855969</v>
      </c>
      <c r="D69" s="752">
        <v>87361080</v>
      </c>
      <c r="E69" s="752">
        <v>87711038</v>
      </c>
    </row>
    <row r="70" spans="1:6" ht="26.1" customHeight="1" x14ac:dyDescent="0.25">
      <c r="A70" s="742">
        <v>2</v>
      </c>
      <c r="B70" s="743" t="s">
        <v>981</v>
      </c>
      <c r="C70" s="752">
        <v>22923197</v>
      </c>
      <c r="D70" s="752">
        <v>20334489</v>
      </c>
      <c r="E70" s="752">
        <v>19801024</v>
      </c>
    </row>
    <row r="71" spans="1:6" ht="26.1" customHeight="1" x14ac:dyDescent="0.25">
      <c r="A71" s="753">
        <v>3</v>
      </c>
      <c r="B71" s="754" t="s">
        <v>982</v>
      </c>
      <c r="C71" s="755">
        <f>C69+C70</f>
        <v>106779166</v>
      </c>
      <c r="D71" s="755">
        <f>D69+D70</f>
        <v>107695569</v>
      </c>
      <c r="E71" s="755">
        <f>E69+E70</f>
        <v>107512062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983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984</v>
      </c>
      <c r="C75" s="744">
        <f t="shared" ref="C75:E76" si="0">+C59+C64+C69</f>
        <v>155568636</v>
      </c>
      <c r="D75" s="744">
        <f t="shared" si="0"/>
        <v>161674913</v>
      </c>
      <c r="E75" s="744">
        <f t="shared" si="0"/>
        <v>164393305</v>
      </c>
    </row>
    <row r="76" spans="1:6" ht="26.1" customHeight="1" x14ac:dyDescent="0.25">
      <c r="A76" s="742">
        <v>2</v>
      </c>
      <c r="B76" s="743" t="s">
        <v>985</v>
      </c>
      <c r="C76" s="744">
        <f t="shared" si="0"/>
        <v>42526853</v>
      </c>
      <c r="D76" s="744">
        <f t="shared" si="0"/>
        <v>37632053</v>
      </c>
      <c r="E76" s="744">
        <f t="shared" si="0"/>
        <v>37112270</v>
      </c>
    </row>
    <row r="77" spans="1:6" ht="26.1" customHeight="1" x14ac:dyDescent="0.25">
      <c r="A77" s="753">
        <v>3</v>
      </c>
      <c r="B77" s="754" t="s">
        <v>983</v>
      </c>
      <c r="C77" s="757">
        <f>C75+C76</f>
        <v>198095489</v>
      </c>
      <c r="D77" s="757">
        <f>D75+D76</f>
        <v>199306966</v>
      </c>
      <c r="E77" s="757">
        <f>E75+E76</f>
        <v>201505575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986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497.2</v>
      </c>
      <c r="D80" s="749">
        <v>522</v>
      </c>
      <c r="E80" s="749">
        <v>534</v>
      </c>
    </row>
    <row r="81" spans="1:5" ht="26.1" customHeight="1" x14ac:dyDescent="0.25">
      <c r="A81" s="742">
        <v>2</v>
      </c>
      <c r="B81" s="743" t="s">
        <v>617</v>
      </c>
      <c r="C81" s="749">
        <v>130.30000000000001</v>
      </c>
      <c r="D81" s="749">
        <v>134</v>
      </c>
      <c r="E81" s="749">
        <v>135</v>
      </c>
    </row>
    <row r="82" spans="1:5" ht="26.1" customHeight="1" x14ac:dyDescent="0.25">
      <c r="A82" s="742">
        <v>3</v>
      </c>
      <c r="B82" s="743" t="s">
        <v>987</v>
      </c>
      <c r="C82" s="749">
        <v>1429.1</v>
      </c>
      <c r="D82" s="749">
        <v>1424</v>
      </c>
      <c r="E82" s="749">
        <v>1450</v>
      </c>
    </row>
    <row r="83" spans="1:5" ht="26.1" customHeight="1" x14ac:dyDescent="0.25">
      <c r="A83" s="753">
        <v>4</v>
      </c>
      <c r="B83" s="754" t="s">
        <v>986</v>
      </c>
      <c r="C83" s="759">
        <f>C80+C81+C82</f>
        <v>2056.6</v>
      </c>
      <c r="D83" s="759">
        <f>D80+D81+D82</f>
        <v>2080</v>
      </c>
      <c r="E83" s="759">
        <f>E80+E81+E82</f>
        <v>2119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988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989</v>
      </c>
      <c r="C86" s="752">
        <f>IF(C80=0,0,C59/C80)</f>
        <v>93676.329444891395</v>
      </c>
      <c r="D86" s="752">
        <f>IF(D80=0,0,D59/D80)</f>
        <v>91402.3908045977</v>
      </c>
      <c r="E86" s="752">
        <f>IF(E80=0,0,E59/E80)</f>
        <v>91755.376404494382</v>
      </c>
    </row>
    <row r="87" spans="1:5" ht="26.1" customHeight="1" x14ac:dyDescent="0.25">
      <c r="A87" s="742">
        <v>2</v>
      </c>
      <c r="B87" s="743" t="s">
        <v>990</v>
      </c>
      <c r="C87" s="752">
        <f>IF(C80=0,0,C60/C80)</f>
        <v>25607.729283990346</v>
      </c>
      <c r="D87" s="752">
        <f>IF(D80=0,0,D60/D80)</f>
        <v>21275.160919540231</v>
      </c>
      <c r="E87" s="752">
        <f>IF(E80=0,0,E60/E80)</f>
        <v>20714.044943820223</v>
      </c>
    </row>
    <row r="88" spans="1:5" ht="26.1" customHeight="1" x14ac:dyDescent="0.25">
      <c r="A88" s="753">
        <v>3</v>
      </c>
      <c r="B88" s="754" t="s">
        <v>991</v>
      </c>
      <c r="C88" s="755">
        <f>+C86+C87</f>
        <v>119284.05872888173</v>
      </c>
      <c r="D88" s="755">
        <f>+D86+D87</f>
        <v>112677.55172413793</v>
      </c>
      <c r="E88" s="755">
        <f>+E86+E87</f>
        <v>112469.4213483146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992</v>
      </c>
    </row>
    <row r="91" spans="1:5" ht="26.1" customHeight="1" x14ac:dyDescent="0.25">
      <c r="A91" s="742">
        <v>1</v>
      </c>
      <c r="B91" s="743" t="s">
        <v>993</v>
      </c>
      <c r="C91" s="744">
        <f>IF(C81=0,0,C64/C81)</f>
        <v>192914.7812739831</v>
      </c>
      <c r="D91" s="744">
        <f>IF(D81=0,0,D64/D81)</f>
        <v>198520.78358208956</v>
      </c>
      <c r="E91" s="744">
        <f>IF(E81=0,0,E64/E81)</f>
        <v>205073.30370370371</v>
      </c>
    </row>
    <row r="92" spans="1:5" ht="26.1" customHeight="1" x14ac:dyDescent="0.25">
      <c r="A92" s="742">
        <v>2</v>
      </c>
      <c r="B92" s="743" t="s">
        <v>994</v>
      </c>
      <c r="C92" s="744">
        <f>IF(C81=0,0,C65/C81)</f>
        <v>52735.940138142745</v>
      </c>
      <c r="D92" s="744">
        <f>IF(D81=0,0,D65/D81)</f>
        <v>46208.432835820895</v>
      </c>
      <c r="E92" s="744">
        <f>IF(E81=0,0,E65/E81)</f>
        <v>46295.896296296298</v>
      </c>
    </row>
    <row r="93" spans="1:5" ht="26.1" customHeight="1" x14ac:dyDescent="0.25">
      <c r="A93" s="753">
        <v>3</v>
      </c>
      <c r="B93" s="754" t="s">
        <v>995</v>
      </c>
      <c r="C93" s="757">
        <f>+C91+C92</f>
        <v>245650.72141212586</v>
      </c>
      <c r="D93" s="757">
        <f>+D91+D92</f>
        <v>244729.21641791044</v>
      </c>
      <c r="E93" s="757">
        <f>+E91+E92</f>
        <v>251369.2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996</v>
      </c>
      <c r="B95" s="745" t="s">
        <v>997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998</v>
      </c>
      <c r="C96" s="752">
        <f>IF(C82=0,0,C69/C82)</f>
        <v>58677.467636974325</v>
      </c>
      <c r="D96" s="752">
        <f>IF(D82=0,0,D69/D82)</f>
        <v>61349.073033707864</v>
      </c>
      <c r="E96" s="752">
        <f>IF(E82=0,0,E69/E82)</f>
        <v>60490.371034482756</v>
      </c>
    </row>
    <row r="97" spans="1:5" ht="26.1" customHeight="1" x14ac:dyDescent="0.25">
      <c r="A97" s="742">
        <v>2</v>
      </c>
      <c r="B97" s="743" t="s">
        <v>999</v>
      </c>
      <c r="C97" s="752">
        <f>IF(C82=0,0,C70/C82)</f>
        <v>16040.30298789448</v>
      </c>
      <c r="D97" s="752">
        <f>IF(D82=0,0,D70/D82)</f>
        <v>14279.837780898877</v>
      </c>
      <c r="E97" s="752">
        <f>IF(E82=0,0,E70/E82)</f>
        <v>13655.878620689655</v>
      </c>
    </row>
    <row r="98" spans="1:5" ht="26.1" customHeight="1" x14ac:dyDescent="0.25">
      <c r="A98" s="753">
        <v>3</v>
      </c>
      <c r="B98" s="754" t="s">
        <v>1000</v>
      </c>
      <c r="C98" s="757">
        <f>+C96+C97</f>
        <v>74717.770624868805</v>
      </c>
      <c r="D98" s="757">
        <f>+D96+D97</f>
        <v>75628.910814606745</v>
      </c>
      <c r="E98" s="757">
        <f>+E96+E97</f>
        <v>74146.249655172403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1001</v>
      </c>
      <c r="B100" s="745" t="s">
        <v>1002</v>
      </c>
    </row>
    <row r="101" spans="1:5" ht="26.1" customHeight="1" x14ac:dyDescent="0.25">
      <c r="A101" s="742">
        <v>1</v>
      </c>
      <c r="B101" s="743" t="s">
        <v>1003</v>
      </c>
      <c r="C101" s="744">
        <f>IF(C83=0,0,C75/C83)</f>
        <v>75643.604006612863</v>
      </c>
      <c r="D101" s="744">
        <f>IF(D83=0,0,D75/D83)</f>
        <v>77728.323557692303</v>
      </c>
      <c r="E101" s="744">
        <f>IF(E83=0,0,E75/E83)</f>
        <v>77580.606418121752</v>
      </c>
    </row>
    <row r="102" spans="1:5" ht="26.1" customHeight="1" x14ac:dyDescent="0.25">
      <c r="A102" s="742">
        <v>2</v>
      </c>
      <c r="B102" s="743" t="s">
        <v>1004</v>
      </c>
      <c r="C102" s="761">
        <f>IF(C83=0,0,C76/C83)</f>
        <v>20678.232519692698</v>
      </c>
      <c r="D102" s="761">
        <f>IF(D83=0,0,D76/D83)</f>
        <v>18092.333173076924</v>
      </c>
      <c r="E102" s="761">
        <f>IF(E83=0,0,E76/E83)</f>
        <v>17514.049079754601</v>
      </c>
    </row>
    <row r="103" spans="1:5" ht="26.1" customHeight="1" x14ac:dyDescent="0.25">
      <c r="A103" s="753">
        <v>3</v>
      </c>
      <c r="B103" s="754" t="s">
        <v>1002</v>
      </c>
      <c r="C103" s="757">
        <f>+C101+C102</f>
        <v>96321.83652630556</v>
      </c>
      <c r="D103" s="757">
        <f>+D101+D102</f>
        <v>95820.656730769231</v>
      </c>
      <c r="E103" s="757">
        <f>+E101+E102</f>
        <v>95094.655497876345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1005</v>
      </c>
      <c r="B107" s="736" t="s">
        <v>1006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1007</v>
      </c>
      <c r="C108" s="744">
        <f>IF(C19=0,0,C77/C19)</f>
        <v>3305.1720864269623</v>
      </c>
      <c r="D108" s="744">
        <f>IF(D19=0,0,D77/D19)</f>
        <v>3351.2176281674037</v>
      </c>
      <c r="E108" s="744">
        <f>IF(E19=0,0,E77/E19)</f>
        <v>3221.7180155405622</v>
      </c>
    </row>
    <row r="109" spans="1:5" ht="26.1" customHeight="1" x14ac:dyDescent="0.25">
      <c r="A109" s="742">
        <v>2</v>
      </c>
      <c r="B109" s="743" t="s">
        <v>1008</v>
      </c>
      <c r="C109" s="744">
        <f>IF(C20=0,0,C77/C20)</f>
        <v>14297.761746661856</v>
      </c>
      <c r="D109" s="744">
        <f>IF(D20=0,0,D77/D20)</f>
        <v>14077.339030936573</v>
      </c>
      <c r="E109" s="744">
        <f>IF(E20=0,0,E77/E20)</f>
        <v>13290.171151563118</v>
      </c>
    </row>
    <row r="110" spans="1:5" ht="26.1" customHeight="1" x14ac:dyDescent="0.25">
      <c r="A110" s="742">
        <v>3</v>
      </c>
      <c r="B110" s="743" t="s">
        <v>1009</v>
      </c>
      <c r="C110" s="744">
        <f>IF(C22=0,0,C77/C22)</f>
        <v>1514.5307971622169</v>
      </c>
      <c r="D110" s="744">
        <f>IF(D22=0,0,D77/D22)</f>
        <v>1517.6599268766101</v>
      </c>
      <c r="E110" s="744">
        <f>IF(E22=0,0,E77/E22)</f>
        <v>1522.2582126761579</v>
      </c>
    </row>
    <row r="111" spans="1:5" ht="26.1" customHeight="1" x14ac:dyDescent="0.25">
      <c r="A111" s="742">
        <v>4</v>
      </c>
      <c r="B111" s="743" t="s">
        <v>1010</v>
      </c>
      <c r="C111" s="744">
        <f>IF(C23=0,0,C77/C23)</f>
        <v>6551.6711171358693</v>
      </c>
      <c r="D111" s="744">
        <f>IF(D23=0,0,D77/D23)</f>
        <v>6375.1793213118126</v>
      </c>
      <c r="E111" s="744">
        <f>IF(E23=0,0,E77/E23)</f>
        <v>6279.5912260943787</v>
      </c>
    </row>
    <row r="112" spans="1:5" ht="26.1" customHeight="1" x14ac:dyDescent="0.25">
      <c r="A112" s="742">
        <v>5</v>
      </c>
      <c r="B112" s="743" t="s">
        <v>1011</v>
      </c>
      <c r="C112" s="744">
        <f>IF(C29=0,0,C77/C29)</f>
        <v>1248.1025633592537</v>
      </c>
      <c r="D112" s="744">
        <f>IF(D29=0,0,D77/D29)</f>
        <v>1231.2503817228578</v>
      </c>
      <c r="E112" s="744">
        <f>IF(E29=0,0,E77/E29)</f>
        <v>1245.1572464795074</v>
      </c>
    </row>
    <row r="113" spans="1:7" ht="25.5" customHeight="1" x14ac:dyDescent="0.25">
      <c r="A113" s="742">
        <v>6</v>
      </c>
      <c r="B113" s="743" t="s">
        <v>1012</v>
      </c>
      <c r="C113" s="744">
        <f>IF(C30=0,0,C77/C30)</f>
        <v>5399.1358451776878</v>
      </c>
      <c r="D113" s="744">
        <f>IF(D30=0,0,D77/D30)</f>
        <v>5172.0690741773933</v>
      </c>
      <c r="E113" s="744">
        <f>IF(E30=0,0,E77/E30)</f>
        <v>5136.4994814870915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1119150279</v>
      </c>
      <c r="D12" s="76">
        <v>1216521478</v>
      </c>
      <c r="E12" s="76">
        <f t="shared" ref="E12:E21" si="0">D12-C12</f>
        <v>97371199</v>
      </c>
      <c r="F12" s="77">
        <f t="shared" ref="F12:F21" si="1">IF(C12=0,0,E12/C12)</f>
        <v>8.700457912319387E-2</v>
      </c>
    </row>
    <row r="13" spans="1:8" ht="23.1" customHeight="1" x14ac:dyDescent="0.2">
      <c r="A13" s="74">
        <v>2</v>
      </c>
      <c r="B13" s="75" t="s">
        <v>72</v>
      </c>
      <c r="C13" s="76">
        <v>763805256</v>
      </c>
      <c r="D13" s="76">
        <v>849725650</v>
      </c>
      <c r="E13" s="76">
        <f t="shared" si="0"/>
        <v>85920394</v>
      </c>
      <c r="F13" s="77">
        <f t="shared" si="1"/>
        <v>0.11248992243122244</v>
      </c>
    </row>
    <row r="14" spans="1:8" ht="23.1" customHeight="1" x14ac:dyDescent="0.2">
      <c r="A14" s="74">
        <v>3</v>
      </c>
      <c r="B14" s="75" t="s">
        <v>73</v>
      </c>
      <c r="C14" s="76">
        <v>7509399</v>
      </c>
      <c r="D14" s="76">
        <v>8529846</v>
      </c>
      <c r="E14" s="76">
        <f t="shared" si="0"/>
        <v>1020447</v>
      </c>
      <c r="F14" s="77">
        <f t="shared" si="1"/>
        <v>0.1358893035248227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347835624</v>
      </c>
      <c r="D16" s="79">
        <f>D12-D13-D14-D15</f>
        <v>358265982</v>
      </c>
      <c r="E16" s="79">
        <f t="shared" si="0"/>
        <v>10430358</v>
      </c>
      <c r="F16" s="80">
        <f t="shared" si="1"/>
        <v>2.9986457051334108E-2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11094963</v>
      </c>
      <c r="E17" s="76">
        <f t="shared" si="0"/>
        <v>11094963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347835624</v>
      </c>
      <c r="D18" s="79">
        <f>D16-D17</f>
        <v>347171019</v>
      </c>
      <c r="E18" s="79">
        <f t="shared" si="0"/>
        <v>-664605</v>
      </c>
      <c r="F18" s="80">
        <f t="shared" si="1"/>
        <v>-1.9106869858735343E-3</v>
      </c>
    </row>
    <row r="19" spans="1:7" ht="23.1" customHeight="1" x14ac:dyDescent="0.2">
      <c r="A19" s="74">
        <v>6</v>
      </c>
      <c r="B19" s="75" t="s">
        <v>78</v>
      </c>
      <c r="C19" s="76">
        <v>11871399</v>
      </c>
      <c r="D19" s="76">
        <v>12173148</v>
      </c>
      <c r="E19" s="76">
        <f t="shared" si="0"/>
        <v>301749</v>
      </c>
      <c r="F19" s="77">
        <f t="shared" si="1"/>
        <v>2.5418149958568489E-2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359707023</v>
      </c>
      <c r="D21" s="79">
        <f>SUM(D18:D20)</f>
        <v>359344167</v>
      </c>
      <c r="E21" s="79">
        <f t="shared" si="0"/>
        <v>-362856</v>
      </c>
      <c r="F21" s="80">
        <f t="shared" si="1"/>
        <v>-1.0087542827875229E-3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161674913</v>
      </c>
      <c r="D24" s="76">
        <v>164393305</v>
      </c>
      <c r="E24" s="76">
        <f t="shared" ref="E24:E33" si="2">D24-C24</f>
        <v>2718392</v>
      </c>
      <c r="F24" s="77">
        <f t="shared" ref="F24:F33" si="3">IF(C24=0,0,E24/C24)</f>
        <v>1.6813938226767439E-2</v>
      </c>
    </row>
    <row r="25" spans="1:7" ht="23.1" customHeight="1" x14ac:dyDescent="0.2">
      <c r="A25" s="74">
        <v>2</v>
      </c>
      <c r="B25" s="75" t="s">
        <v>83</v>
      </c>
      <c r="C25" s="76">
        <v>37632053</v>
      </c>
      <c r="D25" s="76">
        <v>37112270</v>
      </c>
      <c r="E25" s="76">
        <f t="shared" si="2"/>
        <v>-519783</v>
      </c>
      <c r="F25" s="77">
        <f t="shared" si="3"/>
        <v>-1.3812241389009524E-2</v>
      </c>
    </row>
    <row r="26" spans="1:7" ht="23.1" customHeight="1" x14ac:dyDescent="0.2">
      <c r="A26" s="74">
        <v>3</v>
      </c>
      <c r="B26" s="75" t="s">
        <v>84</v>
      </c>
      <c r="C26" s="76">
        <v>3404502</v>
      </c>
      <c r="D26" s="76">
        <v>3449731</v>
      </c>
      <c r="E26" s="76">
        <f t="shared" si="2"/>
        <v>45229</v>
      </c>
      <c r="F26" s="77">
        <f t="shared" si="3"/>
        <v>1.3285056081623685E-2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34609056</v>
      </c>
      <c r="D27" s="76">
        <v>36955430</v>
      </c>
      <c r="E27" s="76">
        <f t="shared" si="2"/>
        <v>2346374</v>
      </c>
      <c r="F27" s="77">
        <f t="shared" si="3"/>
        <v>6.779653279187968E-2</v>
      </c>
    </row>
    <row r="28" spans="1:7" ht="23.1" customHeight="1" x14ac:dyDescent="0.2">
      <c r="A28" s="74">
        <v>5</v>
      </c>
      <c r="B28" s="75" t="s">
        <v>86</v>
      </c>
      <c r="C28" s="76">
        <v>21448732</v>
      </c>
      <c r="D28" s="76">
        <v>22127207</v>
      </c>
      <c r="E28" s="76">
        <f t="shared" si="2"/>
        <v>678475</v>
      </c>
      <c r="F28" s="77">
        <f t="shared" si="3"/>
        <v>3.1632406055518807E-2</v>
      </c>
    </row>
    <row r="29" spans="1:7" ht="23.1" customHeight="1" x14ac:dyDescent="0.2">
      <c r="A29" s="74">
        <v>6</v>
      </c>
      <c r="B29" s="75" t="s">
        <v>87</v>
      </c>
      <c r="C29" s="76">
        <v>12199395</v>
      </c>
      <c r="D29" s="76">
        <v>0</v>
      </c>
      <c r="E29" s="76">
        <f t="shared" si="2"/>
        <v>-12199395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3106032</v>
      </c>
      <c r="D30" s="76">
        <v>3016511</v>
      </c>
      <c r="E30" s="76">
        <f t="shared" si="2"/>
        <v>-89521</v>
      </c>
      <c r="F30" s="77">
        <f t="shared" si="3"/>
        <v>-2.8821660562415325E-2</v>
      </c>
    </row>
    <row r="31" spans="1:7" ht="23.1" customHeight="1" x14ac:dyDescent="0.2">
      <c r="A31" s="74">
        <v>8</v>
      </c>
      <c r="B31" s="75" t="s">
        <v>89</v>
      </c>
      <c r="C31" s="76">
        <v>1871742</v>
      </c>
      <c r="D31" s="76">
        <v>4466100</v>
      </c>
      <c r="E31" s="76">
        <f t="shared" si="2"/>
        <v>2594358</v>
      </c>
      <c r="F31" s="77">
        <f t="shared" si="3"/>
        <v>1.3860660283308277</v>
      </c>
    </row>
    <row r="32" spans="1:7" ht="23.1" customHeight="1" x14ac:dyDescent="0.2">
      <c r="A32" s="74">
        <v>9</v>
      </c>
      <c r="B32" s="75" t="s">
        <v>90</v>
      </c>
      <c r="C32" s="76">
        <v>58590866</v>
      </c>
      <c r="D32" s="76">
        <v>70758484</v>
      </c>
      <c r="E32" s="76">
        <f t="shared" si="2"/>
        <v>12167618</v>
      </c>
      <c r="F32" s="77">
        <f t="shared" si="3"/>
        <v>0.20767090215051609</v>
      </c>
    </row>
    <row r="33" spans="1:6" ht="23.1" customHeight="1" x14ac:dyDescent="0.25">
      <c r="A33" s="71"/>
      <c r="B33" s="78" t="s">
        <v>91</v>
      </c>
      <c r="C33" s="79">
        <f>SUM(C24:C32)</f>
        <v>334537291</v>
      </c>
      <c r="D33" s="79">
        <f>SUM(D24:D32)</f>
        <v>342279038</v>
      </c>
      <c r="E33" s="79">
        <f t="shared" si="2"/>
        <v>7741747</v>
      </c>
      <c r="F33" s="80">
        <f t="shared" si="3"/>
        <v>2.3141656276519557E-2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25169732</v>
      </c>
      <c r="D35" s="79">
        <f>+D21-D33</f>
        <v>17065129</v>
      </c>
      <c r="E35" s="79">
        <f>D35-C35</f>
        <v>-8104603</v>
      </c>
      <c r="F35" s="80">
        <f>IF(C35=0,0,E35/C35)</f>
        <v>-0.32199798551688991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2152953</v>
      </c>
      <c r="D38" s="76">
        <v>5700710</v>
      </c>
      <c r="E38" s="76">
        <f>D38-C38</f>
        <v>3547757</v>
      </c>
      <c r="F38" s="77">
        <f>IF(C38=0,0,E38/C38)</f>
        <v>1.6478562235218326</v>
      </c>
    </row>
    <row r="39" spans="1:6" ht="23.1" customHeight="1" x14ac:dyDescent="0.2">
      <c r="A39" s="85">
        <v>2</v>
      </c>
      <c r="B39" s="75" t="s">
        <v>95</v>
      </c>
      <c r="C39" s="76">
        <v>466901</v>
      </c>
      <c r="D39" s="76">
        <v>293141</v>
      </c>
      <c r="E39" s="76">
        <f>D39-C39</f>
        <v>-173760</v>
      </c>
      <c r="F39" s="77">
        <f>IF(C39=0,0,E39/C39)</f>
        <v>-0.37215598167491609</v>
      </c>
    </row>
    <row r="40" spans="1:6" ht="23.1" customHeight="1" x14ac:dyDescent="0.2">
      <c r="A40" s="85">
        <v>3</v>
      </c>
      <c r="B40" s="75" t="s">
        <v>96</v>
      </c>
      <c r="C40" s="76">
        <v>1284104</v>
      </c>
      <c r="D40" s="76">
        <v>1069187</v>
      </c>
      <c r="E40" s="76">
        <f>D40-C40</f>
        <v>-214917</v>
      </c>
      <c r="F40" s="77">
        <f>IF(C40=0,0,E40/C40)</f>
        <v>-0.16736728489281241</v>
      </c>
    </row>
    <row r="41" spans="1:6" ht="23.1" customHeight="1" x14ac:dyDescent="0.25">
      <c r="A41" s="83"/>
      <c r="B41" s="78" t="s">
        <v>97</v>
      </c>
      <c r="C41" s="79">
        <f>SUM(C38:C40)</f>
        <v>3903958</v>
      </c>
      <c r="D41" s="79">
        <f>SUM(D38:D40)</f>
        <v>7063038</v>
      </c>
      <c r="E41" s="79">
        <f>D41-C41</f>
        <v>3159080</v>
      </c>
      <c r="F41" s="80">
        <f>IF(C41=0,0,E41/C41)</f>
        <v>0.80919927929552515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29073690</v>
      </c>
      <c r="D43" s="79">
        <f>D35+D41</f>
        <v>24128167</v>
      </c>
      <c r="E43" s="79">
        <f>D43-C43</f>
        <v>-4945523</v>
      </c>
      <c r="F43" s="80">
        <f>IF(C43=0,0,E43/C43)</f>
        <v>-0.17010303817644062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29073690</v>
      </c>
      <c r="D50" s="79">
        <f>D43+D48</f>
        <v>24128167</v>
      </c>
      <c r="E50" s="79">
        <f>D50-C50</f>
        <v>-4945523</v>
      </c>
      <c r="F50" s="80">
        <f>IF(C50=0,0,E50/C50)</f>
        <v>-0.17010303817644062</v>
      </c>
    </row>
    <row r="51" spans="1:6" ht="23.1" customHeight="1" x14ac:dyDescent="0.2">
      <c r="A51" s="85"/>
      <c r="B51" s="75" t="s">
        <v>104</v>
      </c>
      <c r="C51" s="76">
        <v>4580000</v>
      </c>
      <c r="D51" s="76">
        <v>4618000</v>
      </c>
      <c r="E51" s="76">
        <f>D51-C51</f>
        <v>38000</v>
      </c>
      <c r="F51" s="77">
        <f>IF(C51=0,0,E51/C51)</f>
        <v>8.296943231441048E-3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255096369</v>
      </c>
      <c r="D14" s="113">
        <v>280884938</v>
      </c>
      <c r="E14" s="113">
        <f t="shared" ref="E14:E25" si="0">D14-C14</f>
        <v>25788569</v>
      </c>
      <c r="F14" s="114">
        <f t="shared" ref="F14:F25" si="1">IF(C14=0,0,E14/C14)</f>
        <v>0.10109343814297882</v>
      </c>
    </row>
    <row r="15" spans="1:6" x14ac:dyDescent="0.2">
      <c r="A15" s="115">
        <v>2</v>
      </c>
      <c r="B15" s="116" t="s">
        <v>114</v>
      </c>
      <c r="C15" s="113">
        <v>44913060</v>
      </c>
      <c r="D15" s="113">
        <v>65021901</v>
      </c>
      <c r="E15" s="113">
        <f t="shared" si="0"/>
        <v>20108841</v>
      </c>
      <c r="F15" s="114">
        <f t="shared" si="1"/>
        <v>0.44772814410774953</v>
      </c>
    </row>
    <row r="16" spans="1:6" x14ac:dyDescent="0.2">
      <c r="A16" s="115">
        <v>3</v>
      </c>
      <c r="B16" s="116" t="s">
        <v>115</v>
      </c>
      <c r="C16" s="113">
        <v>60547499</v>
      </c>
      <c r="D16" s="113">
        <v>71291853</v>
      </c>
      <c r="E16" s="113">
        <f t="shared" si="0"/>
        <v>10744354</v>
      </c>
      <c r="F16" s="114">
        <f t="shared" si="1"/>
        <v>0.1774533081870153</v>
      </c>
    </row>
    <row r="17" spans="1:6" x14ac:dyDescent="0.2">
      <c r="A17" s="115">
        <v>4</v>
      </c>
      <c r="B17" s="116" t="s">
        <v>116</v>
      </c>
      <c r="C17" s="113">
        <v>3072544</v>
      </c>
      <c r="D17" s="113">
        <v>0</v>
      </c>
      <c r="E17" s="113">
        <f t="shared" si="0"/>
        <v>-3072544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1339754</v>
      </c>
      <c r="D18" s="113">
        <v>1669163</v>
      </c>
      <c r="E18" s="113">
        <f t="shared" si="0"/>
        <v>329409</v>
      </c>
      <c r="F18" s="114">
        <f t="shared" si="1"/>
        <v>0.24587274977346588</v>
      </c>
    </row>
    <row r="19" spans="1:6" x14ac:dyDescent="0.2">
      <c r="A19" s="115">
        <v>6</v>
      </c>
      <c r="B19" s="116" t="s">
        <v>118</v>
      </c>
      <c r="C19" s="113">
        <v>11498293</v>
      </c>
      <c r="D19" s="113">
        <v>11015330</v>
      </c>
      <c r="E19" s="113">
        <f t="shared" si="0"/>
        <v>-482963</v>
      </c>
      <c r="F19" s="114">
        <f t="shared" si="1"/>
        <v>-4.2003017317440078E-2</v>
      </c>
    </row>
    <row r="20" spans="1:6" x14ac:dyDescent="0.2">
      <c r="A20" s="115">
        <v>7</v>
      </c>
      <c r="B20" s="116" t="s">
        <v>119</v>
      </c>
      <c r="C20" s="113">
        <v>119386213</v>
      </c>
      <c r="D20" s="113">
        <v>134817686</v>
      </c>
      <c r="E20" s="113">
        <f t="shared" si="0"/>
        <v>15431473</v>
      </c>
      <c r="F20" s="114">
        <f t="shared" si="1"/>
        <v>0.12925674256875874</v>
      </c>
    </row>
    <row r="21" spans="1:6" x14ac:dyDescent="0.2">
      <c r="A21" s="115">
        <v>8</v>
      </c>
      <c r="B21" s="116" t="s">
        <v>120</v>
      </c>
      <c r="C21" s="113">
        <v>4767740</v>
      </c>
      <c r="D21" s="113">
        <v>4281946</v>
      </c>
      <c r="E21" s="113">
        <f t="shared" si="0"/>
        <v>-485794</v>
      </c>
      <c r="F21" s="114">
        <f t="shared" si="1"/>
        <v>-0.10189188168817931</v>
      </c>
    </row>
    <row r="22" spans="1:6" x14ac:dyDescent="0.2">
      <c r="A22" s="115">
        <v>9</v>
      </c>
      <c r="B22" s="116" t="s">
        <v>121</v>
      </c>
      <c r="C22" s="113">
        <v>6206111</v>
      </c>
      <c r="D22" s="113">
        <v>5822241</v>
      </c>
      <c r="E22" s="113">
        <f t="shared" si="0"/>
        <v>-383870</v>
      </c>
      <c r="F22" s="114">
        <f t="shared" si="1"/>
        <v>-6.1853550476296669E-2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506827583</v>
      </c>
      <c r="D25" s="119">
        <f>SUM(D14:D24)</f>
        <v>574805058</v>
      </c>
      <c r="E25" s="119">
        <f t="shared" si="0"/>
        <v>67977475</v>
      </c>
      <c r="F25" s="120">
        <f t="shared" si="1"/>
        <v>0.1341234717290436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180423650</v>
      </c>
      <c r="D27" s="113">
        <v>187944456</v>
      </c>
      <c r="E27" s="113">
        <f t="shared" ref="E27:E38" si="2">D27-C27</f>
        <v>7520806</v>
      </c>
      <c r="F27" s="114">
        <f t="shared" ref="F27:F38" si="3">IF(C27=0,0,E27/C27)</f>
        <v>4.1684147283352263E-2</v>
      </c>
    </row>
    <row r="28" spans="1:6" x14ac:dyDescent="0.2">
      <c r="A28" s="115">
        <v>2</v>
      </c>
      <c r="B28" s="116" t="s">
        <v>114</v>
      </c>
      <c r="C28" s="113">
        <v>39954183</v>
      </c>
      <c r="D28" s="113">
        <v>51578756</v>
      </c>
      <c r="E28" s="113">
        <f t="shared" si="2"/>
        <v>11624573</v>
      </c>
      <c r="F28" s="114">
        <f t="shared" si="3"/>
        <v>0.29094758363598627</v>
      </c>
    </row>
    <row r="29" spans="1:6" x14ac:dyDescent="0.2">
      <c r="A29" s="115">
        <v>3</v>
      </c>
      <c r="B29" s="116" t="s">
        <v>115</v>
      </c>
      <c r="C29" s="113">
        <v>82621534</v>
      </c>
      <c r="D29" s="113">
        <v>104354788</v>
      </c>
      <c r="E29" s="113">
        <f t="shared" si="2"/>
        <v>21733254</v>
      </c>
      <c r="F29" s="114">
        <f t="shared" si="3"/>
        <v>0.26304587857204392</v>
      </c>
    </row>
    <row r="30" spans="1:6" x14ac:dyDescent="0.2">
      <c r="A30" s="115">
        <v>4</v>
      </c>
      <c r="B30" s="116" t="s">
        <v>116</v>
      </c>
      <c r="C30" s="113">
        <v>13327363</v>
      </c>
      <c r="D30" s="113">
        <v>0</v>
      </c>
      <c r="E30" s="113">
        <f t="shared" si="2"/>
        <v>-13327363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2626269</v>
      </c>
      <c r="D31" s="113">
        <v>2759727</v>
      </c>
      <c r="E31" s="113">
        <f t="shared" si="2"/>
        <v>133458</v>
      </c>
      <c r="F31" s="114">
        <f t="shared" si="3"/>
        <v>5.0816576672077382E-2</v>
      </c>
    </row>
    <row r="32" spans="1:6" x14ac:dyDescent="0.2">
      <c r="A32" s="115">
        <v>6</v>
      </c>
      <c r="B32" s="116" t="s">
        <v>118</v>
      </c>
      <c r="C32" s="113">
        <v>28398227</v>
      </c>
      <c r="D32" s="113">
        <v>26613437</v>
      </c>
      <c r="E32" s="113">
        <f t="shared" si="2"/>
        <v>-1784790</v>
      </c>
      <c r="F32" s="114">
        <f t="shared" si="3"/>
        <v>-6.2848641924018706E-2</v>
      </c>
    </row>
    <row r="33" spans="1:6" x14ac:dyDescent="0.2">
      <c r="A33" s="115">
        <v>7</v>
      </c>
      <c r="B33" s="116" t="s">
        <v>119</v>
      </c>
      <c r="C33" s="113">
        <v>240944501</v>
      </c>
      <c r="D33" s="113">
        <v>245404510</v>
      </c>
      <c r="E33" s="113">
        <f t="shared" si="2"/>
        <v>4460009</v>
      </c>
      <c r="F33" s="114">
        <f t="shared" si="3"/>
        <v>1.8510524131032151E-2</v>
      </c>
    </row>
    <row r="34" spans="1:6" x14ac:dyDescent="0.2">
      <c r="A34" s="115">
        <v>8</v>
      </c>
      <c r="B34" s="116" t="s">
        <v>120</v>
      </c>
      <c r="C34" s="113">
        <v>10188552</v>
      </c>
      <c r="D34" s="113">
        <v>8197096</v>
      </c>
      <c r="E34" s="113">
        <f t="shared" si="2"/>
        <v>-1991456</v>
      </c>
      <c r="F34" s="114">
        <f t="shared" si="3"/>
        <v>-0.19546015959873395</v>
      </c>
    </row>
    <row r="35" spans="1:6" x14ac:dyDescent="0.2">
      <c r="A35" s="115">
        <v>9</v>
      </c>
      <c r="B35" s="116" t="s">
        <v>121</v>
      </c>
      <c r="C35" s="113">
        <v>13838417</v>
      </c>
      <c r="D35" s="113">
        <v>14863650</v>
      </c>
      <c r="E35" s="113">
        <f t="shared" si="2"/>
        <v>1025233</v>
      </c>
      <c r="F35" s="114">
        <f t="shared" si="3"/>
        <v>7.4086002755951064E-2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612322696</v>
      </c>
      <c r="D38" s="119">
        <f>SUM(D27:D37)</f>
        <v>641716420</v>
      </c>
      <c r="E38" s="119">
        <f t="shared" si="2"/>
        <v>29393724</v>
      </c>
      <c r="F38" s="120">
        <f t="shared" si="3"/>
        <v>4.8003649369874085E-2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435520019</v>
      </c>
      <c r="D41" s="119">
        <f t="shared" si="4"/>
        <v>468829394</v>
      </c>
      <c r="E41" s="123">
        <f t="shared" ref="E41:E52" si="5">D41-C41</f>
        <v>33309375</v>
      </c>
      <c r="F41" s="124">
        <f t="shared" ref="F41:F52" si="6">IF(C41=0,0,E41/C41)</f>
        <v>7.6481845947017194E-2</v>
      </c>
    </row>
    <row r="42" spans="1:6" ht="15.75" x14ac:dyDescent="0.25">
      <c r="A42" s="121">
        <v>2</v>
      </c>
      <c r="B42" s="122" t="s">
        <v>114</v>
      </c>
      <c r="C42" s="119">
        <f t="shared" si="4"/>
        <v>84867243</v>
      </c>
      <c r="D42" s="119">
        <f t="shared" si="4"/>
        <v>116600657</v>
      </c>
      <c r="E42" s="123">
        <f t="shared" si="5"/>
        <v>31733414</v>
      </c>
      <c r="F42" s="124">
        <f t="shared" si="6"/>
        <v>0.37391828552743256</v>
      </c>
    </row>
    <row r="43" spans="1:6" ht="15.75" x14ac:dyDescent="0.25">
      <c r="A43" s="121">
        <v>3</v>
      </c>
      <c r="B43" s="122" t="s">
        <v>115</v>
      </c>
      <c r="C43" s="119">
        <f t="shared" si="4"/>
        <v>143169033</v>
      </c>
      <c r="D43" s="119">
        <f t="shared" si="4"/>
        <v>175646641</v>
      </c>
      <c r="E43" s="123">
        <f t="shared" si="5"/>
        <v>32477608</v>
      </c>
      <c r="F43" s="124">
        <f t="shared" si="6"/>
        <v>0.22684799442628073</v>
      </c>
    </row>
    <row r="44" spans="1:6" ht="15.75" x14ac:dyDescent="0.25">
      <c r="A44" s="121">
        <v>4</v>
      </c>
      <c r="B44" s="122" t="s">
        <v>116</v>
      </c>
      <c r="C44" s="119">
        <f t="shared" si="4"/>
        <v>16399907</v>
      </c>
      <c r="D44" s="119">
        <f t="shared" si="4"/>
        <v>0</v>
      </c>
      <c r="E44" s="123">
        <f t="shared" si="5"/>
        <v>-16399907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3966023</v>
      </c>
      <c r="D45" s="119">
        <f t="shared" si="4"/>
        <v>4428890</v>
      </c>
      <c r="E45" s="123">
        <f t="shared" si="5"/>
        <v>462867</v>
      </c>
      <c r="F45" s="124">
        <f t="shared" si="6"/>
        <v>0.11670809775939273</v>
      </c>
    </row>
    <row r="46" spans="1:6" ht="15.75" x14ac:dyDescent="0.25">
      <c r="A46" s="121">
        <v>6</v>
      </c>
      <c r="B46" s="122" t="s">
        <v>118</v>
      </c>
      <c r="C46" s="119">
        <f t="shared" si="4"/>
        <v>39896520</v>
      </c>
      <c r="D46" s="119">
        <f t="shared" si="4"/>
        <v>37628767</v>
      </c>
      <c r="E46" s="123">
        <f t="shared" si="5"/>
        <v>-2267753</v>
      </c>
      <c r="F46" s="124">
        <f t="shared" si="6"/>
        <v>-5.6840872336735133E-2</v>
      </c>
    </row>
    <row r="47" spans="1:6" ht="15.75" x14ac:dyDescent="0.25">
      <c r="A47" s="121">
        <v>7</v>
      </c>
      <c r="B47" s="122" t="s">
        <v>119</v>
      </c>
      <c r="C47" s="119">
        <f t="shared" si="4"/>
        <v>360330714</v>
      </c>
      <c r="D47" s="119">
        <f t="shared" si="4"/>
        <v>380222196</v>
      </c>
      <c r="E47" s="123">
        <f t="shared" si="5"/>
        <v>19891482</v>
      </c>
      <c r="F47" s="124">
        <f t="shared" si="6"/>
        <v>5.5203404059527381E-2</v>
      </c>
    </row>
    <row r="48" spans="1:6" ht="15.75" x14ac:dyDescent="0.25">
      <c r="A48" s="121">
        <v>8</v>
      </c>
      <c r="B48" s="122" t="s">
        <v>120</v>
      </c>
      <c r="C48" s="119">
        <f t="shared" si="4"/>
        <v>14956292</v>
      </c>
      <c r="D48" s="119">
        <f t="shared" si="4"/>
        <v>12479042</v>
      </c>
      <c r="E48" s="123">
        <f t="shared" si="5"/>
        <v>-2477250</v>
      </c>
      <c r="F48" s="124">
        <f t="shared" si="6"/>
        <v>-0.16563263140355911</v>
      </c>
    </row>
    <row r="49" spans="1:6" ht="15.75" x14ac:dyDescent="0.25">
      <c r="A49" s="121">
        <v>9</v>
      </c>
      <c r="B49" s="122" t="s">
        <v>121</v>
      </c>
      <c r="C49" s="119">
        <f t="shared" si="4"/>
        <v>20044528</v>
      </c>
      <c r="D49" s="119">
        <f t="shared" si="4"/>
        <v>20685891</v>
      </c>
      <c r="E49" s="123">
        <f t="shared" si="5"/>
        <v>641363</v>
      </c>
      <c r="F49" s="124">
        <f t="shared" si="6"/>
        <v>3.1996912074956314E-2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1119150279</v>
      </c>
      <c r="D52" s="128">
        <f>SUM(D41:D51)</f>
        <v>1216521478</v>
      </c>
      <c r="E52" s="127">
        <f t="shared" si="5"/>
        <v>97371199</v>
      </c>
      <c r="F52" s="129">
        <f t="shared" si="6"/>
        <v>8.700457912319387E-2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61521678</v>
      </c>
      <c r="D57" s="113">
        <v>58003502</v>
      </c>
      <c r="E57" s="113">
        <f t="shared" ref="E57:E68" si="7">D57-C57</f>
        <v>-3518176</v>
      </c>
      <c r="F57" s="114">
        <f t="shared" ref="F57:F68" si="8">IF(C57=0,0,E57/C57)</f>
        <v>-5.7185956468872645E-2</v>
      </c>
    </row>
    <row r="58" spans="1:6" x14ac:dyDescent="0.2">
      <c r="A58" s="115">
        <v>2</v>
      </c>
      <c r="B58" s="116" t="s">
        <v>114</v>
      </c>
      <c r="C58" s="113">
        <v>11023954</v>
      </c>
      <c r="D58" s="113">
        <v>14148398</v>
      </c>
      <c r="E58" s="113">
        <f t="shared" si="7"/>
        <v>3124444</v>
      </c>
      <c r="F58" s="114">
        <f t="shared" si="8"/>
        <v>0.28342317103282544</v>
      </c>
    </row>
    <row r="59" spans="1:6" x14ac:dyDescent="0.2">
      <c r="A59" s="115">
        <v>3</v>
      </c>
      <c r="B59" s="116" t="s">
        <v>115</v>
      </c>
      <c r="C59" s="113">
        <v>10474311</v>
      </c>
      <c r="D59" s="113">
        <v>10706376</v>
      </c>
      <c r="E59" s="113">
        <f t="shared" si="7"/>
        <v>232065</v>
      </c>
      <c r="F59" s="114">
        <f t="shared" si="8"/>
        <v>2.2155633912340392E-2</v>
      </c>
    </row>
    <row r="60" spans="1:6" x14ac:dyDescent="0.2">
      <c r="A60" s="115">
        <v>4</v>
      </c>
      <c r="B60" s="116" t="s">
        <v>116</v>
      </c>
      <c r="C60" s="113">
        <v>614073</v>
      </c>
      <c r="D60" s="113">
        <v>0</v>
      </c>
      <c r="E60" s="113">
        <f t="shared" si="7"/>
        <v>-614073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338550</v>
      </c>
      <c r="D61" s="113">
        <v>377732</v>
      </c>
      <c r="E61" s="113">
        <f t="shared" si="7"/>
        <v>39182</v>
      </c>
      <c r="F61" s="114">
        <f t="shared" si="8"/>
        <v>0.11573475114458721</v>
      </c>
    </row>
    <row r="62" spans="1:6" x14ac:dyDescent="0.2">
      <c r="A62" s="115">
        <v>6</v>
      </c>
      <c r="B62" s="116" t="s">
        <v>118</v>
      </c>
      <c r="C62" s="113">
        <v>4506227</v>
      </c>
      <c r="D62" s="113">
        <v>4066243</v>
      </c>
      <c r="E62" s="113">
        <f t="shared" si="7"/>
        <v>-439984</v>
      </c>
      <c r="F62" s="114">
        <f t="shared" si="8"/>
        <v>-9.7639111389639266E-2</v>
      </c>
    </row>
    <row r="63" spans="1:6" x14ac:dyDescent="0.2">
      <c r="A63" s="115">
        <v>7</v>
      </c>
      <c r="B63" s="116" t="s">
        <v>119</v>
      </c>
      <c r="C63" s="113">
        <v>51604977</v>
      </c>
      <c r="D63" s="113">
        <v>58186843</v>
      </c>
      <c r="E63" s="113">
        <f t="shared" si="7"/>
        <v>6581866</v>
      </c>
      <c r="F63" s="114">
        <f t="shared" si="8"/>
        <v>0.12754324064518041</v>
      </c>
    </row>
    <row r="64" spans="1:6" x14ac:dyDescent="0.2">
      <c r="A64" s="115">
        <v>8</v>
      </c>
      <c r="B64" s="116" t="s">
        <v>120</v>
      </c>
      <c r="C64" s="113">
        <v>3703096</v>
      </c>
      <c r="D64" s="113">
        <v>3577785</v>
      </c>
      <c r="E64" s="113">
        <f t="shared" si="7"/>
        <v>-125311</v>
      </c>
      <c r="F64" s="114">
        <f t="shared" si="8"/>
        <v>-3.3839522388833559E-2</v>
      </c>
    </row>
    <row r="65" spans="1:6" x14ac:dyDescent="0.2">
      <c r="A65" s="115">
        <v>9</v>
      </c>
      <c r="B65" s="116" t="s">
        <v>121</v>
      </c>
      <c r="C65" s="113">
        <v>4126794</v>
      </c>
      <c r="D65" s="113">
        <v>3735559</v>
      </c>
      <c r="E65" s="113">
        <f t="shared" si="7"/>
        <v>-391235</v>
      </c>
      <c r="F65" s="114">
        <f t="shared" si="8"/>
        <v>-9.4803617529733736E-2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147913660</v>
      </c>
      <c r="D68" s="119">
        <f>SUM(D57:D67)</f>
        <v>152802438</v>
      </c>
      <c r="E68" s="119">
        <f t="shared" si="7"/>
        <v>4888778</v>
      </c>
      <c r="F68" s="120">
        <f t="shared" si="8"/>
        <v>3.305156535238192E-2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38217841</v>
      </c>
      <c r="D70" s="113">
        <v>45431759</v>
      </c>
      <c r="E70" s="113">
        <f t="shared" ref="E70:E81" si="9">D70-C70</f>
        <v>7213918</v>
      </c>
      <c r="F70" s="114">
        <f t="shared" ref="F70:F81" si="10">IF(C70=0,0,E70/C70)</f>
        <v>0.18875786311424553</v>
      </c>
    </row>
    <row r="71" spans="1:6" x14ac:dyDescent="0.2">
      <c r="A71" s="115">
        <v>2</v>
      </c>
      <c r="B71" s="116" t="s">
        <v>114</v>
      </c>
      <c r="C71" s="113">
        <v>8301638</v>
      </c>
      <c r="D71" s="113">
        <v>9021925</v>
      </c>
      <c r="E71" s="113">
        <f t="shared" si="9"/>
        <v>720287</v>
      </c>
      <c r="F71" s="114">
        <f t="shared" si="10"/>
        <v>8.676444335443198E-2</v>
      </c>
    </row>
    <row r="72" spans="1:6" x14ac:dyDescent="0.2">
      <c r="A72" s="115">
        <v>3</v>
      </c>
      <c r="B72" s="116" t="s">
        <v>115</v>
      </c>
      <c r="C72" s="113">
        <v>15597962</v>
      </c>
      <c r="D72" s="113">
        <v>18933996</v>
      </c>
      <c r="E72" s="113">
        <f t="shared" si="9"/>
        <v>3336034</v>
      </c>
      <c r="F72" s="114">
        <f t="shared" si="10"/>
        <v>0.21387627434917458</v>
      </c>
    </row>
    <row r="73" spans="1:6" x14ac:dyDescent="0.2">
      <c r="A73" s="115">
        <v>4</v>
      </c>
      <c r="B73" s="116" t="s">
        <v>116</v>
      </c>
      <c r="C73" s="113">
        <v>4396449</v>
      </c>
      <c r="D73" s="113">
        <v>0</v>
      </c>
      <c r="E73" s="113">
        <f t="shared" si="9"/>
        <v>-4396449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840268</v>
      </c>
      <c r="D74" s="113">
        <v>373436</v>
      </c>
      <c r="E74" s="113">
        <f t="shared" si="9"/>
        <v>-466832</v>
      </c>
      <c r="F74" s="114">
        <f t="shared" si="10"/>
        <v>-0.55557512603121861</v>
      </c>
    </row>
    <row r="75" spans="1:6" x14ac:dyDescent="0.2">
      <c r="A75" s="115">
        <v>6</v>
      </c>
      <c r="B75" s="116" t="s">
        <v>118</v>
      </c>
      <c r="C75" s="113">
        <v>11868478</v>
      </c>
      <c r="D75" s="113">
        <v>10802237</v>
      </c>
      <c r="E75" s="113">
        <f t="shared" si="9"/>
        <v>-1066241</v>
      </c>
      <c r="F75" s="114">
        <f t="shared" si="10"/>
        <v>-8.9838056741563657E-2</v>
      </c>
    </row>
    <row r="76" spans="1:6" x14ac:dyDescent="0.2">
      <c r="A76" s="115">
        <v>7</v>
      </c>
      <c r="B76" s="116" t="s">
        <v>119</v>
      </c>
      <c r="C76" s="113">
        <v>100917442</v>
      </c>
      <c r="D76" s="113">
        <v>104142742</v>
      </c>
      <c r="E76" s="113">
        <f t="shared" si="9"/>
        <v>3225300</v>
      </c>
      <c r="F76" s="114">
        <f t="shared" si="10"/>
        <v>3.1959787486488214E-2</v>
      </c>
    </row>
    <row r="77" spans="1:6" x14ac:dyDescent="0.2">
      <c r="A77" s="115">
        <v>8</v>
      </c>
      <c r="B77" s="116" t="s">
        <v>120</v>
      </c>
      <c r="C77" s="113">
        <v>7671201</v>
      </c>
      <c r="D77" s="113">
        <v>5531891</v>
      </c>
      <c r="E77" s="113">
        <f t="shared" si="9"/>
        <v>-2139310</v>
      </c>
      <c r="F77" s="114">
        <f t="shared" si="10"/>
        <v>-0.27887549811300733</v>
      </c>
    </row>
    <row r="78" spans="1:6" x14ac:dyDescent="0.2">
      <c r="A78" s="115">
        <v>9</v>
      </c>
      <c r="B78" s="116" t="s">
        <v>121</v>
      </c>
      <c r="C78" s="113">
        <v>3652693</v>
      </c>
      <c r="D78" s="113">
        <v>4549613</v>
      </c>
      <c r="E78" s="113">
        <f t="shared" si="9"/>
        <v>896920</v>
      </c>
      <c r="F78" s="114">
        <f t="shared" si="10"/>
        <v>0.24555033779187027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191463972</v>
      </c>
      <c r="D81" s="119">
        <f>SUM(D70:D80)</f>
        <v>198787599</v>
      </c>
      <c r="E81" s="119">
        <f t="shared" si="9"/>
        <v>7323627</v>
      </c>
      <c r="F81" s="120">
        <f t="shared" si="10"/>
        <v>3.8250679349742099E-2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99739519</v>
      </c>
      <c r="D84" s="119">
        <f t="shared" si="11"/>
        <v>103435261</v>
      </c>
      <c r="E84" s="119">
        <f t="shared" ref="E84:E95" si="12">D84-C84</f>
        <v>3695742</v>
      </c>
      <c r="F84" s="120">
        <f t="shared" ref="F84:F95" si="13">IF(C84=0,0,E84/C84)</f>
        <v>3.7053938469464649E-2</v>
      </c>
    </row>
    <row r="85" spans="1:6" ht="15.75" x14ac:dyDescent="0.25">
      <c r="A85" s="130">
        <v>2</v>
      </c>
      <c r="B85" s="122" t="s">
        <v>114</v>
      </c>
      <c r="C85" s="119">
        <f t="shared" si="11"/>
        <v>19325592</v>
      </c>
      <c r="D85" s="119">
        <f t="shared" si="11"/>
        <v>23170323</v>
      </c>
      <c r="E85" s="119">
        <f t="shared" si="12"/>
        <v>3844731</v>
      </c>
      <c r="F85" s="120">
        <f t="shared" si="13"/>
        <v>0.19894505689657527</v>
      </c>
    </row>
    <row r="86" spans="1:6" ht="15.75" x14ac:dyDescent="0.25">
      <c r="A86" s="130">
        <v>3</v>
      </c>
      <c r="B86" s="122" t="s">
        <v>115</v>
      </c>
      <c r="C86" s="119">
        <f t="shared" si="11"/>
        <v>26072273</v>
      </c>
      <c r="D86" s="119">
        <f t="shared" si="11"/>
        <v>29640372</v>
      </c>
      <c r="E86" s="119">
        <f t="shared" si="12"/>
        <v>3568099</v>
      </c>
      <c r="F86" s="120">
        <f t="shared" si="13"/>
        <v>0.13685415920583527</v>
      </c>
    </row>
    <row r="87" spans="1:6" ht="15.75" x14ac:dyDescent="0.25">
      <c r="A87" s="130">
        <v>4</v>
      </c>
      <c r="B87" s="122" t="s">
        <v>116</v>
      </c>
      <c r="C87" s="119">
        <f t="shared" si="11"/>
        <v>5010522</v>
      </c>
      <c r="D87" s="119">
        <f t="shared" si="11"/>
        <v>0</v>
      </c>
      <c r="E87" s="119">
        <f t="shared" si="12"/>
        <v>-5010522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1178818</v>
      </c>
      <c r="D88" s="119">
        <f t="shared" si="11"/>
        <v>751168</v>
      </c>
      <c r="E88" s="119">
        <f t="shared" si="12"/>
        <v>-427650</v>
      </c>
      <c r="F88" s="120">
        <f t="shared" si="13"/>
        <v>-0.36277864776411628</v>
      </c>
    </row>
    <row r="89" spans="1:6" ht="15.75" x14ac:dyDescent="0.25">
      <c r="A89" s="130">
        <v>6</v>
      </c>
      <c r="B89" s="122" t="s">
        <v>118</v>
      </c>
      <c r="C89" s="119">
        <f t="shared" si="11"/>
        <v>16374705</v>
      </c>
      <c r="D89" s="119">
        <f t="shared" si="11"/>
        <v>14868480</v>
      </c>
      <c r="E89" s="119">
        <f t="shared" si="12"/>
        <v>-1506225</v>
      </c>
      <c r="F89" s="120">
        <f t="shared" si="13"/>
        <v>-9.1984863238757583E-2</v>
      </c>
    </row>
    <row r="90" spans="1:6" ht="15.75" x14ac:dyDescent="0.25">
      <c r="A90" s="130">
        <v>7</v>
      </c>
      <c r="B90" s="122" t="s">
        <v>119</v>
      </c>
      <c r="C90" s="119">
        <f t="shared" si="11"/>
        <v>152522419</v>
      </c>
      <c r="D90" s="119">
        <f t="shared" si="11"/>
        <v>162329585</v>
      </c>
      <c r="E90" s="119">
        <f t="shared" si="12"/>
        <v>9807166</v>
      </c>
      <c r="F90" s="120">
        <f t="shared" si="13"/>
        <v>6.429983253806118E-2</v>
      </c>
    </row>
    <row r="91" spans="1:6" ht="15.75" x14ac:dyDescent="0.25">
      <c r="A91" s="130">
        <v>8</v>
      </c>
      <c r="B91" s="122" t="s">
        <v>120</v>
      </c>
      <c r="C91" s="119">
        <f t="shared" si="11"/>
        <v>11374297</v>
      </c>
      <c r="D91" s="119">
        <f t="shared" si="11"/>
        <v>9109676</v>
      </c>
      <c r="E91" s="119">
        <f t="shared" si="12"/>
        <v>-2264621</v>
      </c>
      <c r="F91" s="120">
        <f t="shared" si="13"/>
        <v>-0.19909986524881493</v>
      </c>
    </row>
    <row r="92" spans="1:6" ht="15.75" x14ac:dyDescent="0.25">
      <c r="A92" s="130">
        <v>9</v>
      </c>
      <c r="B92" s="122" t="s">
        <v>121</v>
      </c>
      <c r="C92" s="119">
        <f t="shared" si="11"/>
        <v>7779487</v>
      </c>
      <c r="D92" s="119">
        <f t="shared" si="11"/>
        <v>8285172</v>
      </c>
      <c r="E92" s="119">
        <f t="shared" si="12"/>
        <v>505685</v>
      </c>
      <c r="F92" s="120">
        <f t="shared" si="13"/>
        <v>6.5002358124642404E-2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339377632</v>
      </c>
      <c r="D95" s="128">
        <f>SUM(D84:D94)</f>
        <v>351590037</v>
      </c>
      <c r="E95" s="128">
        <f t="shared" si="12"/>
        <v>12212405</v>
      </c>
      <c r="F95" s="129">
        <f t="shared" si="13"/>
        <v>3.5984708031671336E-2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6467</v>
      </c>
      <c r="D100" s="133">
        <v>6859</v>
      </c>
      <c r="E100" s="133">
        <f t="shared" ref="E100:E111" si="14">D100-C100</f>
        <v>392</v>
      </c>
      <c r="F100" s="114">
        <f t="shared" ref="F100:F111" si="15">IF(C100=0,0,E100/C100)</f>
        <v>6.0615432194216792E-2</v>
      </c>
    </row>
    <row r="101" spans="1:6" x14ac:dyDescent="0.2">
      <c r="A101" s="115">
        <v>2</v>
      </c>
      <c r="B101" s="116" t="s">
        <v>114</v>
      </c>
      <c r="C101" s="133">
        <v>1070</v>
      </c>
      <c r="D101" s="133">
        <v>1411</v>
      </c>
      <c r="E101" s="133">
        <f t="shared" si="14"/>
        <v>341</v>
      </c>
      <c r="F101" s="114">
        <f t="shared" si="15"/>
        <v>0.31869158878504672</v>
      </c>
    </row>
    <row r="102" spans="1:6" x14ac:dyDescent="0.2">
      <c r="A102" s="115">
        <v>3</v>
      </c>
      <c r="B102" s="116" t="s">
        <v>115</v>
      </c>
      <c r="C102" s="133">
        <v>1978</v>
      </c>
      <c r="D102" s="133">
        <v>2323</v>
      </c>
      <c r="E102" s="133">
        <f t="shared" si="14"/>
        <v>345</v>
      </c>
      <c r="F102" s="114">
        <f t="shared" si="15"/>
        <v>0.1744186046511628</v>
      </c>
    </row>
    <row r="103" spans="1:6" x14ac:dyDescent="0.2">
      <c r="A103" s="115">
        <v>4</v>
      </c>
      <c r="B103" s="116" t="s">
        <v>116</v>
      </c>
      <c r="C103" s="133">
        <v>160</v>
      </c>
      <c r="D103" s="133">
        <v>0</v>
      </c>
      <c r="E103" s="133">
        <f t="shared" si="14"/>
        <v>-160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62</v>
      </c>
      <c r="D104" s="133">
        <v>44</v>
      </c>
      <c r="E104" s="133">
        <f t="shared" si="14"/>
        <v>-18</v>
      </c>
      <c r="F104" s="114">
        <f t="shared" si="15"/>
        <v>-0.29032258064516131</v>
      </c>
    </row>
    <row r="105" spans="1:6" x14ac:dyDescent="0.2">
      <c r="A105" s="115">
        <v>6</v>
      </c>
      <c r="B105" s="116" t="s">
        <v>118</v>
      </c>
      <c r="C105" s="133">
        <v>359</v>
      </c>
      <c r="D105" s="133">
        <v>302</v>
      </c>
      <c r="E105" s="133">
        <f t="shared" si="14"/>
        <v>-57</v>
      </c>
      <c r="F105" s="114">
        <f t="shared" si="15"/>
        <v>-0.15877437325905291</v>
      </c>
    </row>
    <row r="106" spans="1:6" x14ac:dyDescent="0.2">
      <c r="A106" s="115">
        <v>7</v>
      </c>
      <c r="B106" s="116" t="s">
        <v>119</v>
      </c>
      <c r="C106" s="133">
        <v>3812</v>
      </c>
      <c r="D106" s="133">
        <v>3992</v>
      </c>
      <c r="E106" s="133">
        <f t="shared" si="14"/>
        <v>180</v>
      </c>
      <c r="F106" s="114">
        <f t="shared" si="15"/>
        <v>4.7219307450157399E-2</v>
      </c>
    </row>
    <row r="107" spans="1:6" x14ac:dyDescent="0.2">
      <c r="A107" s="115">
        <v>8</v>
      </c>
      <c r="B107" s="116" t="s">
        <v>120</v>
      </c>
      <c r="C107" s="133">
        <v>68</v>
      </c>
      <c r="D107" s="133">
        <v>63</v>
      </c>
      <c r="E107" s="133">
        <f t="shared" si="14"/>
        <v>-5</v>
      </c>
      <c r="F107" s="114">
        <f t="shared" si="15"/>
        <v>-7.3529411764705885E-2</v>
      </c>
    </row>
    <row r="108" spans="1:6" x14ac:dyDescent="0.2">
      <c r="A108" s="115">
        <v>9</v>
      </c>
      <c r="B108" s="116" t="s">
        <v>121</v>
      </c>
      <c r="C108" s="133">
        <v>182</v>
      </c>
      <c r="D108" s="133">
        <v>168</v>
      </c>
      <c r="E108" s="133">
        <f t="shared" si="14"/>
        <v>-14</v>
      </c>
      <c r="F108" s="114">
        <f t="shared" si="15"/>
        <v>-7.6923076923076927E-2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14158</v>
      </c>
      <c r="D111" s="134">
        <f>SUM(D100:D110)</f>
        <v>15162</v>
      </c>
      <c r="E111" s="134">
        <f t="shared" si="14"/>
        <v>1004</v>
      </c>
      <c r="F111" s="120">
        <f t="shared" si="15"/>
        <v>7.0913970899844608E-2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30149</v>
      </c>
      <c r="D113" s="133">
        <v>31677</v>
      </c>
      <c r="E113" s="133">
        <f t="shared" ref="E113:E124" si="16">D113-C113</f>
        <v>1528</v>
      </c>
      <c r="F113" s="114">
        <f t="shared" ref="F113:F124" si="17">IF(C113=0,0,E113/C113)</f>
        <v>5.0681614647251981E-2</v>
      </c>
    </row>
    <row r="114" spans="1:6" x14ac:dyDescent="0.2">
      <c r="A114" s="115">
        <v>2</v>
      </c>
      <c r="B114" s="116" t="s">
        <v>114</v>
      </c>
      <c r="C114" s="133">
        <v>4700</v>
      </c>
      <c r="D114" s="133">
        <v>6402</v>
      </c>
      <c r="E114" s="133">
        <f t="shared" si="16"/>
        <v>1702</v>
      </c>
      <c r="F114" s="114">
        <f t="shared" si="17"/>
        <v>0.36212765957446807</v>
      </c>
    </row>
    <row r="115" spans="1:6" x14ac:dyDescent="0.2">
      <c r="A115" s="115">
        <v>3</v>
      </c>
      <c r="B115" s="116" t="s">
        <v>115</v>
      </c>
      <c r="C115" s="133">
        <v>8618</v>
      </c>
      <c r="D115" s="133">
        <v>9219</v>
      </c>
      <c r="E115" s="133">
        <f t="shared" si="16"/>
        <v>601</v>
      </c>
      <c r="F115" s="114">
        <f t="shared" si="17"/>
        <v>6.9737758180552334E-2</v>
      </c>
    </row>
    <row r="116" spans="1:6" x14ac:dyDescent="0.2">
      <c r="A116" s="115">
        <v>4</v>
      </c>
      <c r="B116" s="116" t="s">
        <v>116</v>
      </c>
      <c r="C116" s="133">
        <v>479</v>
      </c>
      <c r="D116" s="133">
        <v>0</v>
      </c>
      <c r="E116" s="133">
        <f t="shared" si="16"/>
        <v>-479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163</v>
      </c>
      <c r="D117" s="133">
        <v>129</v>
      </c>
      <c r="E117" s="133">
        <f t="shared" si="16"/>
        <v>-34</v>
      </c>
      <c r="F117" s="114">
        <f t="shared" si="17"/>
        <v>-0.20858895705521471</v>
      </c>
    </row>
    <row r="118" spans="1:6" x14ac:dyDescent="0.2">
      <c r="A118" s="115">
        <v>6</v>
      </c>
      <c r="B118" s="116" t="s">
        <v>118</v>
      </c>
      <c r="C118" s="133">
        <v>1211</v>
      </c>
      <c r="D118" s="133">
        <v>1050</v>
      </c>
      <c r="E118" s="133">
        <f t="shared" si="16"/>
        <v>-161</v>
      </c>
      <c r="F118" s="114">
        <f t="shared" si="17"/>
        <v>-0.13294797687861271</v>
      </c>
    </row>
    <row r="119" spans="1:6" x14ac:dyDescent="0.2">
      <c r="A119" s="115">
        <v>7</v>
      </c>
      <c r="B119" s="116" t="s">
        <v>119</v>
      </c>
      <c r="C119" s="133">
        <v>13196</v>
      </c>
      <c r="D119" s="133">
        <v>13258</v>
      </c>
      <c r="E119" s="133">
        <f t="shared" si="16"/>
        <v>62</v>
      </c>
      <c r="F119" s="114">
        <f t="shared" si="17"/>
        <v>4.698393452561382E-3</v>
      </c>
    </row>
    <row r="120" spans="1:6" x14ac:dyDescent="0.2">
      <c r="A120" s="115">
        <v>8</v>
      </c>
      <c r="B120" s="116" t="s">
        <v>120</v>
      </c>
      <c r="C120" s="133">
        <v>198</v>
      </c>
      <c r="D120" s="133">
        <v>181</v>
      </c>
      <c r="E120" s="133">
        <f t="shared" si="16"/>
        <v>-17</v>
      </c>
      <c r="F120" s="114">
        <f t="shared" si="17"/>
        <v>-8.5858585858585856E-2</v>
      </c>
    </row>
    <row r="121" spans="1:6" x14ac:dyDescent="0.2">
      <c r="A121" s="115">
        <v>9</v>
      </c>
      <c r="B121" s="116" t="s">
        <v>121</v>
      </c>
      <c r="C121" s="133">
        <v>759</v>
      </c>
      <c r="D121" s="133">
        <v>630</v>
      </c>
      <c r="E121" s="133">
        <f t="shared" si="16"/>
        <v>-129</v>
      </c>
      <c r="F121" s="114">
        <f t="shared" si="17"/>
        <v>-0.16996047430830039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59473</v>
      </c>
      <c r="D124" s="134">
        <f>SUM(D113:D123)</f>
        <v>62546</v>
      </c>
      <c r="E124" s="134">
        <f t="shared" si="16"/>
        <v>3073</v>
      </c>
      <c r="F124" s="120">
        <f t="shared" si="17"/>
        <v>5.1670505943873693E-2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217449</v>
      </c>
      <c r="D126" s="133">
        <v>208364</v>
      </c>
      <c r="E126" s="133">
        <f t="shared" ref="E126:E137" si="18">D126-C126</f>
        <v>-9085</v>
      </c>
      <c r="F126" s="114">
        <f t="shared" ref="F126:F137" si="19">IF(C126=0,0,E126/C126)</f>
        <v>-4.1779911611458317E-2</v>
      </c>
    </row>
    <row r="127" spans="1:6" x14ac:dyDescent="0.2">
      <c r="A127" s="115">
        <v>2</v>
      </c>
      <c r="B127" s="116" t="s">
        <v>114</v>
      </c>
      <c r="C127" s="133">
        <v>41049</v>
      </c>
      <c r="D127" s="133">
        <v>50571</v>
      </c>
      <c r="E127" s="133">
        <f t="shared" si="18"/>
        <v>9522</v>
      </c>
      <c r="F127" s="114">
        <f t="shared" si="19"/>
        <v>0.23196667397500548</v>
      </c>
    </row>
    <row r="128" spans="1:6" x14ac:dyDescent="0.2">
      <c r="A128" s="115">
        <v>3</v>
      </c>
      <c r="B128" s="116" t="s">
        <v>115</v>
      </c>
      <c r="C128" s="133">
        <v>85825</v>
      </c>
      <c r="D128" s="133">
        <v>104366</v>
      </c>
      <c r="E128" s="133">
        <f t="shared" si="18"/>
        <v>18541</v>
      </c>
      <c r="F128" s="114">
        <f t="shared" si="19"/>
        <v>0.21603262452665306</v>
      </c>
    </row>
    <row r="129" spans="1:6" x14ac:dyDescent="0.2">
      <c r="A129" s="115">
        <v>4</v>
      </c>
      <c r="B129" s="116" t="s">
        <v>116</v>
      </c>
      <c r="C129" s="133">
        <v>14485</v>
      </c>
      <c r="D129" s="133">
        <v>0</v>
      </c>
      <c r="E129" s="133">
        <f t="shared" si="18"/>
        <v>-14485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2501</v>
      </c>
      <c r="D130" s="133">
        <v>2408</v>
      </c>
      <c r="E130" s="133">
        <f t="shared" si="18"/>
        <v>-93</v>
      </c>
      <c r="F130" s="114">
        <f t="shared" si="19"/>
        <v>-3.7185125949620153E-2</v>
      </c>
    </row>
    <row r="131" spans="1:6" x14ac:dyDescent="0.2">
      <c r="A131" s="115">
        <v>6</v>
      </c>
      <c r="B131" s="116" t="s">
        <v>118</v>
      </c>
      <c r="C131" s="133">
        <v>25974</v>
      </c>
      <c r="D131" s="133">
        <v>27680</v>
      </c>
      <c r="E131" s="133">
        <f t="shared" si="18"/>
        <v>1706</v>
      </c>
      <c r="F131" s="114">
        <f t="shared" si="19"/>
        <v>6.5681065681065687E-2</v>
      </c>
    </row>
    <row r="132" spans="1:6" x14ac:dyDescent="0.2">
      <c r="A132" s="115">
        <v>7</v>
      </c>
      <c r="B132" s="116" t="s">
        <v>119</v>
      </c>
      <c r="C132" s="133">
        <v>223614</v>
      </c>
      <c r="D132" s="133">
        <v>218991</v>
      </c>
      <c r="E132" s="133">
        <f t="shared" si="18"/>
        <v>-4623</v>
      </c>
      <c r="F132" s="114">
        <f t="shared" si="19"/>
        <v>-2.0674018621374333E-2</v>
      </c>
    </row>
    <row r="133" spans="1:6" x14ac:dyDescent="0.2">
      <c r="A133" s="115">
        <v>8</v>
      </c>
      <c r="B133" s="116" t="s">
        <v>120</v>
      </c>
      <c r="C133" s="133">
        <v>17542</v>
      </c>
      <c r="D133" s="133">
        <v>14170</v>
      </c>
      <c r="E133" s="133">
        <f t="shared" si="18"/>
        <v>-3372</v>
      </c>
      <c r="F133" s="114">
        <f t="shared" si="19"/>
        <v>-0.19222437578383308</v>
      </c>
    </row>
    <row r="134" spans="1:6" x14ac:dyDescent="0.2">
      <c r="A134" s="115">
        <v>9</v>
      </c>
      <c r="B134" s="116" t="s">
        <v>121</v>
      </c>
      <c r="C134" s="133">
        <v>13644</v>
      </c>
      <c r="D134" s="133">
        <v>12362</v>
      </c>
      <c r="E134" s="133">
        <f t="shared" si="18"/>
        <v>-1282</v>
      </c>
      <c r="F134" s="114">
        <f t="shared" si="19"/>
        <v>-9.3960715332746997E-2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642083</v>
      </c>
      <c r="D137" s="134">
        <f>SUM(D126:D136)</f>
        <v>638912</v>
      </c>
      <c r="E137" s="134">
        <f t="shared" si="18"/>
        <v>-3171</v>
      </c>
      <c r="F137" s="120">
        <f t="shared" si="19"/>
        <v>-4.9386138552180948E-3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62273745</v>
      </c>
      <c r="D142" s="113">
        <v>56912928</v>
      </c>
      <c r="E142" s="113">
        <f t="shared" ref="E142:E153" si="20">D142-C142</f>
        <v>-5360817</v>
      </c>
      <c r="F142" s="114">
        <f t="shared" ref="F142:F153" si="21">IF(C142=0,0,E142/C142)</f>
        <v>-8.6084705520761598E-2</v>
      </c>
    </row>
    <row r="143" spans="1:6" x14ac:dyDescent="0.2">
      <c r="A143" s="115">
        <v>2</v>
      </c>
      <c r="B143" s="116" t="s">
        <v>114</v>
      </c>
      <c r="C143" s="113">
        <v>12266601</v>
      </c>
      <c r="D143" s="113">
        <v>13430570</v>
      </c>
      <c r="E143" s="113">
        <f t="shared" si="20"/>
        <v>1163969</v>
      </c>
      <c r="F143" s="114">
        <f t="shared" si="21"/>
        <v>9.4889285141010124E-2</v>
      </c>
    </row>
    <row r="144" spans="1:6" x14ac:dyDescent="0.2">
      <c r="A144" s="115">
        <v>3</v>
      </c>
      <c r="B144" s="116" t="s">
        <v>115</v>
      </c>
      <c r="C144" s="113">
        <v>41914936</v>
      </c>
      <c r="D144" s="113">
        <v>47510649</v>
      </c>
      <c r="E144" s="113">
        <f t="shared" si="20"/>
        <v>5595713</v>
      </c>
      <c r="F144" s="114">
        <f t="shared" si="21"/>
        <v>0.13350164724097396</v>
      </c>
    </row>
    <row r="145" spans="1:6" x14ac:dyDescent="0.2">
      <c r="A145" s="115">
        <v>4</v>
      </c>
      <c r="B145" s="116" t="s">
        <v>116</v>
      </c>
      <c r="C145" s="113">
        <v>4101458</v>
      </c>
      <c r="D145" s="113">
        <v>0</v>
      </c>
      <c r="E145" s="113">
        <f t="shared" si="20"/>
        <v>-4101458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1223219</v>
      </c>
      <c r="D146" s="113">
        <v>1333671</v>
      </c>
      <c r="E146" s="113">
        <f t="shared" si="20"/>
        <v>110452</v>
      </c>
      <c r="F146" s="114">
        <f t="shared" si="21"/>
        <v>9.0296177544658809E-2</v>
      </c>
    </row>
    <row r="147" spans="1:6" x14ac:dyDescent="0.2">
      <c r="A147" s="115">
        <v>6</v>
      </c>
      <c r="B147" s="116" t="s">
        <v>118</v>
      </c>
      <c r="C147" s="113">
        <v>7771216</v>
      </c>
      <c r="D147" s="113">
        <v>6745854</v>
      </c>
      <c r="E147" s="113">
        <f t="shared" si="20"/>
        <v>-1025362</v>
      </c>
      <c r="F147" s="114">
        <f t="shared" si="21"/>
        <v>-0.13194357228006531</v>
      </c>
    </row>
    <row r="148" spans="1:6" x14ac:dyDescent="0.2">
      <c r="A148" s="115">
        <v>7</v>
      </c>
      <c r="B148" s="116" t="s">
        <v>119</v>
      </c>
      <c r="C148" s="113">
        <v>76547983</v>
      </c>
      <c r="D148" s="113">
        <v>77528383</v>
      </c>
      <c r="E148" s="113">
        <f t="shared" si="20"/>
        <v>980400</v>
      </c>
      <c r="F148" s="114">
        <f t="shared" si="21"/>
        <v>1.2807652946257252E-2</v>
      </c>
    </row>
    <row r="149" spans="1:6" x14ac:dyDescent="0.2">
      <c r="A149" s="115">
        <v>8</v>
      </c>
      <c r="B149" s="116" t="s">
        <v>120</v>
      </c>
      <c r="C149" s="113">
        <v>2915638</v>
      </c>
      <c r="D149" s="113">
        <v>2860677</v>
      </c>
      <c r="E149" s="113">
        <f t="shared" si="20"/>
        <v>-54961</v>
      </c>
      <c r="F149" s="114">
        <f t="shared" si="21"/>
        <v>-1.8850419702308722E-2</v>
      </c>
    </row>
    <row r="150" spans="1:6" x14ac:dyDescent="0.2">
      <c r="A150" s="115">
        <v>9</v>
      </c>
      <c r="B150" s="116" t="s">
        <v>121</v>
      </c>
      <c r="C150" s="113">
        <v>7757608</v>
      </c>
      <c r="D150" s="113">
        <v>10060023</v>
      </c>
      <c r="E150" s="113">
        <f t="shared" si="20"/>
        <v>2302415</v>
      </c>
      <c r="F150" s="114">
        <f t="shared" si="21"/>
        <v>0.29679445004181704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216772404</v>
      </c>
      <c r="D153" s="119">
        <f>SUM(D142:D152)</f>
        <v>216382755</v>
      </c>
      <c r="E153" s="119">
        <f t="shared" si="20"/>
        <v>-389649</v>
      </c>
      <c r="F153" s="120">
        <f t="shared" si="21"/>
        <v>-1.7975027854560306E-3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9062102</v>
      </c>
      <c r="D155" s="113">
        <v>7596970</v>
      </c>
      <c r="E155" s="113">
        <f t="shared" ref="E155:E166" si="22">D155-C155</f>
        <v>-1465132</v>
      </c>
      <c r="F155" s="114">
        <f t="shared" ref="F155:F166" si="23">IF(C155=0,0,E155/C155)</f>
        <v>-0.16167683833176894</v>
      </c>
    </row>
    <row r="156" spans="1:6" x14ac:dyDescent="0.2">
      <c r="A156" s="115">
        <v>2</v>
      </c>
      <c r="B156" s="116" t="s">
        <v>114</v>
      </c>
      <c r="C156" s="113">
        <v>2111222</v>
      </c>
      <c r="D156" s="113">
        <v>2093493</v>
      </c>
      <c r="E156" s="113">
        <f t="shared" si="22"/>
        <v>-17729</v>
      </c>
      <c r="F156" s="114">
        <f t="shared" si="23"/>
        <v>-8.3975062783544323E-3</v>
      </c>
    </row>
    <row r="157" spans="1:6" x14ac:dyDescent="0.2">
      <c r="A157" s="115">
        <v>3</v>
      </c>
      <c r="B157" s="116" t="s">
        <v>115</v>
      </c>
      <c r="C157" s="113">
        <v>7786480</v>
      </c>
      <c r="D157" s="113">
        <v>7926639</v>
      </c>
      <c r="E157" s="113">
        <f t="shared" si="22"/>
        <v>140159</v>
      </c>
      <c r="F157" s="114">
        <f t="shared" si="23"/>
        <v>1.8000303089457624E-2</v>
      </c>
    </row>
    <row r="158" spans="1:6" x14ac:dyDescent="0.2">
      <c r="A158" s="115">
        <v>4</v>
      </c>
      <c r="B158" s="116" t="s">
        <v>116</v>
      </c>
      <c r="C158" s="113">
        <v>1054676</v>
      </c>
      <c r="D158" s="113">
        <v>0</v>
      </c>
      <c r="E158" s="113">
        <f t="shared" si="22"/>
        <v>-1054676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259008</v>
      </c>
      <c r="D159" s="113">
        <v>223282</v>
      </c>
      <c r="E159" s="113">
        <f t="shared" si="22"/>
        <v>-35726</v>
      </c>
      <c r="F159" s="114">
        <f t="shared" si="23"/>
        <v>-0.13793396342970102</v>
      </c>
    </row>
    <row r="160" spans="1:6" x14ac:dyDescent="0.2">
      <c r="A160" s="115">
        <v>6</v>
      </c>
      <c r="B160" s="116" t="s">
        <v>118</v>
      </c>
      <c r="C160" s="113">
        <v>2458044</v>
      </c>
      <c r="D160" s="113">
        <v>1734052</v>
      </c>
      <c r="E160" s="113">
        <f t="shared" si="22"/>
        <v>-723992</v>
      </c>
      <c r="F160" s="114">
        <f t="shared" si="23"/>
        <v>-0.29453988618592669</v>
      </c>
    </row>
    <row r="161" spans="1:6" x14ac:dyDescent="0.2">
      <c r="A161" s="115">
        <v>7</v>
      </c>
      <c r="B161" s="116" t="s">
        <v>119</v>
      </c>
      <c r="C161" s="113">
        <v>35619667</v>
      </c>
      <c r="D161" s="113">
        <v>33892900</v>
      </c>
      <c r="E161" s="113">
        <f t="shared" si="22"/>
        <v>-1726767</v>
      </c>
      <c r="F161" s="114">
        <f t="shared" si="23"/>
        <v>-4.8477909689610521E-2</v>
      </c>
    </row>
    <row r="162" spans="1:6" x14ac:dyDescent="0.2">
      <c r="A162" s="115">
        <v>8</v>
      </c>
      <c r="B162" s="116" t="s">
        <v>120</v>
      </c>
      <c r="C162" s="113">
        <v>2282120</v>
      </c>
      <c r="D162" s="113">
        <v>1757000</v>
      </c>
      <c r="E162" s="113">
        <f t="shared" si="22"/>
        <v>-525120</v>
      </c>
      <c r="F162" s="114">
        <f t="shared" si="23"/>
        <v>-0.23010183513575097</v>
      </c>
    </row>
    <row r="163" spans="1:6" x14ac:dyDescent="0.2">
      <c r="A163" s="115">
        <v>9</v>
      </c>
      <c r="B163" s="116" t="s">
        <v>121</v>
      </c>
      <c r="C163" s="113">
        <v>398093</v>
      </c>
      <c r="D163" s="113">
        <v>222548</v>
      </c>
      <c r="E163" s="113">
        <f t="shared" si="22"/>
        <v>-175545</v>
      </c>
      <c r="F163" s="114">
        <f t="shared" si="23"/>
        <v>-0.44096479968248625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61031412</v>
      </c>
      <c r="D166" s="119">
        <f>SUM(D155:D165)</f>
        <v>55446884</v>
      </c>
      <c r="E166" s="119">
        <f t="shared" si="22"/>
        <v>-5584528</v>
      </c>
      <c r="F166" s="120">
        <f t="shared" si="23"/>
        <v>-9.1502520046562258E-2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16660</v>
      </c>
      <c r="D168" s="133">
        <v>15450</v>
      </c>
      <c r="E168" s="133">
        <f t="shared" ref="E168:E179" si="24">D168-C168</f>
        <v>-1210</v>
      </c>
      <c r="F168" s="114">
        <f t="shared" ref="F168:F179" si="25">IF(C168=0,0,E168/C168)</f>
        <v>-7.2629051620648255E-2</v>
      </c>
    </row>
    <row r="169" spans="1:6" x14ac:dyDescent="0.2">
      <c r="A169" s="115">
        <v>2</v>
      </c>
      <c r="B169" s="116" t="s">
        <v>114</v>
      </c>
      <c r="C169" s="133">
        <v>3129</v>
      </c>
      <c r="D169" s="133">
        <v>3591</v>
      </c>
      <c r="E169" s="133">
        <f t="shared" si="24"/>
        <v>462</v>
      </c>
      <c r="F169" s="114">
        <f t="shared" si="25"/>
        <v>0.1476510067114094</v>
      </c>
    </row>
    <row r="170" spans="1:6" x14ac:dyDescent="0.2">
      <c r="A170" s="115">
        <v>3</v>
      </c>
      <c r="B170" s="116" t="s">
        <v>115</v>
      </c>
      <c r="C170" s="133">
        <v>18006</v>
      </c>
      <c r="D170" s="133">
        <v>20476</v>
      </c>
      <c r="E170" s="133">
        <f t="shared" si="24"/>
        <v>2470</v>
      </c>
      <c r="F170" s="114">
        <f t="shared" si="25"/>
        <v>0.13717649672331444</v>
      </c>
    </row>
    <row r="171" spans="1:6" x14ac:dyDescent="0.2">
      <c r="A171" s="115">
        <v>4</v>
      </c>
      <c r="B171" s="116" t="s">
        <v>116</v>
      </c>
      <c r="C171" s="133">
        <v>2645</v>
      </c>
      <c r="D171" s="133">
        <v>0</v>
      </c>
      <c r="E171" s="133">
        <f t="shared" si="24"/>
        <v>-2645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732</v>
      </c>
      <c r="D172" s="133">
        <v>642</v>
      </c>
      <c r="E172" s="133">
        <f t="shared" si="24"/>
        <v>-90</v>
      </c>
      <c r="F172" s="114">
        <f t="shared" si="25"/>
        <v>-0.12295081967213115</v>
      </c>
    </row>
    <row r="173" spans="1:6" x14ac:dyDescent="0.2">
      <c r="A173" s="115">
        <v>6</v>
      </c>
      <c r="B173" s="116" t="s">
        <v>118</v>
      </c>
      <c r="C173" s="133">
        <v>3193</v>
      </c>
      <c r="D173" s="133">
        <v>2568</v>
      </c>
      <c r="E173" s="133">
        <f t="shared" si="24"/>
        <v>-625</v>
      </c>
      <c r="F173" s="114">
        <f t="shared" si="25"/>
        <v>-0.1957406827435014</v>
      </c>
    </row>
    <row r="174" spans="1:6" x14ac:dyDescent="0.2">
      <c r="A174" s="115">
        <v>7</v>
      </c>
      <c r="B174" s="116" t="s">
        <v>119</v>
      </c>
      <c r="C174" s="133">
        <v>33573</v>
      </c>
      <c r="D174" s="133">
        <v>31607</v>
      </c>
      <c r="E174" s="133">
        <f t="shared" si="24"/>
        <v>-1966</v>
      </c>
      <c r="F174" s="114">
        <f t="shared" si="25"/>
        <v>-5.8558961069907364E-2</v>
      </c>
    </row>
    <row r="175" spans="1:6" x14ac:dyDescent="0.2">
      <c r="A175" s="115">
        <v>8</v>
      </c>
      <c r="B175" s="116" t="s">
        <v>120</v>
      </c>
      <c r="C175" s="133">
        <v>2127</v>
      </c>
      <c r="D175" s="133">
        <v>1967</v>
      </c>
      <c r="E175" s="133">
        <f t="shared" si="24"/>
        <v>-160</v>
      </c>
      <c r="F175" s="114">
        <f t="shared" si="25"/>
        <v>-7.5223319228960972E-2</v>
      </c>
    </row>
    <row r="176" spans="1:6" x14ac:dyDescent="0.2">
      <c r="A176" s="115">
        <v>9</v>
      </c>
      <c r="B176" s="116" t="s">
        <v>121</v>
      </c>
      <c r="C176" s="133">
        <v>5017</v>
      </c>
      <c r="D176" s="133">
        <v>4892</v>
      </c>
      <c r="E176" s="133">
        <f t="shared" si="24"/>
        <v>-125</v>
      </c>
      <c r="F176" s="114">
        <f t="shared" si="25"/>
        <v>-2.491528802072952E-2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85082</v>
      </c>
      <c r="D179" s="134">
        <f>SUM(D168:D178)</f>
        <v>81193</v>
      </c>
      <c r="E179" s="134">
        <f t="shared" si="24"/>
        <v>-3889</v>
      </c>
      <c r="F179" s="120">
        <f t="shared" si="25"/>
        <v>-4.5708845584259888E-2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47712048</v>
      </c>
      <c r="D15" s="157">
        <v>48997371</v>
      </c>
      <c r="E15" s="157">
        <f>+D15-C15</f>
        <v>1285323</v>
      </c>
      <c r="F15" s="161">
        <f>IF(C15=0,0,E15/C15)</f>
        <v>2.6939170584335429E-2</v>
      </c>
    </row>
    <row r="16" spans="1:6" ht="15" customHeight="1" x14ac:dyDescent="0.2">
      <c r="A16" s="147">
        <v>2</v>
      </c>
      <c r="B16" s="160" t="s">
        <v>157</v>
      </c>
      <c r="C16" s="157">
        <v>26601785</v>
      </c>
      <c r="D16" s="157">
        <v>27684896</v>
      </c>
      <c r="E16" s="157">
        <f>+D16-C16</f>
        <v>1083111</v>
      </c>
      <c r="F16" s="161">
        <f>IF(C16=0,0,E16/C16)</f>
        <v>4.0715726407081328E-2</v>
      </c>
    </row>
    <row r="17" spans="1:6" ht="15" customHeight="1" x14ac:dyDescent="0.2">
      <c r="A17" s="147">
        <v>3</v>
      </c>
      <c r="B17" s="160" t="s">
        <v>158</v>
      </c>
      <c r="C17" s="157">
        <v>87361080</v>
      </c>
      <c r="D17" s="157">
        <v>87711038</v>
      </c>
      <c r="E17" s="157">
        <f>+D17-C17</f>
        <v>349958</v>
      </c>
      <c r="F17" s="161">
        <f>IF(C17=0,0,E17/C17)</f>
        <v>4.0058799639381745E-3</v>
      </c>
    </row>
    <row r="18" spans="1:6" ht="15.75" customHeight="1" x14ac:dyDescent="0.25">
      <c r="A18" s="147"/>
      <c r="B18" s="162" t="s">
        <v>159</v>
      </c>
      <c r="C18" s="158">
        <f>SUM(C15:C17)</f>
        <v>161674913</v>
      </c>
      <c r="D18" s="158">
        <f>SUM(D15:D17)</f>
        <v>164393305</v>
      </c>
      <c r="E18" s="158">
        <f>+D18-C18</f>
        <v>2718392</v>
      </c>
      <c r="F18" s="159">
        <f>IF(C18=0,0,E18/C18)</f>
        <v>1.6813938226767439E-2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11105634</v>
      </c>
      <c r="D21" s="157">
        <v>11061300</v>
      </c>
      <c r="E21" s="157">
        <f>+D21-C21</f>
        <v>-44334</v>
      </c>
      <c r="F21" s="161">
        <f>IF(C21=0,0,E21/C21)</f>
        <v>-3.9920278301986177E-3</v>
      </c>
    </row>
    <row r="22" spans="1:6" ht="15" customHeight="1" x14ac:dyDescent="0.2">
      <c r="A22" s="147">
        <v>2</v>
      </c>
      <c r="B22" s="160" t="s">
        <v>162</v>
      </c>
      <c r="C22" s="157">
        <v>6191930</v>
      </c>
      <c r="D22" s="157">
        <v>6249946</v>
      </c>
      <c r="E22" s="157">
        <f>+D22-C22</f>
        <v>58016</v>
      </c>
      <c r="F22" s="161">
        <f>IF(C22=0,0,E22/C22)</f>
        <v>9.369614966577464E-3</v>
      </c>
    </row>
    <row r="23" spans="1:6" ht="15" customHeight="1" x14ac:dyDescent="0.2">
      <c r="A23" s="147">
        <v>3</v>
      </c>
      <c r="B23" s="160" t="s">
        <v>163</v>
      </c>
      <c r="C23" s="157">
        <v>20334489</v>
      </c>
      <c r="D23" s="157">
        <v>19801024</v>
      </c>
      <c r="E23" s="157">
        <f>+D23-C23</f>
        <v>-533465</v>
      </c>
      <c r="F23" s="161">
        <f>IF(C23=0,0,E23/C23)</f>
        <v>-2.6234492541219009E-2</v>
      </c>
    </row>
    <row r="24" spans="1:6" ht="15.75" customHeight="1" x14ac:dyDescent="0.25">
      <c r="A24" s="147"/>
      <c r="B24" s="162" t="s">
        <v>164</v>
      </c>
      <c r="C24" s="158">
        <f>SUM(C21:C23)</f>
        <v>37632053</v>
      </c>
      <c r="D24" s="158">
        <f>SUM(D21:D23)</f>
        <v>37112270</v>
      </c>
      <c r="E24" s="158">
        <f>+D24-C24</f>
        <v>-519783</v>
      </c>
      <c r="F24" s="159">
        <f>IF(C24=0,0,E24/C24)</f>
        <v>-1.3812241389009524E-2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625759</v>
      </c>
      <c r="D27" s="157">
        <v>558510</v>
      </c>
      <c r="E27" s="157">
        <f>+D27-C27</f>
        <v>-67249</v>
      </c>
      <c r="F27" s="161">
        <f>IF(C27=0,0,E27/C27)</f>
        <v>-0.10746789099317788</v>
      </c>
    </row>
    <row r="28" spans="1:6" ht="15" customHeight="1" x14ac:dyDescent="0.2">
      <c r="A28" s="147">
        <v>2</v>
      </c>
      <c r="B28" s="160" t="s">
        <v>167</v>
      </c>
      <c r="C28" s="157">
        <v>3404502</v>
      </c>
      <c r="D28" s="157">
        <v>3449731</v>
      </c>
      <c r="E28" s="157">
        <f>+D28-C28</f>
        <v>45229</v>
      </c>
      <c r="F28" s="161">
        <f>IF(C28=0,0,E28/C28)</f>
        <v>1.3285056081623685E-2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4030261</v>
      </c>
      <c r="D30" s="158">
        <f>SUM(D27:D29)</f>
        <v>4008241</v>
      </c>
      <c r="E30" s="158">
        <f>+D30-C30</f>
        <v>-22020</v>
      </c>
      <c r="F30" s="159">
        <f>IF(C30=0,0,E30/C30)</f>
        <v>-5.4636660007875417E-3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25188379</v>
      </c>
      <c r="D33" s="157">
        <v>26475474</v>
      </c>
      <c r="E33" s="157">
        <f>+D33-C33</f>
        <v>1287095</v>
      </c>
      <c r="F33" s="161">
        <f>IF(C33=0,0,E33/C33)</f>
        <v>5.1098762647647948E-2</v>
      </c>
    </row>
    <row r="34" spans="1:6" ht="15" customHeight="1" x14ac:dyDescent="0.2">
      <c r="A34" s="147">
        <v>2</v>
      </c>
      <c r="B34" s="160" t="s">
        <v>173</v>
      </c>
      <c r="C34" s="157">
        <v>9420677</v>
      </c>
      <c r="D34" s="157">
        <v>10479956</v>
      </c>
      <c r="E34" s="157">
        <f>+D34-C34</f>
        <v>1059279</v>
      </c>
      <c r="F34" s="161">
        <f>IF(C34=0,0,E34/C34)</f>
        <v>0.11244191898310493</v>
      </c>
    </row>
    <row r="35" spans="1:6" ht="15.75" customHeight="1" x14ac:dyDescent="0.25">
      <c r="A35" s="147"/>
      <c r="B35" s="162" t="s">
        <v>174</v>
      </c>
      <c r="C35" s="158">
        <f>SUM(C33:C34)</f>
        <v>34609056</v>
      </c>
      <c r="D35" s="158">
        <f>SUM(D33:D34)</f>
        <v>36955430</v>
      </c>
      <c r="E35" s="158">
        <f>+D35-C35</f>
        <v>2346374</v>
      </c>
      <c r="F35" s="159">
        <f>IF(C35=0,0,E35/C35)</f>
        <v>6.779653279187968E-2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10302808</v>
      </c>
      <c r="D38" s="157">
        <v>10446240</v>
      </c>
      <c r="E38" s="157">
        <f>+D38-C38</f>
        <v>143432</v>
      </c>
      <c r="F38" s="161">
        <f>IF(C38=0,0,E38/C38)</f>
        <v>1.3921641556360168E-2</v>
      </c>
    </row>
    <row r="39" spans="1:6" ht="15" customHeight="1" x14ac:dyDescent="0.2">
      <c r="A39" s="147">
        <v>2</v>
      </c>
      <c r="B39" s="160" t="s">
        <v>178</v>
      </c>
      <c r="C39" s="157">
        <v>11168788</v>
      </c>
      <c r="D39" s="157">
        <v>11698818</v>
      </c>
      <c r="E39" s="157">
        <f>+D39-C39</f>
        <v>530030</v>
      </c>
      <c r="F39" s="161">
        <f>IF(C39=0,0,E39/C39)</f>
        <v>4.7456357842945898E-2</v>
      </c>
    </row>
    <row r="40" spans="1:6" ht="15" customHeight="1" x14ac:dyDescent="0.2">
      <c r="A40" s="147">
        <v>3</v>
      </c>
      <c r="B40" s="160" t="s">
        <v>179</v>
      </c>
      <c r="C40" s="157">
        <v>-22864</v>
      </c>
      <c r="D40" s="157">
        <v>-17851</v>
      </c>
      <c r="E40" s="157">
        <f>+D40-C40</f>
        <v>5013</v>
      </c>
      <c r="F40" s="161">
        <f>IF(C40=0,0,E40/C40)</f>
        <v>-0.21925297410776767</v>
      </c>
    </row>
    <row r="41" spans="1:6" ht="15.75" customHeight="1" x14ac:dyDescent="0.25">
      <c r="A41" s="147"/>
      <c r="B41" s="162" t="s">
        <v>180</v>
      </c>
      <c r="C41" s="158">
        <f>SUM(C38:C40)</f>
        <v>21448732</v>
      </c>
      <c r="D41" s="158">
        <f>SUM(D38:D40)</f>
        <v>22127207</v>
      </c>
      <c r="E41" s="158">
        <f>+D41-C41</f>
        <v>678475</v>
      </c>
      <c r="F41" s="159">
        <f>IF(C41=0,0,E41/C41)</f>
        <v>3.1632406055518807E-2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12199395</v>
      </c>
      <c r="D44" s="157">
        <v>0</v>
      </c>
      <c r="E44" s="157">
        <f>+D44-C44</f>
        <v>-12199395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3106032</v>
      </c>
      <c r="D47" s="157">
        <v>3016511</v>
      </c>
      <c r="E47" s="157">
        <f>+D47-C47</f>
        <v>-89521</v>
      </c>
      <c r="F47" s="161">
        <f>IF(C47=0,0,E47/C47)</f>
        <v>-2.8821660562415325E-2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1871742</v>
      </c>
      <c r="D50" s="157">
        <v>4466100</v>
      </c>
      <c r="E50" s="157">
        <f>+D50-C50</f>
        <v>2594358</v>
      </c>
      <c r="F50" s="161">
        <f>IF(C50=0,0,E50/C50)</f>
        <v>1.3860660283308277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490212</v>
      </c>
      <c r="D53" s="157">
        <v>378807</v>
      </c>
      <c r="E53" s="157">
        <f t="shared" ref="E53:E59" si="0">+D53-C53</f>
        <v>-111405</v>
      </c>
      <c r="F53" s="161">
        <f t="shared" ref="F53:F59" si="1">IF(C53=0,0,E53/C53)</f>
        <v>-0.22725881863357078</v>
      </c>
    </row>
    <row r="54" spans="1:6" ht="15" customHeight="1" x14ac:dyDescent="0.2">
      <c r="A54" s="147">
        <v>2</v>
      </c>
      <c r="B54" s="160" t="s">
        <v>189</v>
      </c>
      <c r="C54" s="157">
        <v>120697</v>
      </c>
      <c r="D54" s="157">
        <v>147013</v>
      </c>
      <c r="E54" s="157">
        <f t="shared" si="0"/>
        <v>26316</v>
      </c>
      <c r="F54" s="161">
        <f t="shared" si="1"/>
        <v>0.21803358824162986</v>
      </c>
    </row>
    <row r="55" spans="1:6" ht="15" customHeight="1" x14ac:dyDescent="0.2">
      <c r="A55" s="147">
        <v>3</v>
      </c>
      <c r="B55" s="160" t="s">
        <v>190</v>
      </c>
      <c r="C55" s="157">
        <v>977604</v>
      </c>
      <c r="D55" s="157">
        <v>935629</v>
      </c>
      <c r="E55" s="157">
        <f t="shared" si="0"/>
        <v>-41975</v>
      </c>
      <c r="F55" s="161">
        <f t="shared" si="1"/>
        <v>-4.2936608279016859E-2</v>
      </c>
    </row>
    <row r="56" spans="1:6" ht="15" customHeight="1" x14ac:dyDescent="0.2">
      <c r="A56" s="147">
        <v>4</v>
      </c>
      <c r="B56" s="160" t="s">
        <v>191</v>
      </c>
      <c r="C56" s="157">
        <v>3340721</v>
      </c>
      <c r="D56" s="157">
        <v>2752920</v>
      </c>
      <c r="E56" s="157">
        <f t="shared" si="0"/>
        <v>-587801</v>
      </c>
      <c r="F56" s="161">
        <f t="shared" si="1"/>
        <v>-0.1759503412586684</v>
      </c>
    </row>
    <row r="57" spans="1:6" ht="15" customHeight="1" x14ac:dyDescent="0.2">
      <c r="A57" s="147">
        <v>5</v>
      </c>
      <c r="B57" s="160" t="s">
        <v>192</v>
      </c>
      <c r="C57" s="157">
        <v>1378849</v>
      </c>
      <c r="D57" s="157">
        <v>1415880</v>
      </c>
      <c r="E57" s="157">
        <f t="shared" si="0"/>
        <v>37031</v>
      </c>
      <c r="F57" s="161">
        <f t="shared" si="1"/>
        <v>2.6856457813727246E-2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6308083</v>
      </c>
      <c r="D59" s="158">
        <f>SUM(D53:D58)</f>
        <v>5630249</v>
      </c>
      <c r="E59" s="158">
        <f t="shared" si="0"/>
        <v>-677834</v>
      </c>
      <c r="F59" s="159">
        <f t="shared" si="1"/>
        <v>-0.1074548321574082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172414</v>
      </c>
      <c r="D62" s="157">
        <v>194525</v>
      </c>
      <c r="E62" s="157">
        <f t="shared" ref="E62:E90" si="2">+D62-C62</f>
        <v>22111</v>
      </c>
      <c r="F62" s="161">
        <f t="shared" ref="F62:F90" si="3">IF(C62=0,0,E62/C62)</f>
        <v>0.12824364610762468</v>
      </c>
    </row>
    <row r="63" spans="1:6" ht="15" customHeight="1" x14ac:dyDescent="0.2">
      <c r="A63" s="147">
        <v>2</v>
      </c>
      <c r="B63" s="160" t="s">
        <v>198</v>
      </c>
      <c r="C63" s="157">
        <v>605719</v>
      </c>
      <c r="D63" s="157">
        <v>447095</v>
      </c>
      <c r="E63" s="157">
        <f t="shared" si="2"/>
        <v>-158624</v>
      </c>
      <c r="F63" s="161">
        <f t="shared" si="3"/>
        <v>-0.26187720708777501</v>
      </c>
    </row>
    <row r="64" spans="1:6" ht="15" customHeight="1" x14ac:dyDescent="0.2">
      <c r="A64" s="147">
        <v>3</v>
      </c>
      <c r="B64" s="160" t="s">
        <v>199</v>
      </c>
      <c r="C64" s="157">
        <v>3016460</v>
      </c>
      <c r="D64" s="157">
        <v>6339117</v>
      </c>
      <c r="E64" s="157">
        <f t="shared" si="2"/>
        <v>3322657</v>
      </c>
      <c r="F64" s="161">
        <f t="shared" si="3"/>
        <v>1.1015087221445006</v>
      </c>
    </row>
    <row r="65" spans="1:6" ht="15" customHeight="1" x14ac:dyDescent="0.2">
      <c r="A65" s="147">
        <v>4</v>
      </c>
      <c r="B65" s="160" t="s">
        <v>200</v>
      </c>
      <c r="C65" s="157">
        <v>596009</v>
      </c>
      <c r="D65" s="157">
        <v>689899</v>
      </c>
      <c r="E65" s="157">
        <f t="shared" si="2"/>
        <v>93890</v>
      </c>
      <c r="F65" s="161">
        <f t="shared" si="3"/>
        <v>0.15753117822046311</v>
      </c>
    </row>
    <row r="66" spans="1:6" ht="15" customHeight="1" x14ac:dyDescent="0.2">
      <c r="A66" s="147">
        <v>5</v>
      </c>
      <c r="B66" s="160" t="s">
        <v>201</v>
      </c>
      <c r="C66" s="157">
        <v>1815761</v>
      </c>
      <c r="D66" s="157">
        <v>2274371</v>
      </c>
      <c r="E66" s="157">
        <f t="shared" si="2"/>
        <v>458610</v>
      </c>
      <c r="F66" s="161">
        <f t="shared" si="3"/>
        <v>0.25257178670540892</v>
      </c>
    </row>
    <row r="67" spans="1:6" ht="15" customHeight="1" x14ac:dyDescent="0.2">
      <c r="A67" s="147">
        <v>6</v>
      </c>
      <c r="B67" s="160" t="s">
        <v>202</v>
      </c>
      <c r="C67" s="157">
        <v>3623954</v>
      </c>
      <c r="D67" s="157">
        <v>3702608</v>
      </c>
      <c r="E67" s="157">
        <f t="shared" si="2"/>
        <v>78654</v>
      </c>
      <c r="F67" s="161">
        <f t="shared" si="3"/>
        <v>2.1703917875337271E-2</v>
      </c>
    </row>
    <row r="68" spans="1:6" ht="15" customHeight="1" x14ac:dyDescent="0.2">
      <c r="A68" s="147">
        <v>7</v>
      </c>
      <c r="B68" s="160" t="s">
        <v>203</v>
      </c>
      <c r="C68" s="157">
        <v>2002922</v>
      </c>
      <c r="D68" s="157">
        <v>2345532</v>
      </c>
      <c r="E68" s="157">
        <f t="shared" si="2"/>
        <v>342610</v>
      </c>
      <c r="F68" s="161">
        <f t="shared" si="3"/>
        <v>0.1710550885156786</v>
      </c>
    </row>
    <row r="69" spans="1:6" ht="15" customHeight="1" x14ac:dyDescent="0.2">
      <c r="A69" s="147">
        <v>8</v>
      </c>
      <c r="B69" s="160" t="s">
        <v>204</v>
      </c>
      <c r="C69" s="157">
        <v>206063</v>
      </c>
      <c r="D69" s="157">
        <v>542992</v>
      </c>
      <c r="E69" s="157">
        <f t="shared" si="2"/>
        <v>336929</v>
      </c>
      <c r="F69" s="161">
        <f t="shared" si="3"/>
        <v>1.635077621892334</v>
      </c>
    </row>
    <row r="70" spans="1:6" ht="15" customHeight="1" x14ac:dyDescent="0.2">
      <c r="A70" s="147">
        <v>9</v>
      </c>
      <c r="B70" s="160" t="s">
        <v>205</v>
      </c>
      <c r="C70" s="157">
        <v>1146988</v>
      </c>
      <c r="D70" s="157">
        <v>1084051</v>
      </c>
      <c r="E70" s="157">
        <f t="shared" si="2"/>
        <v>-62937</v>
      </c>
      <c r="F70" s="161">
        <f t="shared" si="3"/>
        <v>-5.4871541812120089E-2</v>
      </c>
    </row>
    <row r="71" spans="1:6" ht="15" customHeight="1" x14ac:dyDescent="0.2">
      <c r="A71" s="147">
        <v>10</v>
      </c>
      <c r="B71" s="160" t="s">
        <v>206</v>
      </c>
      <c r="C71" s="157">
        <v>89383</v>
      </c>
      <c r="D71" s="157">
        <v>103070</v>
      </c>
      <c r="E71" s="157">
        <f t="shared" si="2"/>
        <v>13687</v>
      </c>
      <c r="F71" s="161">
        <f t="shared" si="3"/>
        <v>0.15312755221910207</v>
      </c>
    </row>
    <row r="72" spans="1:6" ht="15" customHeight="1" x14ac:dyDescent="0.2">
      <c r="A72" s="147">
        <v>11</v>
      </c>
      <c r="B72" s="160" t="s">
        <v>207</v>
      </c>
      <c r="C72" s="157">
        <v>77140</v>
      </c>
      <c r="D72" s="157">
        <v>152532</v>
      </c>
      <c r="E72" s="157">
        <f t="shared" si="2"/>
        <v>75392</v>
      </c>
      <c r="F72" s="161">
        <f t="shared" si="3"/>
        <v>0.97733990147783256</v>
      </c>
    </row>
    <row r="73" spans="1:6" ht="15" customHeight="1" x14ac:dyDescent="0.2">
      <c r="A73" s="147">
        <v>12</v>
      </c>
      <c r="B73" s="160" t="s">
        <v>208</v>
      </c>
      <c r="C73" s="157">
        <v>1869428</v>
      </c>
      <c r="D73" s="157">
        <v>1886005</v>
      </c>
      <c r="E73" s="157">
        <f t="shared" si="2"/>
        <v>16577</v>
      </c>
      <c r="F73" s="161">
        <f t="shared" si="3"/>
        <v>8.8674182691176121E-3</v>
      </c>
    </row>
    <row r="74" spans="1:6" ht="15" customHeight="1" x14ac:dyDescent="0.2">
      <c r="A74" s="147">
        <v>13</v>
      </c>
      <c r="B74" s="160" t="s">
        <v>209</v>
      </c>
      <c r="C74" s="157">
        <v>442118</v>
      </c>
      <c r="D74" s="157">
        <v>364398</v>
      </c>
      <c r="E74" s="157">
        <f t="shared" si="2"/>
        <v>-77720</v>
      </c>
      <c r="F74" s="161">
        <f t="shared" si="3"/>
        <v>-0.17579017366404445</v>
      </c>
    </row>
    <row r="75" spans="1:6" ht="15" customHeight="1" x14ac:dyDescent="0.2">
      <c r="A75" s="147">
        <v>14</v>
      </c>
      <c r="B75" s="160" t="s">
        <v>210</v>
      </c>
      <c r="C75" s="157">
        <v>270230</v>
      </c>
      <c r="D75" s="157">
        <v>304049</v>
      </c>
      <c r="E75" s="157">
        <f t="shared" si="2"/>
        <v>33819</v>
      </c>
      <c r="F75" s="161">
        <f t="shared" si="3"/>
        <v>0.12514894719313177</v>
      </c>
    </row>
    <row r="76" spans="1:6" ht="15" customHeight="1" x14ac:dyDescent="0.2">
      <c r="A76" s="147">
        <v>15</v>
      </c>
      <c r="B76" s="160" t="s">
        <v>211</v>
      </c>
      <c r="C76" s="157">
        <v>503403</v>
      </c>
      <c r="D76" s="157">
        <v>385474</v>
      </c>
      <c r="E76" s="157">
        <f t="shared" si="2"/>
        <v>-117929</v>
      </c>
      <c r="F76" s="161">
        <f t="shared" si="3"/>
        <v>-0.23426360192529644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2986474</v>
      </c>
      <c r="D78" s="157">
        <v>3304553</v>
      </c>
      <c r="E78" s="157">
        <f t="shared" si="2"/>
        <v>318079</v>
      </c>
      <c r="F78" s="161">
        <f t="shared" si="3"/>
        <v>0.10650653580108181</v>
      </c>
    </row>
    <row r="79" spans="1:6" ht="15" customHeight="1" x14ac:dyDescent="0.2">
      <c r="A79" s="147">
        <v>18</v>
      </c>
      <c r="B79" s="160" t="s">
        <v>214</v>
      </c>
      <c r="C79" s="157">
        <v>439907</v>
      </c>
      <c r="D79" s="157">
        <v>384089</v>
      </c>
      <c r="E79" s="157">
        <f t="shared" si="2"/>
        <v>-55818</v>
      </c>
      <c r="F79" s="161">
        <f t="shared" si="3"/>
        <v>-0.12688590997642685</v>
      </c>
    </row>
    <row r="80" spans="1:6" ht="15" customHeight="1" x14ac:dyDescent="0.2">
      <c r="A80" s="147">
        <v>19</v>
      </c>
      <c r="B80" s="160" t="s">
        <v>215</v>
      </c>
      <c r="C80" s="157">
        <v>1547613</v>
      </c>
      <c r="D80" s="157">
        <v>2127138</v>
      </c>
      <c r="E80" s="157">
        <f t="shared" si="2"/>
        <v>579525</v>
      </c>
      <c r="F80" s="161">
        <f t="shared" si="3"/>
        <v>0.37446377098150507</v>
      </c>
    </row>
    <row r="81" spans="1:6" ht="15" customHeight="1" x14ac:dyDescent="0.2">
      <c r="A81" s="147">
        <v>20</v>
      </c>
      <c r="B81" s="160" t="s">
        <v>216</v>
      </c>
      <c r="C81" s="157">
        <v>2049815</v>
      </c>
      <c r="D81" s="157">
        <v>2706483</v>
      </c>
      <c r="E81" s="157">
        <f t="shared" si="2"/>
        <v>656668</v>
      </c>
      <c r="F81" s="161">
        <f t="shared" si="3"/>
        <v>0.32035476372257982</v>
      </c>
    </row>
    <row r="82" spans="1:6" ht="15" customHeight="1" x14ac:dyDescent="0.2">
      <c r="A82" s="147">
        <v>21</v>
      </c>
      <c r="B82" s="160" t="s">
        <v>217</v>
      </c>
      <c r="C82" s="157">
        <v>394363</v>
      </c>
      <c r="D82" s="157">
        <v>429731</v>
      </c>
      <c r="E82" s="157">
        <f t="shared" si="2"/>
        <v>35368</v>
      </c>
      <c r="F82" s="161">
        <f t="shared" si="3"/>
        <v>8.968386993708842E-2</v>
      </c>
    </row>
    <row r="83" spans="1:6" ht="15" customHeight="1" x14ac:dyDescent="0.2">
      <c r="A83" s="147">
        <v>22</v>
      </c>
      <c r="B83" s="160" t="s">
        <v>218</v>
      </c>
      <c r="C83" s="157">
        <v>1049979</v>
      </c>
      <c r="D83" s="157">
        <v>991354</v>
      </c>
      <c r="E83" s="157">
        <f t="shared" si="2"/>
        <v>-58625</v>
      </c>
      <c r="F83" s="161">
        <f t="shared" si="3"/>
        <v>-5.5834450022333781E-2</v>
      </c>
    </row>
    <row r="84" spans="1:6" ht="15" customHeight="1" x14ac:dyDescent="0.2">
      <c r="A84" s="147">
        <v>23</v>
      </c>
      <c r="B84" s="160" t="s">
        <v>219</v>
      </c>
      <c r="C84" s="157">
        <v>505722</v>
      </c>
      <c r="D84" s="157">
        <v>518898</v>
      </c>
      <c r="E84" s="157">
        <f t="shared" si="2"/>
        <v>13176</v>
      </c>
      <c r="F84" s="161">
        <f t="shared" si="3"/>
        <v>2.6053839856680153E-2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381888</v>
      </c>
      <c r="D86" s="157">
        <v>376055</v>
      </c>
      <c r="E86" s="157">
        <f t="shared" si="2"/>
        <v>-5833</v>
      </c>
      <c r="F86" s="161">
        <f t="shared" si="3"/>
        <v>-1.5274111781464723E-2</v>
      </c>
    </row>
    <row r="87" spans="1:6" ht="15" customHeight="1" x14ac:dyDescent="0.2">
      <c r="A87" s="147">
        <v>26</v>
      </c>
      <c r="B87" s="160" t="s">
        <v>222</v>
      </c>
      <c r="C87" s="157">
        <v>1465757</v>
      </c>
      <c r="D87" s="157">
        <v>2839373</v>
      </c>
      <c r="E87" s="157">
        <f t="shared" si="2"/>
        <v>1373616</v>
      </c>
      <c r="F87" s="161">
        <f t="shared" si="3"/>
        <v>0.9371376019353822</v>
      </c>
    </row>
    <row r="88" spans="1:6" ht="15" customHeight="1" x14ac:dyDescent="0.2">
      <c r="A88" s="147">
        <v>27</v>
      </c>
      <c r="B88" s="160" t="s">
        <v>223</v>
      </c>
      <c r="C88" s="157">
        <v>18293521</v>
      </c>
      <c r="D88" s="157">
        <v>19478329</v>
      </c>
      <c r="E88" s="157">
        <f t="shared" si="2"/>
        <v>1184808</v>
      </c>
      <c r="F88" s="161">
        <f t="shared" si="3"/>
        <v>6.4766536742707978E-2</v>
      </c>
    </row>
    <row r="89" spans="1:6" ht="15" customHeight="1" x14ac:dyDescent="0.2">
      <c r="A89" s="147">
        <v>28</v>
      </c>
      <c r="B89" s="160" t="s">
        <v>224</v>
      </c>
      <c r="C89" s="157">
        <v>6103993</v>
      </c>
      <c r="D89" s="157">
        <v>10598004</v>
      </c>
      <c r="E89" s="157">
        <f t="shared" si="2"/>
        <v>4494011</v>
      </c>
      <c r="F89" s="161">
        <f t="shared" si="3"/>
        <v>0.73624117852035542</v>
      </c>
    </row>
    <row r="90" spans="1:6" ht="15.75" customHeight="1" x14ac:dyDescent="0.25">
      <c r="A90" s="147"/>
      <c r="B90" s="162" t="s">
        <v>225</v>
      </c>
      <c r="C90" s="158">
        <f>SUM(C62:C89)</f>
        <v>51657024</v>
      </c>
      <c r="D90" s="158">
        <f>SUM(D62:D89)</f>
        <v>64569725</v>
      </c>
      <c r="E90" s="158">
        <f t="shared" si="2"/>
        <v>12912701</v>
      </c>
      <c r="F90" s="159">
        <f t="shared" si="3"/>
        <v>0.249969897607729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334537291</v>
      </c>
      <c r="D95" s="158">
        <f>+D93+D90+D59+D50+D47+D44+D41+D35+D30+D24+D18</f>
        <v>342279038</v>
      </c>
      <c r="E95" s="158">
        <f>+D95-C95</f>
        <v>7741747</v>
      </c>
      <c r="F95" s="159">
        <f>IF(C95=0,0,E95/C95)</f>
        <v>2.3141656276519557E-2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33005268</v>
      </c>
      <c r="D103" s="157">
        <v>43058154</v>
      </c>
      <c r="E103" s="157">
        <f t="shared" ref="E103:E121" si="4">D103-C103</f>
        <v>10052886</v>
      </c>
      <c r="F103" s="161">
        <f t="shared" ref="F103:F121" si="5">IF(C103=0,0,E103/C103)</f>
        <v>0.30458428636301332</v>
      </c>
    </row>
    <row r="104" spans="1:6" ht="15" customHeight="1" x14ac:dyDescent="0.2">
      <c r="A104" s="147">
        <v>2</v>
      </c>
      <c r="B104" s="169" t="s">
        <v>234</v>
      </c>
      <c r="C104" s="157">
        <v>1158142</v>
      </c>
      <c r="D104" s="157">
        <v>1220835</v>
      </c>
      <c r="E104" s="157">
        <f t="shared" si="4"/>
        <v>62693</v>
      </c>
      <c r="F104" s="161">
        <f t="shared" si="5"/>
        <v>5.4132394818597371E-2</v>
      </c>
    </row>
    <row r="105" spans="1:6" ht="15" customHeight="1" x14ac:dyDescent="0.2">
      <c r="A105" s="147">
        <v>3</v>
      </c>
      <c r="B105" s="169" t="s">
        <v>235</v>
      </c>
      <c r="C105" s="157">
        <v>17220390</v>
      </c>
      <c r="D105" s="157">
        <v>5011446</v>
      </c>
      <c r="E105" s="157">
        <f t="shared" si="4"/>
        <v>-12208944</v>
      </c>
      <c r="F105" s="161">
        <f t="shared" si="5"/>
        <v>-0.70898185232738631</v>
      </c>
    </row>
    <row r="106" spans="1:6" ht="15" customHeight="1" x14ac:dyDescent="0.2">
      <c r="A106" s="147">
        <v>4</v>
      </c>
      <c r="B106" s="169" t="s">
        <v>236</v>
      </c>
      <c r="C106" s="157">
        <v>2747251</v>
      </c>
      <c r="D106" s="157">
        <v>2787997</v>
      </c>
      <c r="E106" s="157">
        <f t="shared" si="4"/>
        <v>40746</v>
      </c>
      <c r="F106" s="161">
        <f t="shared" si="5"/>
        <v>1.4831553432867984E-2</v>
      </c>
    </row>
    <row r="107" spans="1:6" ht="15" customHeight="1" x14ac:dyDescent="0.2">
      <c r="A107" s="147">
        <v>5</v>
      </c>
      <c r="B107" s="169" t="s">
        <v>237</v>
      </c>
      <c r="C107" s="157">
        <v>14071330</v>
      </c>
      <c r="D107" s="157">
        <v>14928867</v>
      </c>
      <c r="E107" s="157">
        <f t="shared" si="4"/>
        <v>857537</v>
      </c>
      <c r="F107" s="161">
        <f t="shared" si="5"/>
        <v>6.0942142640390072E-2</v>
      </c>
    </row>
    <row r="108" spans="1:6" ht="15" customHeight="1" x14ac:dyDescent="0.2">
      <c r="A108" s="147">
        <v>6</v>
      </c>
      <c r="B108" s="169" t="s">
        <v>238</v>
      </c>
      <c r="C108" s="157">
        <v>1836437</v>
      </c>
      <c r="D108" s="157">
        <v>1793171</v>
      </c>
      <c r="E108" s="157">
        <f t="shared" si="4"/>
        <v>-43266</v>
      </c>
      <c r="F108" s="161">
        <f t="shared" si="5"/>
        <v>-2.3559751845557458E-2</v>
      </c>
    </row>
    <row r="109" spans="1:6" ht="15" customHeight="1" x14ac:dyDescent="0.2">
      <c r="A109" s="147">
        <v>7</v>
      </c>
      <c r="B109" s="169" t="s">
        <v>239</v>
      </c>
      <c r="C109" s="157">
        <v>39888625</v>
      </c>
      <c r="D109" s="157">
        <v>39357398</v>
      </c>
      <c r="E109" s="157">
        <f t="shared" si="4"/>
        <v>-531227</v>
      </c>
      <c r="F109" s="161">
        <f t="shared" si="5"/>
        <v>-1.3317756628612794E-2</v>
      </c>
    </row>
    <row r="110" spans="1:6" ht="15" customHeight="1" x14ac:dyDescent="0.2">
      <c r="A110" s="147">
        <v>8</v>
      </c>
      <c r="B110" s="169" t="s">
        <v>240</v>
      </c>
      <c r="C110" s="157">
        <v>2209250</v>
      </c>
      <c r="D110" s="157">
        <v>3130077</v>
      </c>
      <c r="E110" s="157">
        <f t="shared" si="4"/>
        <v>920827</v>
      </c>
      <c r="F110" s="161">
        <f t="shared" si="5"/>
        <v>0.41680525065067331</v>
      </c>
    </row>
    <row r="111" spans="1:6" ht="15" customHeight="1" x14ac:dyDescent="0.2">
      <c r="A111" s="147">
        <v>9</v>
      </c>
      <c r="B111" s="169" t="s">
        <v>241</v>
      </c>
      <c r="C111" s="157">
        <v>1646576</v>
      </c>
      <c r="D111" s="157">
        <v>1833867</v>
      </c>
      <c r="E111" s="157">
        <f t="shared" si="4"/>
        <v>187291</v>
      </c>
      <c r="F111" s="161">
        <f t="shared" si="5"/>
        <v>0.11374573660735976</v>
      </c>
    </row>
    <row r="112" spans="1:6" ht="15" customHeight="1" x14ac:dyDescent="0.2">
      <c r="A112" s="147">
        <v>10</v>
      </c>
      <c r="B112" s="169" t="s">
        <v>242</v>
      </c>
      <c r="C112" s="157">
        <v>3980607</v>
      </c>
      <c r="D112" s="157">
        <v>4005921</v>
      </c>
      <c r="E112" s="157">
        <f t="shared" si="4"/>
        <v>25314</v>
      </c>
      <c r="F112" s="161">
        <f t="shared" si="5"/>
        <v>6.3593316295730779E-3</v>
      </c>
    </row>
    <row r="113" spans="1:6" ht="15" customHeight="1" x14ac:dyDescent="0.2">
      <c r="A113" s="147">
        <v>11</v>
      </c>
      <c r="B113" s="169" t="s">
        <v>243</v>
      </c>
      <c r="C113" s="157">
        <v>2922360</v>
      </c>
      <c r="D113" s="157">
        <v>2976719</v>
      </c>
      <c r="E113" s="157">
        <f t="shared" si="4"/>
        <v>54359</v>
      </c>
      <c r="F113" s="161">
        <f t="shared" si="5"/>
        <v>1.8601062155244392E-2</v>
      </c>
    </row>
    <row r="114" spans="1:6" ht="15" customHeight="1" x14ac:dyDescent="0.2">
      <c r="A114" s="147">
        <v>12</v>
      </c>
      <c r="B114" s="169" t="s">
        <v>244</v>
      </c>
      <c r="C114" s="157">
        <v>840682</v>
      </c>
      <c r="D114" s="157">
        <v>861012</v>
      </c>
      <c r="E114" s="157">
        <f t="shared" si="4"/>
        <v>20330</v>
      </c>
      <c r="F114" s="161">
        <f t="shared" si="5"/>
        <v>2.4182746865045283E-2</v>
      </c>
    </row>
    <row r="115" spans="1:6" ht="15" customHeight="1" x14ac:dyDescent="0.2">
      <c r="A115" s="147">
        <v>13</v>
      </c>
      <c r="B115" s="169" t="s">
        <v>245</v>
      </c>
      <c r="C115" s="157">
        <v>13743529</v>
      </c>
      <c r="D115" s="157">
        <v>14166045</v>
      </c>
      <c r="E115" s="157">
        <f t="shared" si="4"/>
        <v>422516</v>
      </c>
      <c r="F115" s="161">
        <f t="shared" si="5"/>
        <v>3.0742904533471716E-2</v>
      </c>
    </row>
    <row r="116" spans="1:6" ht="15" customHeight="1" x14ac:dyDescent="0.2">
      <c r="A116" s="147">
        <v>14</v>
      </c>
      <c r="B116" s="169" t="s">
        <v>246</v>
      </c>
      <c r="C116" s="157">
        <v>1842743</v>
      </c>
      <c r="D116" s="157">
        <v>2037934</v>
      </c>
      <c r="E116" s="157">
        <f t="shared" si="4"/>
        <v>195191</v>
      </c>
      <c r="F116" s="161">
        <f t="shared" si="5"/>
        <v>0.10592415762805774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3371740</v>
      </c>
      <c r="D118" s="157">
        <v>3453645</v>
      </c>
      <c r="E118" s="157">
        <f t="shared" si="4"/>
        <v>81905</v>
      </c>
      <c r="F118" s="161">
        <f t="shared" si="5"/>
        <v>2.4291612046005918E-2</v>
      </c>
    </row>
    <row r="119" spans="1:6" ht="15" customHeight="1" x14ac:dyDescent="0.2">
      <c r="A119" s="147">
        <v>17</v>
      </c>
      <c r="B119" s="169" t="s">
        <v>248</v>
      </c>
      <c r="C119" s="157">
        <v>12217756</v>
      </c>
      <c r="D119" s="157">
        <v>13684140</v>
      </c>
      <c r="E119" s="157">
        <f t="shared" si="4"/>
        <v>1466384</v>
      </c>
      <c r="F119" s="161">
        <f t="shared" si="5"/>
        <v>0.12002073048438683</v>
      </c>
    </row>
    <row r="120" spans="1:6" ht="15" customHeight="1" x14ac:dyDescent="0.2">
      <c r="A120" s="147">
        <v>18</v>
      </c>
      <c r="B120" s="169" t="s">
        <v>249</v>
      </c>
      <c r="C120" s="157">
        <v>853923</v>
      </c>
      <c r="D120" s="157">
        <v>825329</v>
      </c>
      <c r="E120" s="157">
        <f t="shared" si="4"/>
        <v>-28594</v>
      </c>
      <c r="F120" s="161">
        <f t="shared" si="5"/>
        <v>-3.348545477753849E-2</v>
      </c>
    </row>
    <row r="121" spans="1:6" ht="15.75" customHeight="1" x14ac:dyDescent="0.25">
      <c r="A121" s="147"/>
      <c r="B121" s="165" t="s">
        <v>250</v>
      </c>
      <c r="C121" s="158">
        <f>SUM(C103:C120)</f>
        <v>153556609</v>
      </c>
      <c r="D121" s="158">
        <f>SUM(D103:D120)</f>
        <v>155132557</v>
      </c>
      <c r="E121" s="158">
        <f t="shared" si="4"/>
        <v>1575948</v>
      </c>
      <c r="F121" s="159">
        <f t="shared" si="5"/>
        <v>1.0262977349284915E-2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5961434</v>
      </c>
      <c r="D124" s="157">
        <v>4605155</v>
      </c>
      <c r="E124" s="157">
        <f t="shared" ref="E124:E130" si="6">D124-C124</f>
        <v>-1356279</v>
      </c>
      <c r="F124" s="161">
        <f t="shared" ref="F124:F130" si="7">IF(C124=0,0,E124/C124)</f>
        <v>-0.22750885105831919</v>
      </c>
    </row>
    <row r="125" spans="1:6" ht="15" customHeight="1" x14ac:dyDescent="0.2">
      <c r="A125" s="147">
        <v>2</v>
      </c>
      <c r="B125" s="169" t="s">
        <v>253</v>
      </c>
      <c r="C125" s="157">
        <v>4236730</v>
      </c>
      <c r="D125" s="157">
        <v>4267389</v>
      </c>
      <c r="E125" s="157">
        <f t="shared" si="6"/>
        <v>30659</v>
      </c>
      <c r="F125" s="161">
        <f t="shared" si="7"/>
        <v>7.2364771887753051E-3</v>
      </c>
    </row>
    <row r="126" spans="1:6" ht="15" customHeight="1" x14ac:dyDescent="0.2">
      <c r="A126" s="147">
        <v>3</v>
      </c>
      <c r="B126" s="169" t="s">
        <v>254</v>
      </c>
      <c r="C126" s="157">
        <v>3133785</v>
      </c>
      <c r="D126" s="157">
        <v>2988126</v>
      </c>
      <c r="E126" s="157">
        <f t="shared" si="6"/>
        <v>-145659</v>
      </c>
      <c r="F126" s="161">
        <f t="shared" si="7"/>
        <v>-4.6480214820097739E-2</v>
      </c>
    </row>
    <row r="127" spans="1:6" ht="15" customHeight="1" x14ac:dyDescent="0.2">
      <c r="A127" s="147">
        <v>4</v>
      </c>
      <c r="B127" s="169" t="s">
        <v>255</v>
      </c>
      <c r="C127" s="157">
        <v>4112456</v>
      </c>
      <c r="D127" s="157">
        <v>4225236</v>
      </c>
      <c r="E127" s="157">
        <f t="shared" si="6"/>
        <v>112780</v>
      </c>
      <c r="F127" s="161">
        <f t="shared" si="7"/>
        <v>2.7424001618497559E-2</v>
      </c>
    </row>
    <row r="128" spans="1:6" ht="15" customHeight="1" x14ac:dyDescent="0.2">
      <c r="A128" s="147">
        <v>5</v>
      </c>
      <c r="B128" s="169" t="s">
        <v>256</v>
      </c>
      <c r="C128" s="157">
        <v>326855</v>
      </c>
      <c r="D128" s="157">
        <v>380546</v>
      </c>
      <c r="E128" s="157">
        <f t="shared" si="6"/>
        <v>53691</v>
      </c>
      <c r="F128" s="161">
        <f t="shared" si="7"/>
        <v>0.16426549999235135</v>
      </c>
    </row>
    <row r="129" spans="1:6" ht="15" customHeight="1" x14ac:dyDescent="0.2">
      <c r="A129" s="147">
        <v>6</v>
      </c>
      <c r="B129" s="169" t="s">
        <v>257</v>
      </c>
      <c r="C129" s="157">
        <v>640058</v>
      </c>
      <c r="D129" s="157">
        <v>534572</v>
      </c>
      <c r="E129" s="157">
        <f t="shared" si="6"/>
        <v>-105486</v>
      </c>
      <c r="F129" s="161">
        <f t="shared" si="7"/>
        <v>-0.16480693937111948</v>
      </c>
    </row>
    <row r="130" spans="1:6" ht="15.75" customHeight="1" x14ac:dyDescent="0.25">
      <c r="A130" s="147"/>
      <c r="B130" s="165" t="s">
        <v>258</v>
      </c>
      <c r="C130" s="158">
        <f>SUM(C124:C129)</f>
        <v>18411318</v>
      </c>
      <c r="D130" s="158">
        <f>SUM(D124:D129)</f>
        <v>17001024</v>
      </c>
      <c r="E130" s="158">
        <f t="shared" si="6"/>
        <v>-1410294</v>
      </c>
      <c r="F130" s="159">
        <f t="shared" si="7"/>
        <v>-7.6599296150335353E-2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20461682</v>
      </c>
      <c r="D133" s="157">
        <v>21724027</v>
      </c>
      <c r="E133" s="157">
        <f t="shared" ref="E133:E167" si="8">D133-C133</f>
        <v>1262345</v>
      </c>
      <c r="F133" s="161">
        <f t="shared" ref="F133:F167" si="9">IF(C133=0,0,E133/C133)</f>
        <v>6.1693119852023894E-2</v>
      </c>
    </row>
    <row r="134" spans="1:6" ht="15" customHeight="1" x14ac:dyDescent="0.2">
      <c r="A134" s="147">
        <v>2</v>
      </c>
      <c r="B134" s="169" t="s">
        <v>261</v>
      </c>
      <c r="C134" s="157">
        <v>2361187</v>
      </c>
      <c r="D134" s="157">
        <v>2280084</v>
      </c>
      <c r="E134" s="157">
        <f t="shared" si="8"/>
        <v>-81103</v>
      </c>
      <c r="F134" s="161">
        <f t="shared" si="9"/>
        <v>-3.4348401884306497E-2</v>
      </c>
    </row>
    <row r="135" spans="1:6" ht="15" customHeight="1" x14ac:dyDescent="0.2">
      <c r="A135" s="147">
        <v>3</v>
      </c>
      <c r="B135" s="169" t="s">
        <v>262</v>
      </c>
      <c r="C135" s="157">
        <v>1058413</v>
      </c>
      <c r="D135" s="157">
        <v>1180363</v>
      </c>
      <c r="E135" s="157">
        <f t="shared" si="8"/>
        <v>121950</v>
      </c>
      <c r="F135" s="161">
        <f t="shared" si="9"/>
        <v>0.11521967322774758</v>
      </c>
    </row>
    <row r="136" spans="1:6" ht="15" customHeight="1" x14ac:dyDescent="0.2">
      <c r="A136" s="147">
        <v>4</v>
      </c>
      <c r="B136" s="169" t="s">
        <v>263</v>
      </c>
      <c r="C136" s="157">
        <v>176</v>
      </c>
      <c r="D136" s="157">
        <v>0</v>
      </c>
      <c r="E136" s="157">
        <f t="shared" si="8"/>
        <v>-176</v>
      </c>
      <c r="F136" s="161">
        <f t="shared" si="9"/>
        <v>-1</v>
      </c>
    </row>
    <row r="137" spans="1:6" ht="15" customHeight="1" x14ac:dyDescent="0.2">
      <c r="A137" s="147">
        <v>5</v>
      </c>
      <c r="B137" s="169" t="s">
        <v>264</v>
      </c>
      <c r="C137" s="157">
        <v>9263621</v>
      </c>
      <c r="D137" s="157">
        <v>9380821</v>
      </c>
      <c r="E137" s="157">
        <f t="shared" si="8"/>
        <v>117200</v>
      </c>
      <c r="F137" s="161">
        <f t="shared" si="9"/>
        <v>1.2651640217146189E-2</v>
      </c>
    </row>
    <row r="138" spans="1:6" ht="15" customHeight="1" x14ac:dyDescent="0.2">
      <c r="A138" s="147">
        <v>6</v>
      </c>
      <c r="B138" s="169" t="s">
        <v>265</v>
      </c>
      <c r="C138" s="157">
        <v>1650360</v>
      </c>
      <c r="D138" s="157">
        <v>1716704</v>
      </c>
      <c r="E138" s="157">
        <f t="shared" si="8"/>
        <v>66344</v>
      </c>
      <c r="F138" s="161">
        <f t="shared" si="9"/>
        <v>4.0199714001793549E-2</v>
      </c>
    </row>
    <row r="139" spans="1:6" ht="15" customHeight="1" x14ac:dyDescent="0.2">
      <c r="A139" s="147">
        <v>7</v>
      </c>
      <c r="B139" s="169" t="s">
        <v>266</v>
      </c>
      <c r="C139" s="157">
        <v>3056235</v>
      </c>
      <c r="D139" s="157">
        <v>3053837</v>
      </c>
      <c r="E139" s="157">
        <f t="shared" si="8"/>
        <v>-2398</v>
      </c>
      <c r="F139" s="161">
        <f t="shared" si="9"/>
        <v>-7.8462552781445149E-4</v>
      </c>
    </row>
    <row r="140" spans="1:6" ht="15" customHeight="1" x14ac:dyDescent="0.2">
      <c r="A140" s="147">
        <v>8</v>
      </c>
      <c r="B140" s="169" t="s">
        <v>267</v>
      </c>
      <c r="C140" s="157">
        <v>798018</v>
      </c>
      <c r="D140" s="157">
        <v>761314</v>
      </c>
      <c r="E140" s="157">
        <f t="shared" si="8"/>
        <v>-36704</v>
      </c>
      <c r="F140" s="161">
        <f t="shared" si="9"/>
        <v>-4.5993950011152633E-2</v>
      </c>
    </row>
    <row r="141" spans="1:6" ht="15" customHeight="1" x14ac:dyDescent="0.2">
      <c r="A141" s="147">
        <v>9</v>
      </c>
      <c r="B141" s="169" t="s">
        <v>268</v>
      </c>
      <c r="C141" s="157">
        <v>2598154</v>
      </c>
      <c r="D141" s="157">
        <v>2637822</v>
      </c>
      <c r="E141" s="157">
        <f t="shared" si="8"/>
        <v>39668</v>
      </c>
      <c r="F141" s="161">
        <f t="shared" si="9"/>
        <v>1.5267763188787116E-2</v>
      </c>
    </row>
    <row r="142" spans="1:6" ht="15" customHeight="1" x14ac:dyDescent="0.2">
      <c r="A142" s="147">
        <v>10</v>
      </c>
      <c r="B142" s="169" t="s">
        <v>269</v>
      </c>
      <c r="C142" s="157">
        <v>13630115</v>
      </c>
      <c r="D142" s="157">
        <v>14335537</v>
      </c>
      <c r="E142" s="157">
        <f t="shared" si="8"/>
        <v>705422</v>
      </c>
      <c r="F142" s="161">
        <f t="shared" si="9"/>
        <v>5.1754662378123734E-2</v>
      </c>
    </row>
    <row r="143" spans="1:6" ht="15" customHeight="1" x14ac:dyDescent="0.2">
      <c r="A143" s="147">
        <v>11</v>
      </c>
      <c r="B143" s="169" t="s">
        <v>270</v>
      </c>
      <c r="C143" s="157">
        <v>1928767</v>
      </c>
      <c r="D143" s="157">
        <v>1726382</v>
      </c>
      <c r="E143" s="157">
        <f t="shared" si="8"/>
        <v>-202385</v>
      </c>
      <c r="F143" s="161">
        <f t="shared" si="9"/>
        <v>-0.10492972971851966</v>
      </c>
    </row>
    <row r="144" spans="1:6" ht="15" customHeight="1" x14ac:dyDescent="0.2">
      <c r="A144" s="147">
        <v>12</v>
      </c>
      <c r="B144" s="169" t="s">
        <v>271</v>
      </c>
      <c r="C144" s="157">
        <v>711408</v>
      </c>
      <c r="D144" s="157">
        <v>744557</v>
      </c>
      <c r="E144" s="157">
        <f t="shared" si="8"/>
        <v>33149</v>
      </c>
      <c r="F144" s="161">
        <f t="shared" si="9"/>
        <v>4.6596327283359197E-2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560175</v>
      </c>
      <c r="D146" s="157">
        <v>263956</v>
      </c>
      <c r="E146" s="157">
        <f t="shared" si="8"/>
        <v>-296219</v>
      </c>
      <c r="F146" s="161">
        <f t="shared" si="9"/>
        <v>-0.52879725085910656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150881</v>
      </c>
      <c r="D148" s="157">
        <v>162675</v>
      </c>
      <c r="E148" s="157">
        <f t="shared" si="8"/>
        <v>11794</v>
      </c>
      <c r="F148" s="161">
        <f t="shared" si="9"/>
        <v>7.8167562516155115E-2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1157874</v>
      </c>
      <c r="D150" s="157">
        <v>1228731</v>
      </c>
      <c r="E150" s="157">
        <f t="shared" si="8"/>
        <v>70857</v>
      </c>
      <c r="F150" s="161">
        <f t="shared" si="9"/>
        <v>6.1195777778929317E-2</v>
      </c>
    </row>
    <row r="151" spans="1:6" ht="15" customHeight="1" x14ac:dyDescent="0.2">
      <c r="A151" s="147">
        <v>19</v>
      </c>
      <c r="B151" s="169" t="s">
        <v>278</v>
      </c>
      <c r="C151" s="157">
        <v>66127</v>
      </c>
      <c r="D151" s="157">
        <v>57500</v>
      </c>
      <c r="E151" s="157">
        <f t="shared" si="8"/>
        <v>-8627</v>
      </c>
      <c r="F151" s="161">
        <f t="shared" si="9"/>
        <v>-0.13046108246253421</v>
      </c>
    </row>
    <row r="152" spans="1:6" ht="15" customHeight="1" x14ac:dyDescent="0.2">
      <c r="A152" s="147">
        <v>20</v>
      </c>
      <c r="B152" s="169" t="s">
        <v>279</v>
      </c>
      <c r="C152" s="157">
        <v>749102</v>
      </c>
      <c r="D152" s="157">
        <v>804343</v>
      </c>
      <c r="E152" s="157">
        <f t="shared" si="8"/>
        <v>55241</v>
      </c>
      <c r="F152" s="161">
        <f t="shared" si="9"/>
        <v>7.3742961572656321E-2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8449452</v>
      </c>
      <c r="D154" s="157">
        <v>8716764</v>
      </c>
      <c r="E154" s="157">
        <f t="shared" si="8"/>
        <v>267312</v>
      </c>
      <c r="F154" s="161">
        <f t="shared" si="9"/>
        <v>3.1636607912560483E-2</v>
      </c>
    </row>
    <row r="155" spans="1:6" ht="15" customHeight="1" x14ac:dyDescent="0.2">
      <c r="A155" s="147">
        <v>23</v>
      </c>
      <c r="B155" s="169" t="s">
        <v>282</v>
      </c>
      <c r="C155" s="157">
        <v>164539</v>
      </c>
      <c r="D155" s="157">
        <v>170142</v>
      </c>
      <c r="E155" s="157">
        <f t="shared" si="8"/>
        <v>5603</v>
      </c>
      <c r="F155" s="161">
        <f t="shared" si="9"/>
        <v>3.4052716985030908E-2</v>
      </c>
    </row>
    <row r="156" spans="1:6" ht="15" customHeight="1" x14ac:dyDescent="0.2">
      <c r="A156" s="147">
        <v>24</v>
      </c>
      <c r="B156" s="169" t="s">
        <v>283</v>
      </c>
      <c r="C156" s="157">
        <v>21818365</v>
      </c>
      <c r="D156" s="157">
        <v>23289572</v>
      </c>
      <c r="E156" s="157">
        <f t="shared" si="8"/>
        <v>1471207</v>
      </c>
      <c r="F156" s="161">
        <f t="shared" si="9"/>
        <v>6.7429754704351128E-2</v>
      </c>
    </row>
    <row r="157" spans="1:6" ht="15" customHeight="1" x14ac:dyDescent="0.2">
      <c r="A157" s="147">
        <v>25</v>
      </c>
      <c r="B157" s="169" t="s">
        <v>284</v>
      </c>
      <c r="C157" s="157">
        <v>1923125</v>
      </c>
      <c r="D157" s="157">
        <v>2311168</v>
      </c>
      <c r="E157" s="157">
        <f t="shared" si="8"/>
        <v>388043</v>
      </c>
      <c r="F157" s="161">
        <f t="shared" si="9"/>
        <v>0.20177731556711082</v>
      </c>
    </row>
    <row r="158" spans="1:6" ht="15" customHeight="1" x14ac:dyDescent="0.2">
      <c r="A158" s="147">
        <v>26</v>
      </c>
      <c r="B158" s="169" t="s">
        <v>285</v>
      </c>
      <c r="C158" s="157">
        <v>366793</v>
      </c>
      <c r="D158" s="157">
        <v>351687</v>
      </c>
      <c r="E158" s="157">
        <f t="shared" si="8"/>
        <v>-15106</v>
      </c>
      <c r="F158" s="161">
        <f t="shared" si="9"/>
        <v>-4.1183992060917191E-2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698317</v>
      </c>
      <c r="D160" s="157">
        <v>755610</v>
      </c>
      <c r="E160" s="157">
        <f t="shared" si="8"/>
        <v>57293</v>
      </c>
      <c r="F160" s="161">
        <f t="shared" si="9"/>
        <v>8.2044401038496848E-2</v>
      </c>
    </row>
    <row r="161" spans="1:6" ht="15" customHeight="1" x14ac:dyDescent="0.2">
      <c r="A161" s="147">
        <v>29</v>
      </c>
      <c r="B161" s="169" t="s">
        <v>288</v>
      </c>
      <c r="C161" s="157">
        <v>700946</v>
      </c>
      <c r="D161" s="157">
        <v>687797</v>
      </c>
      <c r="E161" s="157">
        <f t="shared" si="8"/>
        <v>-13149</v>
      </c>
      <c r="F161" s="161">
        <f t="shared" si="9"/>
        <v>-1.8758934354429584E-2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944547</v>
      </c>
      <c r="D163" s="157">
        <v>983399</v>
      </c>
      <c r="E163" s="157">
        <f t="shared" si="8"/>
        <v>38852</v>
      </c>
      <c r="F163" s="161">
        <f t="shared" si="9"/>
        <v>4.1132945210772993E-2</v>
      </c>
    </row>
    <row r="164" spans="1:6" ht="15" customHeight="1" x14ac:dyDescent="0.2">
      <c r="A164" s="147">
        <v>32</v>
      </c>
      <c r="B164" s="169" t="s">
        <v>291</v>
      </c>
      <c r="C164" s="157">
        <v>3112617</v>
      </c>
      <c r="D164" s="157">
        <v>3193308</v>
      </c>
      <c r="E164" s="157">
        <f t="shared" si="8"/>
        <v>80691</v>
      </c>
      <c r="F164" s="161">
        <f t="shared" si="9"/>
        <v>2.5923844790412699E-2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3799006</v>
      </c>
      <c r="D166" s="157">
        <v>4209055</v>
      </c>
      <c r="E166" s="157">
        <f t="shared" si="8"/>
        <v>410049</v>
      </c>
      <c r="F166" s="161">
        <f t="shared" si="9"/>
        <v>0.10793586532898343</v>
      </c>
    </row>
    <row r="167" spans="1:6" ht="15.75" customHeight="1" x14ac:dyDescent="0.25">
      <c r="A167" s="147"/>
      <c r="B167" s="165" t="s">
        <v>294</v>
      </c>
      <c r="C167" s="158">
        <f>SUM(C133:C166)</f>
        <v>102180002</v>
      </c>
      <c r="D167" s="158">
        <f>SUM(D133:D166)</f>
        <v>106727155</v>
      </c>
      <c r="E167" s="158">
        <f t="shared" si="8"/>
        <v>4547153</v>
      </c>
      <c r="F167" s="159">
        <f t="shared" si="9"/>
        <v>4.4501398620054831E-2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23992820</v>
      </c>
      <c r="D170" s="157">
        <v>26432132</v>
      </c>
      <c r="E170" s="157">
        <f t="shared" ref="E170:E183" si="10">D170-C170</f>
        <v>2439312</v>
      </c>
      <c r="F170" s="161">
        <f t="shared" ref="F170:F183" si="11">IF(C170=0,0,E170/C170)</f>
        <v>0.10166841580106048</v>
      </c>
    </row>
    <row r="171" spans="1:6" ht="15" customHeight="1" x14ac:dyDescent="0.2">
      <c r="A171" s="147">
        <v>2</v>
      </c>
      <c r="B171" s="169" t="s">
        <v>297</v>
      </c>
      <c r="C171" s="157">
        <v>7180584</v>
      </c>
      <c r="D171" s="157">
        <v>6985358</v>
      </c>
      <c r="E171" s="157">
        <f t="shared" si="10"/>
        <v>-195226</v>
      </c>
      <c r="F171" s="161">
        <f t="shared" si="11"/>
        <v>-2.7188039301538704E-2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2564474</v>
      </c>
      <c r="D173" s="157">
        <v>2605732</v>
      </c>
      <c r="E173" s="157">
        <f t="shared" si="10"/>
        <v>41258</v>
      </c>
      <c r="F173" s="161">
        <f t="shared" si="11"/>
        <v>1.6088289450390217E-2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4502208</v>
      </c>
      <c r="D175" s="157">
        <v>4375043</v>
      </c>
      <c r="E175" s="157">
        <f t="shared" si="10"/>
        <v>-127165</v>
      </c>
      <c r="F175" s="161">
        <f t="shared" si="11"/>
        <v>-2.824502999417175E-2</v>
      </c>
    </row>
    <row r="176" spans="1:6" ht="15" customHeight="1" x14ac:dyDescent="0.2">
      <c r="A176" s="147">
        <v>7</v>
      </c>
      <c r="B176" s="169" t="s">
        <v>302</v>
      </c>
      <c r="C176" s="157">
        <v>1037117</v>
      </c>
      <c r="D176" s="157">
        <v>1084001</v>
      </c>
      <c r="E176" s="157">
        <f t="shared" si="10"/>
        <v>46884</v>
      </c>
      <c r="F176" s="161">
        <f t="shared" si="11"/>
        <v>4.5206085716462077E-2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1218834</v>
      </c>
      <c r="D179" s="157">
        <v>1468528</v>
      </c>
      <c r="E179" s="157">
        <f t="shared" si="10"/>
        <v>249694</v>
      </c>
      <c r="F179" s="161">
        <f t="shared" si="11"/>
        <v>0.20486300841624044</v>
      </c>
    </row>
    <row r="180" spans="1:6" ht="15" customHeight="1" x14ac:dyDescent="0.2">
      <c r="A180" s="147">
        <v>11</v>
      </c>
      <c r="B180" s="169" t="s">
        <v>306</v>
      </c>
      <c r="C180" s="157">
        <v>11126124</v>
      </c>
      <c r="D180" s="157">
        <v>11196860</v>
      </c>
      <c r="E180" s="157">
        <f t="shared" si="10"/>
        <v>70736</v>
      </c>
      <c r="F180" s="161">
        <f t="shared" si="11"/>
        <v>6.3576497978990705E-3</v>
      </c>
    </row>
    <row r="181" spans="1:6" ht="15" customHeight="1" x14ac:dyDescent="0.2">
      <c r="A181" s="147">
        <v>12</v>
      </c>
      <c r="B181" s="169" t="s">
        <v>307</v>
      </c>
      <c r="C181" s="157">
        <v>8585990</v>
      </c>
      <c r="D181" s="157">
        <v>9090108</v>
      </c>
      <c r="E181" s="157">
        <f t="shared" si="10"/>
        <v>504118</v>
      </c>
      <c r="F181" s="161">
        <f t="shared" si="11"/>
        <v>5.8714021330097052E-2</v>
      </c>
    </row>
    <row r="182" spans="1:6" ht="15" customHeight="1" x14ac:dyDescent="0.2">
      <c r="A182" s="147">
        <v>13</v>
      </c>
      <c r="B182" s="169" t="s">
        <v>308</v>
      </c>
      <c r="C182" s="157">
        <v>181211</v>
      </c>
      <c r="D182" s="157">
        <v>180540</v>
      </c>
      <c r="E182" s="157">
        <f t="shared" si="10"/>
        <v>-671</v>
      </c>
      <c r="F182" s="161">
        <f t="shared" si="11"/>
        <v>-3.7028657200721812E-3</v>
      </c>
    </row>
    <row r="183" spans="1:6" ht="15.75" customHeight="1" x14ac:dyDescent="0.25">
      <c r="A183" s="147"/>
      <c r="B183" s="165" t="s">
        <v>309</v>
      </c>
      <c r="C183" s="158">
        <f>SUM(C170:C182)</f>
        <v>60389362</v>
      </c>
      <c r="D183" s="158">
        <f>SUM(D170:D182)</f>
        <v>63418302</v>
      </c>
      <c r="E183" s="158">
        <f t="shared" si="10"/>
        <v>3028940</v>
      </c>
      <c r="F183" s="159">
        <f t="shared" si="11"/>
        <v>5.0156847161259961E-2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334537291</v>
      </c>
      <c r="D188" s="158">
        <f>+D186+D183+D167+D130+D121</f>
        <v>342279038</v>
      </c>
      <c r="E188" s="158">
        <f>D188-C188</f>
        <v>7741747</v>
      </c>
      <c r="F188" s="159">
        <f>IF(C188=0,0,E188/C188)</f>
        <v>2.3141656276519557E-2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336113486</v>
      </c>
      <c r="D11" s="183">
        <v>347835624</v>
      </c>
      <c r="E11" s="76">
        <v>347171019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9543630</v>
      </c>
      <c r="D12" s="185">
        <v>11871399</v>
      </c>
      <c r="E12" s="185">
        <v>12173148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345657116</v>
      </c>
      <c r="D13" s="76">
        <f>+D11+D12</f>
        <v>359707023</v>
      </c>
      <c r="E13" s="76">
        <f>+E11+E12</f>
        <v>359344167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328515648</v>
      </c>
      <c r="D14" s="185">
        <v>334537291</v>
      </c>
      <c r="E14" s="185">
        <v>342279038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17141468</v>
      </c>
      <c r="D15" s="76">
        <f>+D13-D14</f>
        <v>25169732</v>
      </c>
      <c r="E15" s="76">
        <f>+E13-E14</f>
        <v>17065129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4377722</v>
      </c>
      <c r="D16" s="185">
        <v>3903958</v>
      </c>
      <c r="E16" s="185">
        <v>7063038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21519190</v>
      </c>
      <c r="D17" s="76">
        <f>D15+D16</f>
        <v>29073690</v>
      </c>
      <c r="E17" s="76">
        <f>E15+E16</f>
        <v>24128167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4.8970748448758691E-2</v>
      </c>
      <c r="D20" s="189">
        <f>IF(+D27=0,0,+D24/+D27)</f>
        <v>6.9221594823067237E-2</v>
      </c>
      <c r="E20" s="189">
        <f>IF(+E27=0,0,+E24/+E27)</f>
        <v>4.6574217884170703E-2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1.2506532278367103E-2</v>
      </c>
      <c r="D21" s="189">
        <f>IF(D27=0,0,+D26/D27)</f>
        <v>1.0736633941206523E-2</v>
      </c>
      <c r="E21" s="189">
        <f>IF(E27=0,0,+E26/E27)</f>
        <v>1.9276471378339845E-2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6.1477280727125792E-2</v>
      </c>
      <c r="D22" s="189">
        <f>IF(D27=0,0,+D28/D27)</f>
        <v>7.9958228764273762E-2</v>
      </c>
      <c r="E22" s="189">
        <f>IF(E27=0,0,+E28/E27)</f>
        <v>6.5850689262510545E-2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17141468</v>
      </c>
      <c r="D24" s="76">
        <f>+D15</f>
        <v>25169732</v>
      </c>
      <c r="E24" s="76">
        <f>+E15</f>
        <v>17065129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345657116</v>
      </c>
      <c r="D25" s="76">
        <f>+D13</f>
        <v>359707023</v>
      </c>
      <c r="E25" s="76">
        <f>+E13</f>
        <v>359344167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4377722</v>
      </c>
      <c r="D26" s="76">
        <f>+D16</f>
        <v>3903958</v>
      </c>
      <c r="E26" s="76">
        <f>+E16</f>
        <v>7063038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350034838</v>
      </c>
      <c r="D27" s="76">
        <f>+D25+D26</f>
        <v>363610981</v>
      </c>
      <c r="E27" s="76">
        <f>+E25+E26</f>
        <v>366407205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21519190</v>
      </c>
      <c r="D28" s="76">
        <f>+D17</f>
        <v>29073690</v>
      </c>
      <c r="E28" s="76">
        <f>+E17</f>
        <v>24128167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124933000</v>
      </c>
      <c r="D31" s="76">
        <v>144992000</v>
      </c>
      <c r="E31" s="76">
        <v>247940000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138072000</v>
      </c>
      <c r="D32" s="76">
        <v>161005000</v>
      </c>
      <c r="E32" s="76">
        <v>264166000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-6738000</v>
      </c>
      <c r="D33" s="76">
        <f>+D32-C32</f>
        <v>22933000</v>
      </c>
      <c r="E33" s="76">
        <f>+E32-D32</f>
        <v>103161000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0.95340000000000003</v>
      </c>
      <c r="D34" s="193">
        <f>IF(C32=0,0,+D33/C32)</f>
        <v>0.16609450141954923</v>
      </c>
      <c r="E34" s="193">
        <f>IF(D32=0,0,+E33/D32)</f>
        <v>0.6407316542964504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0.31490664223429604</v>
      </c>
      <c r="D38" s="195">
        <f>IF((D40+D41)=0,0,+D39/(D40+D41))</f>
        <v>0.29578327056610138</v>
      </c>
      <c r="E38" s="195">
        <f>IF((E40+E41)=0,0,+E39/(E40+E41))</f>
        <v>0.27857128269070819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328515648</v>
      </c>
      <c r="D39" s="76">
        <v>334537291</v>
      </c>
      <c r="E39" s="196">
        <v>342279038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1033672371</v>
      </c>
      <c r="D40" s="76">
        <v>1119150279</v>
      </c>
      <c r="E40" s="196">
        <v>1216521478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9543630</v>
      </c>
      <c r="D41" s="76">
        <v>11871399</v>
      </c>
      <c r="E41" s="196">
        <v>12173148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1.40306399866279</v>
      </c>
      <c r="D43" s="197">
        <f>IF(D38=0,0,IF((D46-D47)=0,0,((+D44-D45)/(D46-D47)/D38)))</f>
        <v>1.4679564193778316</v>
      </c>
      <c r="E43" s="197">
        <f>IF(E38=0,0,IF((E46-E47)=0,0,((+E44-E45)/(E46-E47)/E38)))</f>
        <v>1.5541499812600965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183105943</v>
      </c>
      <c r="D44" s="76">
        <v>188050908</v>
      </c>
      <c r="E44" s="196">
        <v>194592913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8137253</v>
      </c>
      <c r="D45" s="76">
        <v>7779487</v>
      </c>
      <c r="E45" s="196">
        <v>8285172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416222085</v>
      </c>
      <c r="D46" s="76">
        <v>435228054</v>
      </c>
      <c r="E46" s="196">
        <v>451015896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20216749</v>
      </c>
      <c r="D47" s="76">
        <v>20044528</v>
      </c>
      <c r="E47" s="76">
        <v>20685891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0.7615533057453775</v>
      </c>
      <c r="D49" s="198">
        <f>IF(D38=0,0,IF(D51=0,0,(D50/D51)/D38))</f>
        <v>0.77354263771045872</v>
      </c>
      <c r="E49" s="198">
        <f>IF(E38=0,0,IF(E51=0,0,(E50/E51)/E38))</f>
        <v>0.77632130570323277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114384581</v>
      </c>
      <c r="D50" s="199">
        <v>119065111</v>
      </c>
      <c r="E50" s="199">
        <v>126605584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476963732</v>
      </c>
      <c r="D51" s="199">
        <v>520387262</v>
      </c>
      <c r="E51" s="199">
        <v>585430051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0.74749962255055902</v>
      </c>
      <c r="D53" s="198">
        <f>IF(D38=0,0,IF(D55=0,0,(D54/D55)/D38))</f>
        <v>0.65856416789215777</v>
      </c>
      <c r="E53" s="198">
        <f>IF(E38=0,0,IF(E55=0,0,(E54/E55)/E38))</f>
        <v>0.60576957520239738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32272046</v>
      </c>
      <c r="D54" s="199">
        <v>31082795</v>
      </c>
      <c r="E54" s="199">
        <v>29640372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137098815</v>
      </c>
      <c r="D55" s="199">
        <v>159568940</v>
      </c>
      <c r="E55" s="199">
        <v>175646641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6432546.3362306384</v>
      </c>
      <c r="D57" s="88">
        <f>+D60*D38</f>
        <v>5829531.5482335556</v>
      </c>
      <c r="E57" s="88">
        <f>+E60*E38</f>
        <v>5466908.2156901546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6856094</v>
      </c>
      <c r="D58" s="199">
        <v>7509399</v>
      </c>
      <c r="E58" s="199">
        <v>8529846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13570742</v>
      </c>
      <c r="D59" s="199">
        <v>12199395</v>
      </c>
      <c r="E59" s="199">
        <v>11094963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20426836</v>
      </c>
      <c r="D60" s="76">
        <v>19708794</v>
      </c>
      <c r="E60" s="201">
        <v>19624809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1.9580639081857795E-2</v>
      </c>
      <c r="D62" s="202">
        <f>IF(D63=0,0,+D57/D63)</f>
        <v>1.7425655390488456E-2</v>
      </c>
      <c r="E62" s="202">
        <f>IF(E63=0,0,+E57/E63)</f>
        <v>1.597208011228007E-2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328515648</v>
      </c>
      <c r="D63" s="199">
        <v>334537291</v>
      </c>
      <c r="E63" s="199">
        <v>342279038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1.9710718785280692</v>
      </c>
      <c r="D67" s="203">
        <f>IF(D69=0,0,D68/D69)</f>
        <v>1.848608478046561</v>
      </c>
      <c r="E67" s="203">
        <f>IF(E69=0,0,E68/E69)</f>
        <v>2.0550224705453664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120466000</v>
      </c>
      <c r="D68" s="204">
        <v>121888000</v>
      </c>
      <c r="E68" s="204">
        <v>118433000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61117000</v>
      </c>
      <c r="D69" s="204">
        <v>65935000</v>
      </c>
      <c r="E69" s="204">
        <v>57631000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79.841550166361273</v>
      </c>
      <c r="D71" s="203">
        <f>IF((D77/365)=0,0,+D74/(D77/365))</f>
        <v>75.725986525109661</v>
      </c>
      <c r="E71" s="203">
        <f>IF((E77/365)=0,0,+E74/(E77/365))</f>
        <v>68.550974490600368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56459000</v>
      </c>
      <c r="D72" s="183">
        <v>54769000</v>
      </c>
      <c r="E72" s="183">
        <v>39387000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10647000</v>
      </c>
      <c r="D73" s="206">
        <v>10187000</v>
      </c>
      <c r="E73" s="206">
        <v>20741000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67106000</v>
      </c>
      <c r="D74" s="204">
        <f>+D72+D73</f>
        <v>64956000</v>
      </c>
      <c r="E74" s="204">
        <f>+E72+E73</f>
        <v>60128000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328515648</v>
      </c>
      <c r="D75" s="204">
        <f>+D14</f>
        <v>334537291</v>
      </c>
      <c r="E75" s="204">
        <f>+E14</f>
        <v>342279038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21736910</v>
      </c>
      <c r="D76" s="204">
        <v>21448732</v>
      </c>
      <c r="E76" s="204">
        <v>22127207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306778738</v>
      </c>
      <c r="D77" s="204">
        <f>+D75-D76</f>
        <v>313088559</v>
      </c>
      <c r="E77" s="204">
        <f>+E75-E76</f>
        <v>320151831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46.428395913872968</v>
      </c>
      <c r="D79" s="203">
        <f>IF((D84/365)=0,0,+D83/(D84/365))</f>
        <v>44.308644476277102</v>
      </c>
      <c r="E79" s="203">
        <f>IF((E84/365)=0,0,+E83/(E84/365))</f>
        <v>49.356913631088545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42961000</v>
      </c>
      <c r="D80" s="212">
        <v>45169000</v>
      </c>
      <c r="E80" s="212">
        <v>44032000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2914000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207000</v>
      </c>
      <c r="D82" s="212">
        <v>2944000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42754000</v>
      </c>
      <c r="D83" s="212">
        <f>+D80+D81-D82</f>
        <v>42225000</v>
      </c>
      <c r="E83" s="212">
        <f>+E80+E81-E82</f>
        <v>46946000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336113486</v>
      </c>
      <c r="D84" s="204">
        <f>+D11</f>
        <v>347835624</v>
      </c>
      <c r="E84" s="204">
        <f>+E11</f>
        <v>347171019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72.715942263247726</v>
      </c>
      <c r="D86" s="203">
        <f>IF((D90/365)=0,0,+D87/(D90/365))</f>
        <v>76.867308971197502</v>
      </c>
      <c r="E86" s="203">
        <f>IF((E90/365)=0,0,+E87/(E90/365))</f>
        <v>65.704184587343491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61117000</v>
      </c>
      <c r="D87" s="76">
        <f>+D69</f>
        <v>65935000</v>
      </c>
      <c r="E87" s="76">
        <f>+E69</f>
        <v>57631000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328515648</v>
      </c>
      <c r="D88" s="76">
        <f t="shared" si="0"/>
        <v>334537291</v>
      </c>
      <c r="E88" s="76">
        <f t="shared" si="0"/>
        <v>342279038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21736910</v>
      </c>
      <c r="D89" s="201">
        <f t="shared" si="0"/>
        <v>21448732</v>
      </c>
      <c r="E89" s="201">
        <f t="shared" si="0"/>
        <v>22127207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306778738</v>
      </c>
      <c r="D90" s="76">
        <f>+D88-D89</f>
        <v>313088559</v>
      </c>
      <c r="E90" s="76">
        <f>+E88-E89</f>
        <v>320151831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34.292867326004774</v>
      </c>
      <c r="D94" s="214">
        <f>IF(D96=0,0,(D95/D96)*100)</f>
        <v>36.298031400203804</v>
      </c>
      <c r="E94" s="214">
        <f>IF(E96=0,0,(E95/E96)*100)</f>
        <v>57.388591626096272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138072000</v>
      </c>
      <c r="D95" s="76">
        <f>+D32</f>
        <v>161005000</v>
      </c>
      <c r="E95" s="76">
        <f>+E32</f>
        <v>264166000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402626000</v>
      </c>
      <c r="D96" s="76">
        <v>443564000</v>
      </c>
      <c r="E96" s="76">
        <v>460311000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33.887017422913011</v>
      </c>
      <c r="D98" s="214">
        <f>IF(D104=0,0,(D101/D104)*100)</f>
        <v>39.083773894342713</v>
      </c>
      <c r="E98" s="214">
        <f>IF(E104=0,0,(E101/E104)*100)</f>
        <v>39.298715399908239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21519190</v>
      </c>
      <c r="D99" s="76">
        <f>+D28</f>
        <v>29073690</v>
      </c>
      <c r="E99" s="76">
        <f>+E28</f>
        <v>24128167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21736910</v>
      </c>
      <c r="D100" s="201">
        <f>+D76</f>
        <v>21448732</v>
      </c>
      <c r="E100" s="201">
        <f>+E76</f>
        <v>22127207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43256100</v>
      </c>
      <c r="D101" s="76">
        <f>+D99+D100</f>
        <v>50522422</v>
      </c>
      <c r="E101" s="76">
        <f>+E99+E100</f>
        <v>46255374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61117000</v>
      </c>
      <c r="D102" s="204">
        <f>+D69</f>
        <v>65935000</v>
      </c>
      <c r="E102" s="204">
        <f>+E69</f>
        <v>57631000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66531000</v>
      </c>
      <c r="D103" s="216">
        <v>63332000</v>
      </c>
      <c r="E103" s="216">
        <v>60071000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127648000</v>
      </c>
      <c r="D104" s="204">
        <f>+D102+D103</f>
        <v>129267000</v>
      </c>
      <c r="E104" s="204">
        <f>+E102+E103</f>
        <v>117702000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32.517118517323794</v>
      </c>
      <c r="D106" s="214">
        <f>IF(D109=0,0,(D107/D109)*100)</f>
        <v>28.230742142401834</v>
      </c>
      <c r="E106" s="214">
        <f>IF(E109=0,0,(E107/E109)*100)</f>
        <v>18.526880029114505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66531000</v>
      </c>
      <c r="D107" s="204">
        <f>+D103</f>
        <v>63332000</v>
      </c>
      <c r="E107" s="204">
        <f>+E103</f>
        <v>60071000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138072000</v>
      </c>
      <c r="D108" s="204">
        <f>+D32</f>
        <v>161005000</v>
      </c>
      <c r="E108" s="204">
        <f>+E32</f>
        <v>264166000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204603000</v>
      </c>
      <c r="D109" s="204">
        <f>+D107+D108</f>
        <v>224337000</v>
      </c>
      <c r="E109" s="204">
        <f>+E107+E108</f>
        <v>324237000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6.9930415982126046</v>
      </c>
      <c r="D111" s="214">
        <f>IF((+D113+D115)=0,0,((+D112+D113+D114)/(+D113+D115)))</f>
        <v>6.9773914550446836</v>
      </c>
      <c r="E111" s="214">
        <f>IF((+E113+E115)=0,0,((+E112+E113+E114)/(+E113+E115)))</f>
        <v>6.4538364015717571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21519190</v>
      </c>
      <c r="D112" s="76">
        <f>+D17</f>
        <v>29073690</v>
      </c>
      <c r="E112" s="76">
        <f>+E17</f>
        <v>24128167</v>
      </c>
    </row>
    <row r="113" spans="1:8" ht="24" customHeight="1" x14ac:dyDescent="0.2">
      <c r="A113" s="85">
        <v>17</v>
      </c>
      <c r="B113" s="75" t="s">
        <v>88</v>
      </c>
      <c r="C113" s="218">
        <v>3242228</v>
      </c>
      <c r="D113" s="76">
        <v>3106032</v>
      </c>
      <c r="E113" s="76">
        <v>3016511</v>
      </c>
    </row>
    <row r="114" spans="1:8" ht="24" customHeight="1" x14ac:dyDescent="0.2">
      <c r="A114" s="85">
        <v>18</v>
      </c>
      <c r="B114" s="75" t="s">
        <v>374</v>
      </c>
      <c r="C114" s="218">
        <v>21736910</v>
      </c>
      <c r="D114" s="76">
        <v>21448732</v>
      </c>
      <c r="E114" s="76">
        <v>22127207</v>
      </c>
    </row>
    <row r="115" spans="1:8" ht="24" customHeight="1" x14ac:dyDescent="0.2">
      <c r="A115" s="85">
        <v>19</v>
      </c>
      <c r="B115" s="75" t="s">
        <v>104</v>
      </c>
      <c r="C115" s="218">
        <v>3407000</v>
      </c>
      <c r="D115" s="76">
        <v>4580000</v>
      </c>
      <c r="E115" s="76">
        <v>4618000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11.881863613549488</v>
      </c>
      <c r="D119" s="214">
        <f>IF(+D121=0,0,(+D120)/(+D121))</f>
        <v>9.6996876085728516</v>
      </c>
      <c r="E119" s="214">
        <f>IF(+E121=0,0,(+E120)/(+E121))</f>
        <v>10.403075272898201</v>
      </c>
    </row>
    <row r="120" spans="1:8" ht="24" customHeight="1" x14ac:dyDescent="0.2">
      <c r="A120" s="85">
        <v>21</v>
      </c>
      <c r="B120" s="75" t="s">
        <v>378</v>
      </c>
      <c r="C120" s="218">
        <v>258275000</v>
      </c>
      <c r="D120" s="218">
        <v>208046000</v>
      </c>
      <c r="E120" s="218">
        <v>230191000</v>
      </c>
    </row>
    <row r="121" spans="1:8" ht="24" customHeight="1" x14ac:dyDescent="0.2">
      <c r="A121" s="85">
        <v>22</v>
      </c>
      <c r="B121" s="75" t="s">
        <v>374</v>
      </c>
      <c r="C121" s="218">
        <v>21736910</v>
      </c>
      <c r="D121" s="218">
        <v>21448732</v>
      </c>
      <c r="E121" s="218">
        <v>22127207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59935</v>
      </c>
      <c r="D124" s="218">
        <v>59473</v>
      </c>
      <c r="E124" s="218">
        <v>62546</v>
      </c>
    </row>
    <row r="125" spans="1:8" ht="24" customHeight="1" x14ac:dyDescent="0.2">
      <c r="A125" s="85">
        <v>2</v>
      </c>
      <c r="B125" s="75" t="s">
        <v>381</v>
      </c>
      <c r="C125" s="218">
        <v>13855</v>
      </c>
      <c r="D125" s="218">
        <v>14158</v>
      </c>
      <c r="E125" s="218">
        <v>15162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4.3258751353302056</v>
      </c>
      <c r="D126" s="219">
        <f>IF(D125=0,0,D124/D125)</f>
        <v>4.2006639355841218</v>
      </c>
      <c r="E126" s="219">
        <f>IF(E125=0,0,E124/E125)</f>
        <v>4.1251813744888537</v>
      </c>
    </row>
    <row r="127" spans="1:8" ht="24" customHeight="1" x14ac:dyDescent="0.2">
      <c r="A127" s="85">
        <v>4</v>
      </c>
      <c r="B127" s="75" t="s">
        <v>383</v>
      </c>
      <c r="C127" s="218">
        <v>183</v>
      </c>
      <c r="D127" s="218">
        <v>183</v>
      </c>
      <c r="E127" s="218">
        <v>189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260</v>
      </c>
      <c r="E128" s="218">
        <v>260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248</v>
      </c>
      <c r="D129" s="218">
        <v>297</v>
      </c>
      <c r="E129" s="218">
        <v>297</v>
      </c>
    </row>
    <row r="130" spans="1:7" ht="24" customHeight="1" x14ac:dyDescent="0.2">
      <c r="A130" s="85">
        <v>7</v>
      </c>
      <c r="B130" s="75" t="s">
        <v>386</v>
      </c>
      <c r="C130" s="193">
        <v>0.8972</v>
      </c>
      <c r="D130" s="193">
        <v>0.89029999999999998</v>
      </c>
      <c r="E130" s="193">
        <v>0.90659999999999996</v>
      </c>
    </row>
    <row r="131" spans="1:7" ht="24" customHeight="1" x14ac:dyDescent="0.2">
      <c r="A131" s="85">
        <v>8</v>
      </c>
      <c r="B131" s="75" t="s">
        <v>387</v>
      </c>
      <c r="C131" s="193">
        <v>0.66210000000000002</v>
      </c>
      <c r="D131" s="193">
        <v>0.62660000000000005</v>
      </c>
      <c r="E131" s="193">
        <v>0.65900000000000003</v>
      </c>
    </row>
    <row r="132" spans="1:7" ht="24" customHeight="1" x14ac:dyDescent="0.2">
      <c r="A132" s="85">
        <v>9</v>
      </c>
      <c r="B132" s="75" t="s">
        <v>388</v>
      </c>
      <c r="C132" s="219">
        <v>2056.6</v>
      </c>
      <c r="D132" s="219">
        <v>2080</v>
      </c>
      <c r="E132" s="219">
        <v>2119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0.38310527311172565</v>
      </c>
      <c r="D135" s="227">
        <f>IF(D149=0,0,D143/D149)</f>
        <v>0.37098103247669384</v>
      </c>
      <c r="E135" s="227">
        <f>IF(E149=0,0,E143/E149)</f>
        <v>0.35373810720339788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0.46142641070939489</v>
      </c>
      <c r="D136" s="227">
        <f>IF(D149=0,0,D144/D149)</f>
        <v>0.46498425793628384</v>
      </c>
      <c r="E136" s="227">
        <f>IF(E149=0,0,E144/E149)</f>
        <v>0.48123281141116031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0.13263275564516369</v>
      </c>
      <c r="D137" s="227">
        <f>IF(D149=0,0,D145/D149)</f>
        <v>0.14258044070951797</v>
      </c>
      <c r="E137" s="227">
        <f>IF(E149=0,0,E145/E149)</f>
        <v>0.14438433202903139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1.9558178749076772E-2</v>
      </c>
      <c r="D139" s="227">
        <f>IF(D149=0,0,D147/D149)</f>
        <v>1.7910488319683473E-2</v>
      </c>
      <c r="E139" s="227">
        <f>IF(E149=0,0,E147/E149)</f>
        <v>1.7004131348349282E-2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3.2773817846389938E-3</v>
      </c>
      <c r="D140" s="227">
        <f>IF(D149=0,0,D148/D149)</f>
        <v>3.5437805578208679E-3</v>
      </c>
      <c r="E140" s="227">
        <f>IF(E149=0,0,E148/E149)</f>
        <v>3.640618008061178E-3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1.0000000000000002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396005336</v>
      </c>
      <c r="D143" s="229">
        <f>+D46-D147</f>
        <v>415183526</v>
      </c>
      <c r="E143" s="229">
        <f>+E46-E147</f>
        <v>430330005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476963732</v>
      </c>
      <c r="D144" s="229">
        <f>+D51</f>
        <v>520387262</v>
      </c>
      <c r="E144" s="229">
        <f>+E51</f>
        <v>585430051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137098815</v>
      </c>
      <c r="D145" s="229">
        <f>+D55</f>
        <v>159568940</v>
      </c>
      <c r="E145" s="229">
        <f>+E55</f>
        <v>175646641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20216749</v>
      </c>
      <c r="D147" s="229">
        <f>+D47</f>
        <v>20044528</v>
      </c>
      <c r="E147" s="229">
        <f>+E47</f>
        <v>20685891</v>
      </c>
    </row>
    <row r="148" spans="1:7" ht="20.100000000000001" customHeight="1" x14ac:dyDescent="0.2">
      <c r="A148" s="226">
        <v>13</v>
      </c>
      <c r="B148" s="224" t="s">
        <v>402</v>
      </c>
      <c r="C148" s="230">
        <v>3387739</v>
      </c>
      <c r="D148" s="229">
        <v>3966023</v>
      </c>
      <c r="E148" s="229">
        <v>4428890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1033672371</v>
      </c>
      <c r="D149" s="229">
        <f>SUM(D143:D148)</f>
        <v>1119150279</v>
      </c>
      <c r="E149" s="229">
        <f>SUM(E143:E148)</f>
        <v>1216521478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0.52932676630853015</v>
      </c>
      <c r="D152" s="227">
        <f>IF(D166=0,0,D160/D166)</f>
        <v>0.5311823880013401</v>
      </c>
      <c r="E152" s="227">
        <f>IF(E166=0,0,E160/E166)</f>
        <v>0.52990051307966957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0.34604374289072026</v>
      </c>
      <c r="D153" s="227">
        <f>IF(D166=0,0,D161/D166)</f>
        <v>0.3508337019689029</v>
      </c>
      <c r="E153" s="227">
        <f>IF(E166=0,0,E161/E166)</f>
        <v>0.36009434476665786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9.763151196559873E-2</v>
      </c>
      <c r="D154" s="227">
        <f>IF(D166=0,0,D162/D166)</f>
        <v>9.1587635922923766E-2</v>
      </c>
      <c r="E154" s="227">
        <f>IF(E166=0,0,E162/E166)</f>
        <v>8.4303788164509341E-2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2.461735192236043E-2</v>
      </c>
      <c r="D156" s="227">
        <f>IF(D166=0,0,D164/D166)</f>
        <v>2.2922804175850929E-2</v>
      </c>
      <c r="E156" s="227">
        <f>IF(E166=0,0,E164/E166)</f>
        <v>2.3564865690434793E-2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2.38062691279038E-3</v>
      </c>
      <c r="D157" s="227">
        <f>IF(D166=0,0,D165/D166)</f>
        <v>3.4734699309823696E-3</v>
      </c>
      <c r="E157" s="227">
        <f>IF(E166=0,0,E165/E166)</f>
        <v>2.1364882987284419E-3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174968690</v>
      </c>
      <c r="D160" s="229">
        <f>+D44-D164</f>
        <v>180271421</v>
      </c>
      <c r="E160" s="229">
        <f>+E44-E164</f>
        <v>186307741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114384581</v>
      </c>
      <c r="D161" s="229">
        <f>+D50</f>
        <v>119065111</v>
      </c>
      <c r="E161" s="229">
        <f>+E50</f>
        <v>126605584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32272046</v>
      </c>
      <c r="D162" s="229">
        <f>+D54</f>
        <v>31082795</v>
      </c>
      <c r="E162" s="229">
        <f>+E54</f>
        <v>29640372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8137253</v>
      </c>
      <c r="D164" s="229">
        <f>+D45</f>
        <v>7779487</v>
      </c>
      <c r="E164" s="229">
        <f>+E45</f>
        <v>8285172</v>
      </c>
    </row>
    <row r="165" spans="1:6" ht="20.100000000000001" customHeight="1" x14ac:dyDescent="0.2">
      <c r="A165" s="226">
        <v>13</v>
      </c>
      <c r="B165" s="224" t="s">
        <v>417</v>
      </c>
      <c r="C165" s="230">
        <v>786915</v>
      </c>
      <c r="D165" s="229">
        <v>1178818</v>
      </c>
      <c r="E165" s="229">
        <v>751168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330549485</v>
      </c>
      <c r="D166" s="229">
        <f>SUM(D160:D165)</f>
        <v>339377632</v>
      </c>
      <c r="E166" s="229">
        <f>SUM(E160:E165)</f>
        <v>351590037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4406</v>
      </c>
      <c r="D169" s="218">
        <v>4421</v>
      </c>
      <c r="E169" s="218">
        <v>4525</v>
      </c>
    </row>
    <row r="170" spans="1:6" ht="20.100000000000001" customHeight="1" x14ac:dyDescent="0.2">
      <c r="A170" s="226">
        <v>2</v>
      </c>
      <c r="B170" s="224" t="s">
        <v>420</v>
      </c>
      <c r="C170" s="218">
        <v>7373</v>
      </c>
      <c r="D170" s="218">
        <v>7537</v>
      </c>
      <c r="E170" s="218">
        <v>8270</v>
      </c>
    </row>
    <row r="171" spans="1:6" ht="20.100000000000001" customHeight="1" x14ac:dyDescent="0.2">
      <c r="A171" s="226">
        <v>3</v>
      </c>
      <c r="B171" s="224" t="s">
        <v>421</v>
      </c>
      <c r="C171" s="218">
        <v>2028</v>
      </c>
      <c r="D171" s="218">
        <v>2138</v>
      </c>
      <c r="E171" s="218">
        <v>2323</v>
      </c>
    </row>
    <row r="172" spans="1:6" ht="20.100000000000001" customHeight="1" x14ac:dyDescent="0.2">
      <c r="A172" s="226">
        <v>4</v>
      </c>
      <c r="B172" s="224" t="s">
        <v>422</v>
      </c>
      <c r="C172" s="218">
        <v>2028</v>
      </c>
      <c r="D172" s="218">
        <v>2138</v>
      </c>
      <c r="E172" s="218">
        <v>2323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48</v>
      </c>
      <c r="D174" s="218">
        <v>62</v>
      </c>
      <c r="E174" s="218">
        <v>44</v>
      </c>
    </row>
    <row r="175" spans="1:6" ht="20.100000000000001" customHeight="1" x14ac:dyDescent="0.2">
      <c r="A175" s="226">
        <v>7</v>
      </c>
      <c r="B175" s="224" t="s">
        <v>425</v>
      </c>
      <c r="C175" s="218">
        <v>201</v>
      </c>
      <c r="D175" s="218">
        <v>182</v>
      </c>
      <c r="E175" s="218">
        <v>168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13855</v>
      </c>
      <c r="D176" s="218">
        <f>+D169+D170+D171+D174</f>
        <v>14158</v>
      </c>
      <c r="E176" s="218">
        <f>+E169+E170+E171+E174</f>
        <v>15162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1.1259999999999999</v>
      </c>
      <c r="D179" s="231">
        <v>1.1101000000000001</v>
      </c>
      <c r="E179" s="231">
        <v>1.1292</v>
      </c>
    </row>
    <row r="180" spans="1:6" ht="20.100000000000001" customHeight="1" x14ac:dyDescent="0.2">
      <c r="A180" s="226">
        <v>2</v>
      </c>
      <c r="B180" s="224" t="s">
        <v>420</v>
      </c>
      <c r="C180" s="231">
        <v>1.3360000000000001</v>
      </c>
      <c r="D180" s="231">
        <v>1.38656</v>
      </c>
      <c r="E180" s="231">
        <v>1.3407</v>
      </c>
    </row>
    <row r="181" spans="1:6" ht="20.100000000000001" customHeight="1" x14ac:dyDescent="0.2">
      <c r="A181" s="226">
        <v>3</v>
      </c>
      <c r="B181" s="224" t="s">
        <v>421</v>
      </c>
      <c r="C181" s="231">
        <v>0.96599999999999997</v>
      </c>
      <c r="D181" s="231">
        <v>0.95591000000000004</v>
      </c>
      <c r="E181" s="231">
        <v>0.98280000000000001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0.96599999999999997</v>
      </c>
      <c r="D182" s="231">
        <v>0.95591000000000004</v>
      </c>
      <c r="E182" s="231">
        <v>0.98280000000000001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0.876</v>
      </c>
      <c r="D184" s="231">
        <v>0.79674999999999996</v>
      </c>
      <c r="E184" s="231">
        <v>1.2712000000000001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1.08</v>
      </c>
      <c r="D185" s="231">
        <v>1.03321</v>
      </c>
      <c r="E185" s="231">
        <v>1.1074999999999999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1.2134659999999999</v>
      </c>
      <c r="D186" s="231">
        <v>1.2326159999999999</v>
      </c>
      <c r="E186" s="231">
        <v>1.222542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8487</v>
      </c>
      <c r="D189" s="218">
        <v>8809</v>
      </c>
      <c r="E189" s="218">
        <v>9971</v>
      </c>
    </row>
    <row r="190" spans="1:6" ht="20.100000000000001" customHeight="1" x14ac:dyDescent="0.2">
      <c r="A190" s="226">
        <v>2</v>
      </c>
      <c r="B190" s="224" t="s">
        <v>433</v>
      </c>
      <c r="C190" s="218">
        <v>86806</v>
      </c>
      <c r="D190" s="218">
        <v>85082</v>
      </c>
      <c r="E190" s="218">
        <v>81193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95293</v>
      </c>
      <c r="D191" s="218">
        <f>+D190+D189</f>
        <v>93891</v>
      </c>
      <c r="E191" s="218">
        <f>+E190+E189</f>
        <v>91164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264126</v>
      </c>
      <c r="E14" s="258">
        <f t="shared" ref="E14:E24" si="0">D14-C14</f>
        <v>264126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57472</v>
      </c>
      <c r="E15" s="258">
        <f t="shared" si="0"/>
        <v>57472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323185</v>
      </c>
      <c r="E16" s="258">
        <f t="shared" si="0"/>
        <v>323185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56530</v>
      </c>
      <c r="E17" s="258">
        <f t="shared" si="0"/>
        <v>56530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4</v>
      </c>
      <c r="E18" s="260">
        <f t="shared" si="0"/>
        <v>4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19</v>
      </c>
      <c r="E19" s="260">
        <f t="shared" si="0"/>
        <v>19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294</v>
      </c>
      <c r="E20" s="260">
        <f t="shared" si="0"/>
        <v>294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23</v>
      </c>
      <c r="E21" s="260">
        <f t="shared" si="0"/>
        <v>23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3</v>
      </c>
      <c r="E22" s="260">
        <f t="shared" si="0"/>
        <v>3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0</v>
      </c>
      <c r="D23" s="263">
        <f>+D14+D16</f>
        <v>587311</v>
      </c>
      <c r="E23" s="263">
        <f t="shared" si="0"/>
        <v>587311</v>
      </c>
      <c r="F23" s="264">
        <f t="shared" si="1"/>
        <v>0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0</v>
      </c>
      <c r="D24" s="263">
        <f>+D15+D17</f>
        <v>114002</v>
      </c>
      <c r="E24" s="263">
        <f t="shared" si="0"/>
        <v>114002</v>
      </c>
      <c r="F24" s="264">
        <f t="shared" si="1"/>
        <v>0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4954853</v>
      </c>
      <c r="D40" s="258">
        <v>40591334</v>
      </c>
      <c r="E40" s="258">
        <f t="shared" ref="E40:E50" si="4">D40-C40</f>
        <v>35636481</v>
      </c>
      <c r="F40" s="259">
        <f t="shared" ref="F40:F50" si="5">IF(C40=0,0,E40/C40)</f>
        <v>7.1922377919183473</v>
      </c>
    </row>
    <row r="41" spans="1:6" ht="20.25" customHeight="1" x14ac:dyDescent="0.3">
      <c r="A41" s="256">
        <v>2</v>
      </c>
      <c r="B41" s="257" t="s">
        <v>442</v>
      </c>
      <c r="C41" s="258">
        <v>1216173</v>
      </c>
      <c r="D41" s="258">
        <v>8832445</v>
      </c>
      <c r="E41" s="258">
        <f t="shared" si="4"/>
        <v>7616272</v>
      </c>
      <c r="F41" s="259">
        <f t="shared" si="5"/>
        <v>6.2624906160554463</v>
      </c>
    </row>
    <row r="42" spans="1:6" ht="20.25" customHeight="1" x14ac:dyDescent="0.3">
      <c r="A42" s="256">
        <v>3</v>
      </c>
      <c r="B42" s="257" t="s">
        <v>443</v>
      </c>
      <c r="C42" s="258">
        <v>5479545</v>
      </c>
      <c r="D42" s="258">
        <v>35767088</v>
      </c>
      <c r="E42" s="258">
        <f t="shared" si="4"/>
        <v>30287543</v>
      </c>
      <c r="F42" s="259">
        <f t="shared" si="5"/>
        <v>5.5273828392685891</v>
      </c>
    </row>
    <row r="43" spans="1:6" ht="20.25" customHeight="1" x14ac:dyDescent="0.3">
      <c r="A43" s="256">
        <v>4</v>
      </c>
      <c r="B43" s="257" t="s">
        <v>444</v>
      </c>
      <c r="C43" s="258">
        <v>1138534</v>
      </c>
      <c r="D43" s="258">
        <v>6256219</v>
      </c>
      <c r="E43" s="258">
        <f t="shared" si="4"/>
        <v>5117685</v>
      </c>
      <c r="F43" s="259">
        <f t="shared" si="5"/>
        <v>4.4949777520917253</v>
      </c>
    </row>
    <row r="44" spans="1:6" ht="20.25" customHeight="1" x14ac:dyDescent="0.3">
      <c r="A44" s="256">
        <v>5</v>
      </c>
      <c r="B44" s="257" t="s">
        <v>381</v>
      </c>
      <c r="C44" s="260">
        <v>120</v>
      </c>
      <c r="D44" s="260">
        <v>902</v>
      </c>
      <c r="E44" s="260">
        <f t="shared" si="4"/>
        <v>782</v>
      </c>
      <c r="F44" s="259">
        <f t="shared" si="5"/>
        <v>6.5166666666666666</v>
      </c>
    </row>
    <row r="45" spans="1:6" ht="20.25" customHeight="1" x14ac:dyDescent="0.3">
      <c r="A45" s="256">
        <v>6</v>
      </c>
      <c r="B45" s="257" t="s">
        <v>380</v>
      </c>
      <c r="C45" s="260">
        <v>455</v>
      </c>
      <c r="D45" s="260">
        <v>3992</v>
      </c>
      <c r="E45" s="260">
        <f t="shared" si="4"/>
        <v>3537</v>
      </c>
      <c r="F45" s="259">
        <f t="shared" si="5"/>
        <v>7.7736263736263735</v>
      </c>
    </row>
    <row r="46" spans="1:6" ht="20.25" customHeight="1" x14ac:dyDescent="0.3">
      <c r="A46" s="256">
        <v>7</v>
      </c>
      <c r="B46" s="257" t="s">
        <v>445</v>
      </c>
      <c r="C46" s="260">
        <v>5201</v>
      </c>
      <c r="D46" s="260">
        <v>32578</v>
      </c>
      <c r="E46" s="260">
        <f t="shared" si="4"/>
        <v>27377</v>
      </c>
      <c r="F46" s="259">
        <f t="shared" si="5"/>
        <v>5.2637954239569318</v>
      </c>
    </row>
    <row r="47" spans="1:6" ht="20.25" customHeight="1" x14ac:dyDescent="0.3">
      <c r="A47" s="256">
        <v>8</v>
      </c>
      <c r="B47" s="257" t="s">
        <v>446</v>
      </c>
      <c r="C47" s="260">
        <v>429</v>
      </c>
      <c r="D47" s="260">
        <v>2490</v>
      </c>
      <c r="E47" s="260">
        <f t="shared" si="4"/>
        <v>2061</v>
      </c>
      <c r="F47" s="259">
        <f t="shared" si="5"/>
        <v>4.8041958041958042</v>
      </c>
    </row>
    <row r="48" spans="1:6" ht="20.25" customHeight="1" x14ac:dyDescent="0.3">
      <c r="A48" s="256">
        <v>9</v>
      </c>
      <c r="B48" s="257" t="s">
        <v>447</v>
      </c>
      <c r="C48" s="260">
        <v>100</v>
      </c>
      <c r="D48" s="260">
        <v>734</v>
      </c>
      <c r="E48" s="260">
        <f t="shared" si="4"/>
        <v>634</v>
      </c>
      <c r="F48" s="259">
        <f t="shared" si="5"/>
        <v>6.34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10434398</v>
      </c>
      <c r="D49" s="263">
        <f>+D40+D42</f>
        <v>76358422</v>
      </c>
      <c r="E49" s="263">
        <f t="shared" si="4"/>
        <v>65924024</v>
      </c>
      <c r="F49" s="264">
        <f t="shared" si="5"/>
        <v>6.3179518358414164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2354707</v>
      </c>
      <c r="D50" s="263">
        <f>+D41+D43</f>
        <v>15088664</v>
      </c>
      <c r="E50" s="263">
        <f t="shared" si="4"/>
        <v>12733957</v>
      </c>
      <c r="F50" s="264">
        <f t="shared" si="5"/>
        <v>5.407873251321714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39958207</v>
      </c>
      <c r="D66" s="258">
        <v>24166441</v>
      </c>
      <c r="E66" s="258">
        <f t="shared" ref="E66:E76" si="8">D66-C66</f>
        <v>-15791766</v>
      </c>
      <c r="F66" s="259">
        <f t="shared" ref="F66:F76" si="9">IF(C66=0,0,E66/C66)</f>
        <v>-0.3952070722292419</v>
      </c>
    </row>
    <row r="67" spans="1:6" ht="20.25" customHeight="1" x14ac:dyDescent="0.3">
      <c r="A67" s="256">
        <v>2</v>
      </c>
      <c r="B67" s="257" t="s">
        <v>442</v>
      </c>
      <c r="C67" s="258">
        <v>9807781</v>
      </c>
      <c r="D67" s="258">
        <v>5258481</v>
      </c>
      <c r="E67" s="258">
        <f t="shared" si="8"/>
        <v>-4549300</v>
      </c>
      <c r="F67" s="259">
        <f t="shared" si="9"/>
        <v>-0.46384600145537508</v>
      </c>
    </row>
    <row r="68" spans="1:6" ht="20.25" customHeight="1" x14ac:dyDescent="0.3">
      <c r="A68" s="256">
        <v>3</v>
      </c>
      <c r="B68" s="257" t="s">
        <v>443</v>
      </c>
      <c r="C68" s="258">
        <v>34474638</v>
      </c>
      <c r="D68" s="258">
        <v>15488483</v>
      </c>
      <c r="E68" s="258">
        <f t="shared" si="8"/>
        <v>-18986155</v>
      </c>
      <c r="F68" s="259">
        <f t="shared" si="9"/>
        <v>-0.55072819038737986</v>
      </c>
    </row>
    <row r="69" spans="1:6" ht="20.25" customHeight="1" x14ac:dyDescent="0.3">
      <c r="A69" s="256">
        <v>4</v>
      </c>
      <c r="B69" s="257" t="s">
        <v>444</v>
      </c>
      <c r="C69" s="258">
        <v>7163104</v>
      </c>
      <c r="D69" s="258">
        <v>2709176</v>
      </c>
      <c r="E69" s="258">
        <f t="shared" si="8"/>
        <v>-4453928</v>
      </c>
      <c r="F69" s="259">
        <f t="shared" si="9"/>
        <v>-0.62178742623309669</v>
      </c>
    </row>
    <row r="70" spans="1:6" ht="20.25" customHeight="1" x14ac:dyDescent="0.3">
      <c r="A70" s="256">
        <v>5</v>
      </c>
      <c r="B70" s="257" t="s">
        <v>381</v>
      </c>
      <c r="C70" s="260">
        <v>950</v>
      </c>
      <c r="D70" s="260">
        <v>505</v>
      </c>
      <c r="E70" s="260">
        <f t="shared" si="8"/>
        <v>-445</v>
      </c>
      <c r="F70" s="259">
        <f t="shared" si="9"/>
        <v>-0.46842105263157896</v>
      </c>
    </row>
    <row r="71" spans="1:6" ht="20.25" customHeight="1" x14ac:dyDescent="0.3">
      <c r="A71" s="256">
        <v>6</v>
      </c>
      <c r="B71" s="257" t="s">
        <v>380</v>
      </c>
      <c r="C71" s="260">
        <v>4245</v>
      </c>
      <c r="D71" s="260">
        <v>2391</v>
      </c>
      <c r="E71" s="260">
        <f t="shared" si="8"/>
        <v>-1854</v>
      </c>
      <c r="F71" s="259">
        <f t="shared" si="9"/>
        <v>-0.43674911660777382</v>
      </c>
    </row>
    <row r="72" spans="1:6" ht="20.25" customHeight="1" x14ac:dyDescent="0.3">
      <c r="A72" s="256">
        <v>7</v>
      </c>
      <c r="B72" s="257" t="s">
        <v>445</v>
      </c>
      <c r="C72" s="260">
        <v>32719</v>
      </c>
      <c r="D72" s="260">
        <v>14108</v>
      </c>
      <c r="E72" s="260">
        <f t="shared" si="8"/>
        <v>-18611</v>
      </c>
      <c r="F72" s="259">
        <f t="shared" si="9"/>
        <v>-0.56881322778813537</v>
      </c>
    </row>
    <row r="73" spans="1:6" ht="20.25" customHeight="1" x14ac:dyDescent="0.3">
      <c r="A73" s="256">
        <v>8</v>
      </c>
      <c r="B73" s="257" t="s">
        <v>446</v>
      </c>
      <c r="C73" s="260">
        <v>2700</v>
      </c>
      <c r="D73" s="260">
        <v>1078</v>
      </c>
      <c r="E73" s="260">
        <f t="shared" si="8"/>
        <v>-1622</v>
      </c>
      <c r="F73" s="259">
        <f t="shared" si="9"/>
        <v>-0.60074074074074069</v>
      </c>
    </row>
    <row r="74" spans="1:6" ht="20.25" customHeight="1" x14ac:dyDescent="0.3">
      <c r="A74" s="256">
        <v>9</v>
      </c>
      <c r="B74" s="257" t="s">
        <v>447</v>
      </c>
      <c r="C74" s="260">
        <v>810</v>
      </c>
      <c r="D74" s="260">
        <v>446</v>
      </c>
      <c r="E74" s="260">
        <f t="shared" si="8"/>
        <v>-364</v>
      </c>
      <c r="F74" s="259">
        <f t="shared" si="9"/>
        <v>-0.44938271604938274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74432845</v>
      </c>
      <c r="D75" s="263">
        <f>+D66+D68</f>
        <v>39654924</v>
      </c>
      <c r="E75" s="263">
        <f t="shared" si="8"/>
        <v>-34777921</v>
      </c>
      <c r="F75" s="264">
        <f t="shared" si="9"/>
        <v>-0.46723890508283006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16970885</v>
      </c>
      <c r="D76" s="263">
        <f>+D67+D69</f>
        <v>7967657</v>
      </c>
      <c r="E76" s="263">
        <f t="shared" si="8"/>
        <v>-9003228</v>
      </c>
      <c r="F76" s="264">
        <f t="shared" si="9"/>
        <v>-0.53051022383334756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0</v>
      </c>
      <c r="E118" s="258">
        <f t="shared" ref="E118:E128" si="16">D118-C118</f>
        <v>0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0</v>
      </c>
      <c r="E119" s="258">
        <f t="shared" si="16"/>
        <v>0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0</v>
      </c>
      <c r="E120" s="258">
        <f t="shared" si="16"/>
        <v>0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0</v>
      </c>
      <c r="E121" s="258">
        <f t="shared" si="16"/>
        <v>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0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0</v>
      </c>
      <c r="E123" s="260">
        <f t="shared" si="16"/>
        <v>0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0</v>
      </c>
      <c r="E124" s="260">
        <f t="shared" si="16"/>
        <v>0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0</v>
      </c>
      <c r="E125" s="260">
        <f t="shared" si="16"/>
        <v>0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0</v>
      </c>
      <c r="E127" s="263">
        <f t="shared" si="16"/>
        <v>0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0</v>
      </c>
      <c r="E128" s="263">
        <f t="shared" si="16"/>
        <v>0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44913060</v>
      </c>
      <c r="D198" s="263">
        <f t="shared" si="28"/>
        <v>65021901</v>
      </c>
      <c r="E198" s="263">
        <f t="shared" ref="E198:E208" si="29">D198-C198</f>
        <v>20108841</v>
      </c>
      <c r="F198" s="273">
        <f t="shared" ref="F198:F208" si="30">IF(C198=0,0,E198/C198)</f>
        <v>0.44772814410774953</v>
      </c>
    </row>
    <row r="199" spans="1:9" ht="20.25" customHeight="1" x14ac:dyDescent="0.3">
      <c r="A199" s="271"/>
      <c r="B199" s="272" t="s">
        <v>466</v>
      </c>
      <c r="C199" s="263">
        <f t="shared" si="28"/>
        <v>11023954</v>
      </c>
      <c r="D199" s="263">
        <f t="shared" si="28"/>
        <v>14148398</v>
      </c>
      <c r="E199" s="263">
        <f t="shared" si="29"/>
        <v>3124444</v>
      </c>
      <c r="F199" s="273">
        <f t="shared" si="30"/>
        <v>0.28342317103282544</v>
      </c>
    </row>
    <row r="200" spans="1:9" ht="20.25" customHeight="1" x14ac:dyDescent="0.3">
      <c r="A200" s="271"/>
      <c r="B200" s="272" t="s">
        <v>467</v>
      </c>
      <c r="C200" s="263">
        <f t="shared" si="28"/>
        <v>39954183</v>
      </c>
      <c r="D200" s="263">
        <f t="shared" si="28"/>
        <v>51578756</v>
      </c>
      <c r="E200" s="263">
        <f t="shared" si="29"/>
        <v>11624573</v>
      </c>
      <c r="F200" s="273">
        <f t="shared" si="30"/>
        <v>0.29094758363598627</v>
      </c>
    </row>
    <row r="201" spans="1:9" ht="20.25" customHeight="1" x14ac:dyDescent="0.3">
      <c r="A201" s="271"/>
      <c r="B201" s="272" t="s">
        <v>468</v>
      </c>
      <c r="C201" s="263">
        <f t="shared" si="28"/>
        <v>8301638</v>
      </c>
      <c r="D201" s="263">
        <f t="shared" si="28"/>
        <v>9021925</v>
      </c>
      <c r="E201" s="263">
        <f t="shared" si="29"/>
        <v>720287</v>
      </c>
      <c r="F201" s="273">
        <f t="shared" si="30"/>
        <v>8.676444335443198E-2</v>
      </c>
    </row>
    <row r="202" spans="1:9" ht="20.25" customHeight="1" x14ac:dyDescent="0.3">
      <c r="A202" s="271"/>
      <c r="B202" s="272" t="s">
        <v>138</v>
      </c>
      <c r="C202" s="274">
        <f t="shared" si="28"/>
        <v>1070</v>
      </c>
      <c r="D202" s="274">
        <f t="shared" si="28"/>
        <v>1411</v>
      </c>
      <c r="E202" s="274">
        <f t="shared" si="29"/>
        <v>341</v>
      </c>
      <c r="F202" s="273">
        <f t="shared" si="30"/>
        <v>0.31869158878504672</v>
      </c>
    </row>
    <row r="203" spans="1:9" ht="20.25" customHeight="1" x14ac:dyDescent="0.3">
      <c r="A203" s="271"/>
      <c r="B203" s="272" t="s">
        <v>140</v>
      </c>
      <c r="C203" s="274">
        <f t="shared" si="28"/>
        <v>4700</v>
      </c>
      <c r="D203" s="274">
        <f t="shared" si="28"/>
        <v>6402</v>
      </c>
      <c r="E203" s="274">
        <f t="shared" si="29"/>
        <v>1702</v>
      </c>
      <c r="F203" s="273">
        <f t="shared" si="30"/>
        <v>0.36212765957446807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37920</v>
      </c>
      <c r="D204" s="274">
        <f t="shared" si="28"/>
        <v>46980</v>
      </c>
      <c r="E204" s="274">
        <f t="shared" si="29"/>
        <v>9060</v>
      </c>
      <c r="F204" s="273">
        <f t="shared" si="30"/>
        <v>0.23892405063291139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3129</v>
      </c>
      <c r="D205" s="274">
        <f t="shared" si="28"/>
        <v>3591</v>
      </c>
      <c r="E205" s="274">
        <f t="shared" si="29"/>
        <v>462</v>
      </c>
      <c r="F205" s="273">
        <f t="shared" si="30"/>
        <v>0.1476510067114094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910</v>
      </c>
      <c r="D206" s="274">
        <f t="shared" si="28"/>
        <v>1183</v>
      </c>
      <c r="E206" s="274">
        <f t="shared" si="29"/>
        <v>273</v>
      </c>
      <c r="F206" s="273">
        <f t="shared" si="30"/>
        <v>0.3</v>
      </c>
    </row>
    <row r="207" spans="1:9" ht="20.25" customHeight="1" x14ac:dyDescent="0.3">
      <c r="A207" s="271"/>
      <c r="B207" s="262" t="s">
        <v>471</v>
      </c>
      <c r="C207" s="263">
        <f>+C198+C200</f>
        <v>84867243</v>
      </c>
      <c r="D207" s="263">
        <f>+D198+D200</f>
        <v>116600657</v>
      </c>
      <c r="E207" s="263">
        <f t="shared" si="29"/>
        <v>31733414</v>
      </c>
      <c r="F207" s="273">
        <f t="shared" si="30"/>
        <v>0.37391828552743256</v>
      </c>
    </row>
    <row r="208" spans="1:9" ht="20.25" customHeight="1" x14ac:dyDescent="0.3">
      <c r="A208" s="271"/>
      <c r="B208" s="262" t="s">
        <v>472</v>
      </c>
      <c r="C208" s="263">
        <f>+C199+C201</f>
        <v>19325592</v>
      </c>
      <c r="D208" s="263">
        <f>+D199+D201</f>
        <v>23170323</v>
      </c>
      <c r="E208" s="263">
        <f t="shared" si="29"/>
        <v>3844731</v>
      </c>
      <c r="F208" s="273">
        <f t="shared" si="30"/>
        <v>0.19894505689657527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1901665</v>
      </c>
      <c r="D26" s="258">
        <v>0</v>
      </c>
      <c r="E26" s="258">
        <f t="shared" ref="E26:E36" si="2">D26-C26</f>
        <v>-1901665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380063</v>
      </c>
      <c r="D27" s="258">
        <v>0</v>
      </c>
      <c r="E27" s="258">
        <f t="shared" si="2"/>
        <v>-380063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6636381</v>
      </c>
      <c r="D28" s="258">
        <v>0</v>
      </c>
      <c r="E28" s="258">
        <f t="shared" si="2"/>
        <v>-6636381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2189219</v>
      </c>
      <c r="D29" s="258">
        <v>0</v>
      </c>
      <c r="E29" s="258">
        <f t="shared" si="2"/>
        <v>-2189219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104</v>
      </c>
      <c r="D30" s="260">
        <v>0</v>
      </c>
      <c r="E30" s="260">
        <f t="shared" si="2"/>
        <v>-104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281</v>
      </c>
      <c r="D31" s="260">
        <v>0</v>
      </c>
      <c r="E31" s="260">
        <f t="shared" si="2"/>
        <v>-281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5896</v>
      </c>
      <c r="D32" s="260">
        <v>0</v>
      </c>
      <c r="E32" s="260">
        <f t="shared" si="2"/>
        <v>-5896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1730</v>
      </c>
      <c r="D33" s="260">
        <v>0</v>
      </c>
      <c r="E33" s="260">
        <f t="shared" si="2"/>
        <v>-1730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21</v>
      </c>
      <c r="D34" s="260">
        <v>0</v>
      </c>
      <c r="E34" s="260">
        <f t="shared" si="2"/>
        <v>-21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8538046</v>
      </c>
      <c r="D35" s="263">
        <f>+D26+D28</f>
        <v>0</v>
      </c>
      <c r="E35" s="263">
        <f t="shared" si="2"/>
        <v>-8538046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2569282</v>
      </c>
      <c r="D36" s="263">
        <f>+D27+D29</f>
        <v>0</v>
      </c>
      <c r="E36" s="263">
        <f t="shared" si="2"/>
        <v>-2569282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215951</v>
      </c>
      <c r="D50" s="258">
        <v>0</v>
      </c>
      <c r="E50" s="258">
        <f t="shared" ref="E50:E60" si="6">D50-C50</f>
        <v>-215951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43160</v>
      </c>
      <c r="D51" s="258">
        <v>0</v>
      </c>
      <c r="E51" s="258">
        <f t="shared" si="6"/>
        <v>-43160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3393426</v>
      </c>
      <c r="D52" s="258">
        <v>0</v>
      </c>
      <c r="E52" s="258">
        <f t="shared" si="6"/>
        <v>-3393426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1119428</v>
      </c>
      <c r="D53" s="258">
        <v>0</v>
      </c>
      <c r="E53" s="258">
        <f t="shared" si="6"/>
        <v>-1119428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11</v>
      </c>
      <c r="D54" s="260">
        <v>0</v>
      </c>
      <c r="E54" s="260">
        <f t="shared" si="6"/>
        <v>-11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63</v>
      </c>
      <c r="D55" s="260">
        <v>0</v>
      </c>
      <c r="E55" s="260">
        <f t="shared" si="6"/>
        <v>-63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3015</v>
      </c>
      <c r="D56" s="260">
        <v>0</v>
      </c>
      <c r="E56" s="260">
        <f t="shared" si="6"/>
        <v>-3015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11</v>
      </c>
      <c r="D58" s="260">
        <v>0</v>
      </c>
      <c r="E58" s="260">
        <f t="shared" si="6"/>
        <v>-11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3609377</v>
      </c>
      <c r="D59" s="263">
        <f>+D50+D52</f>
        <v>0</v>
      </c>
      <c r="E59" s="263">
        <f t="shared" si="6"/>
        <v>-3609377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1162588</v>
      </c>
      <c r="D60" s="263">
        <f>+D51+D53</f>
        <v>0</v>
      </c>
      <c r="E60" s="263">
        <f t="shared" si="6"/>
        <v>-1162588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244225</v>
      </c>
      <c r="D86" s="258">
        <v>0</v>
      </c>
      <c r="E86" s="258">
        <f t="shared" ref="E86:E96" si="12">D86-C86</f>
        <v>-244225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48810</v>
      </c>
      <c r="D87" s="258">
        <v>0</v>
      </c>
      <c r="E87" s="258">
        <f t="shared" si="12"/>
        <v>-48810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864602</v>
      </c>
      <c r="D88" s="258">
        <v>0</v>
      </c>
      <c r="E88" s="258">
        <f t="shared" si="12"/>
        <v>-864602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285216</v>
      </c>
      <c r="D89" s="258">
        <v>0</v>
      </c>
      <c r="E89" s="258">
        <f t="shared" si="12"/>
        <v>-285216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11</v>
      </c>
      <c r="D90" s="260">
        <v>0</v>
      </c>
      <c r="E90" s="260">
        <f t="shared" si="12"/>
        <v>-11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28</v>
      </c>
      <c r="D91" s="260">
        <v>0</v>
      </c>
      <c r="E91" s="260">
        <f t="shared" si="12"/>
        <v>-28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768</v>
      </c>
      <c r="D92" s="260">
        <v>0</v>
      </c>
      <c r="E92" s="260">
        <f t="shared" si="12"/>
        <v>-768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247</v>
      </c>
      <c r="D93" s="260">
        <v>0</v>
      </c>
      <c r="E93" s="260">
        <f t="shared" si="12"/>
        <v>-247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2</v>
      </c>
      <c r="D94" s="260">
        <v>0</v>
      </c>
      <c r="E94" s="260">
        <f t="shared" si="12"/>
        <v>-2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1108827</v>
      </c>
      <c r="D95" s="263">
        <f>+D86+D88</f>
        <v>0</v>
      </c>
      <c r="E95" s="263">
        <f t="shared" si="12"/>
        <v>-1108827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334026</v>
      </c>
      <c r="D96" s="263">
        <f>+D87+D89</f>
        <v>0</v>
      </c>
      <c r="E96" s="263">
        <f t="shared" si="12"/>
        <v>-334026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710703</v>
      </c>
      <c r="D98" s="258">
        <v>0</v>
      </c>
      <c r="E98" s="258">
        <f t="shared" ref="E98:E108" si="14">D98-C98</f>
        <v>-710703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142040</v>
      </c>
      <c r="D99" s="258">
        <v>0</v>
      </c>
      <c r="E99" s="258">
        <f t="shared" si="14"/>
        <v>-142040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2432954</v>
      </c>
      <c r="D100" s="258">
        <v>0</v>
      </c>
      <c r="E100" s="258">
        <f t="shared" si="14"/>
        <v>-2432954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802586</v>
      </c>
      <c r="D101" s="258">
        <v>0</v>
      </c>
      <c r="E101" s="258">
        <f t="shared" si="14"/>
        <v>-802586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34</v>
      </c>
      <c r="D102" s="260">
        <v>0</v>
      </c>
      <c r="E102" s="260">
        <f t="shared" si="14"/>
        <v>-34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107</v>
      </c>
      <c r="D103" s="260">
        <v>0</v>
      </c>
      <c r="E103" s="260">
        <f t="shared" si="14"/>
        <v>-107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2161</v>
      </c>
      <c r="D104" s="260">
        <v>0</v>
      </c>
      <c r="E104" s="260">
        <f t="shared" si="14"/>
        <v>-2161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668</v>
      </c>
      <c r="D105" s="260">
        <v>0</v>
      </c>
      <c r="E105" s="260">
        <f t="shared" si="14"/>
        <v>-668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4</v>
      </c>
      <c r="D106" s="260">
        <v>0</v>
      </c>
      <c r="E106" s="260">
        <f t="shared" si="14"/>
        <v>-4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3143657</v>
      </c>
      <c r="D107" s="263">
        <f>+D98+D100</f>
        <v>0</v>
      </c>
      <c r="E107" s="263">
        <f t="shared" si="14"/>
        <v>-3143657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944626</v>
      </c>
      <c r="D108" s="263">
        <f>+D99+D101</f>
        <v>0</v>
      </c>
      <c r="E108" s="263">
        <f t="shared" si="14"/>
        <v>-944626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3072544</v>
      </c>
      <c r="D112" s="263">
        <f t="shared" si="16"/>
        <v>0</v>
      </c>
      <c r="E112" s="263">
        <f t="shared" ref="E112:E122" si="17">D112-C112</f>
        <v>-3072544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614073</v>
      </c>
      <c r="D113" s="263">
        <f t="shared" si="16"/>
        <v>0</v>
      </c>
      <c r="E113" s="263">
        <f t="shared" si="17"/>
        <v>-614073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13327363</v>
      </c>
      <c r="D114" s="263">
        <f t="shared" si="16"/>
        <v>0</v>
      </c>
      <c r="E114" s="263">
        <f t="shared" si="17"/>
        <v>-13327363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4396449</v>
      </c>
      <c r="D115" s="263">
        <f t="shared" si="16"/>
        <v>0</v>
      </c>
      <c r="E115" s="263">
        <f t="shared" si="17"/>
        <v>-4396449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160</v>
      </c>
      <c r="D116" s="287">
        <f t="shared" si="16"/>
        <v>0</v>
      </c>
      <c r="E116" s="287">
        <f t="shared" si="17"/>
        <v>-160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479</v>
      </c>
      <c r="D117" s="287">
        <f t="shared" si="16"/>
        <v>0</v>
      </c>
      <c r="E117" s="287">
        <f t="shared" si="17"/>
        <v>-479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11840</v>
      </c>
      <c r="D118" s="287">
        <f t="shared" si="16"/>
        <v>0</v>
      </c>
      <c r="E118" s="287">
        <f t="shared" si="17"/>
        <v>-11840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2645</v>
      </c>
      <c r="D119" s="287">
        <f t="shared" si="16"/>
        <v>0</v>
      </c>
      <c r="E119" s="287">
        <f t="shared" si="17"/>
        <v>-2645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38</v>
      </c>
      <c r="D120" s="287">
        <f t="shared" si="16"/>
        <v>0</v>
      </c>
      <c r="E120" s="287">
        <f t="shared" si="17"/>
        <v>-38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16399907</v>
      </c>
      <c r="D121" s="263">
        <f>+D112+D114</f>
        <v>0</v>
      </c>
      <c r="E121" s="263">
        <f t="shared" si="17"/>
        <v>-16399907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5010522</v>
      </c>
      <c r="D122" s="263">
        <f>+D113+D115</f>
        <v>0</v>
      </c>
      <c r="E122" s="263">
        <f t="shared" si="17"/>
        <v>-5010522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58568000</v>
      </c>
      <c r="D13" s="22">
        <v>43344000</v>
      </c>
      <c r="E13" s="22">
        <f t="shared" ref="E13:E22" si="0">D13-C13</f>
        <v>-15224000</v>
      </c>
      <c r="F13" s="306">
        <f t="shared" ref="F13:F22" si="1">IF(C13=0,0,E13/C13)</f>
        <v>-0.2599371670536812</v>
      </c>
    </row>
    <row r="14" spans="1:8" ht="24" customHeight="1" x14ac:dyDescent="0.2">
      <c r="A14" s="304">
        <v>2</v>
      </c>
      <c r="B14" s="305" t="s">
        <v>17</v>
      </c>
      <c r="C14" s="22">
        <v>10187000</v>
      </c>
      <c r="D14" s="22">
        <v>20741000</v>
      </c>
      <c r="E14" s="22">
        <f t="shared" si="0"/>
        <v>10554000</v>
      </c>
      <c r="F14" s="306">
        <f t="shared" si="1"/>
        <v>1.0360263080396583</v>
      </c>
    </row>
    <row r="15" spans="1:8" ht="35.1" customHeight="1" x14ac:dyDescent="0.2">
      <c r="A15" s="304">
        <v>3</v>
      </c>
      <c r="B15" s="305" t="s">
        <v>18</v>
      </c>
      <c r="C15" s="22">
        <v>45951000</v>
      </c>
      <c r="D15" s="22">
        <v>44833000</v>
      </c>
      <c r="E15" s="22">
        <f t="shared" si="0"/>
        <v>-1118000</v>
      </c>
      <c r="F15" s="306">
        <f t="shared" si="1"/>
        <v>-2.4330264847337382E-2</v>
      </c>
    </row>
    <row r="16" spans="1:8" ht="35.1" customHeight="1" x14ac:dyDescent="0.2">
      <c r="A16" s="304">
        <v>4</v>
      </c>
      <c r="B16" s="305" t="s">
        <v>19</v>
      </c>
      <c r="C16" s="22">
        <v>4613000</v>
      </c>
      <c r="D16" s="22">
        <v>4174000</v>
      </c>
      <c r="E16" s="22">
        <f t="shared" si="0"/>
        <v>-439000</v>
      </c>
      <c r="F16" s="306">
        <f t="shared" si="1"/>
        <v>-9.5165835681768909E-2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2914000</v>
      </c>
      <c r="E18" s="22">
        <f t="shared" si="0"/>
        <v>2914000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1347000</v>
      </c>
      <c r="D19" s="22">
        <v>1251000</v>
      </c>
      <c r="E19" s="22">
        <f t="shared" si="0"/>
        <v>-96000</v>
      </c>
      <c r="F19" s="306">
        <f t="shared" si="1"/>
        <v>-7.126948775055679E-2</v>
      </c>
    </row>
    <row r="20" spans="1:11" ht="24" customHeight="1" x14ac:dyDescent="0.2">
      <c r="A20" s="304">
        <v>8</v>
      </c>
      <c r="B20" s="305" t="s">
        <v>23</v>
      </c>
      <c r="C20" s="22">
        <v>2425000</v>
      </c>
      <c r="D20" s="22">
        <v>2589000</v>
      </c>
      <c r="E20" s="22">
        <f t="shared" si="0"/>
        <v>164000</v>
      </c>
      <c r="F20" s="306">
        <f t="shared" si="1"/>
        <v>6.7628865979381447E-2</v>
      </c>
    </row>
    <row r="21" spans="1:11" ht="24" customHeight="1" x14ac:dyDescent="0.2">
      <c r="A21" s="304">
        <v>9</v>
      </c>
      <c r="B21" s="305" t="s">
        <v>24</v>
      </c>
      <c r="C21" s="22">
        <v>3796000</v>
      </c>
      <c r="D21" s="22">
        <v>3760000</v>
      </c>
      <c r="E21" s="22">
        <f t="shared" si="0"/>
        <v>-36000</v>
      </c>
      <c r="F21" s="306">
        <f t="shared" si="1"/>
        <v>-9.4836670179135937E-3</v>
      </c>
    </row>
    <row r="22" spans="1:11" ht="24" customHeight="1" x14ac:dyDescent="0.25">
      <c r="A22" s="307"/>
      <c r="B22" s="308" t="s">
        <v>25</v>
      </c>
      <c r="C22" s="309">
        <f>SUM(C13:C21)</f>
        <v>126887000</v>
      </c>
      <c r="D22" s="309">
        <f>SUM(D13:D21)</f>
        <v>123606000</v>
      </c>
      <c r="E22" s="309">
        <f t="shared" si="0"/>
        <v>-3281000</v>
      </c>
      <c r="F22" s="310">
        <f t="shared" si="1"/>
        <v>-2.5857652872240657E-2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8207000</v>
      </c>
      <c r="D25" s="22">
        <v>9212000</v>
      </c>
      <c r="E25" s="22">
        <f>D25-C25</f>
        <v>1005000</v>
      </c>
      <c r="F25" s="306">
        <f>IF(C25=0,0,E25/C25)</f>
        <v>0.12245643962471062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95568000</v>
      </c>
      <c r="D26" s="22">
        <v>109616000</v>
      </c>
      <c r="E26" s="22">
        <f>D26-C26</f>
        <v>14048000</v>
      </c>
      <c r="F26" s="306">
        <f>IF(C26=0,0,E26/C26)</f>
        <v>0.14699480997823539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15313000</v>
      </c>
      <c r="D28" s="22">
        <v>15249000</v>
      </c>
      <c r="E28" s="22">
        <f>D28-C28</f>
        <v>-64000</v>
      </c>
      <c r="F28" s="306">
        <f>IF(C28=0,0,E28/C28)</f>
        <v>-4.1794553647227844E-3</v>
      </c>
    </row>
    <row r="29" spans="1:11" ht="35.1" customHeight="1" x14ac:dyDescent="0.25">
      <c r="A29" s="307"/>
      <c r="B29" s="308" t="s">
        <v>32</v>
      </c>
      <c r="C29" s="309">
        <f>SUM(C25:C28)</f>
        <v>119088000</v>
      </c>
      <c r="D29" s="309">
        <f>SUM(D25:D28)</f>
        <v>134077000</v>
      </c>
      <c r="E29" s="309">
        <f>D29-C29</f>
        <v>14989000</v>
      </c>
      <c r="F29" s="310">
        <f>IF(C29=0,0,E29/C29)</f>
        <v>0.12586490662367325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16627000</v>
      </c>
      <c r="D32" s="22">
        <v>15090000</v>
      </c>
      <c r="E32" s="22">
        <f>D32-C32</f>
        <v>-1537000</v>
      </c>
      <c r="F32" s="306">
        <f>IF(C32=0,0,E32/C32)</f>
        <v>-9.2440007217176878E-2</v>
      </c>
    </row>
    <row r="33" spans="1:8" ht="24" customHeight="1" x14ac:dyDescent="0.2">
      <c r="A33" s="304">
        <v>7</v>
      </c>
      <c r="B33" s="305" t="s">
        <v>35</v>
      </c>
      <c r="C33" s="22">
        <v>6278000</v>
      </c>
      <c r="D33" s="22">
        <v>6654000</v>
      </c>
      <c r="E33" s="22">
        <f>D33-C33</f>
        <v>376000</v>
      </c>
      <c r="F33" s="306">
        <f>IF(C33=0,0,E33/C33)</f>
        <v>5.9891685250079645E-2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390097000</v>
      </c>
      <c r="D36" s="22">
        <v>415182000</v>
      </c>
      <c r="E36" s="22">
        <f>D36-C36</f>
        <v>25085000</v>
      </c>
      <c r="F36" s="306">
        <f>IF(C36=0,0,E36/C36)</f>
        <v>6.4304519132420912E-2</v>
      </c>
    </row>
    <row r="37" spans="1:8" ht="24" customHeight="1" x14ac:dyDescent="0.2">
      <c r="A37" s="304">
        <v>2</v>
      </c>
      <c r="B37" s="305" t="s">
        <v>39</v>
      </c>
      <c r="C37" s="22">
        <v>215805000</v>
      </c>
      <c r="D37" s="22">
        <v>238640000</v>
      </c>
      <c r="E37" s="22">
        <f>D37-C37</f>
        <v>22835000</v>
      </c>
      <c r="F37" s="22">
        <f>IF(C37=0,0,E37/C37)</f>
        <v>0.10581311832441324</v>
      </c>
    </row>
    <row r="38" spans="1:8" ht="24" customHeight="1" x14ac:dyDescent="0.25">
      <c r="A38" s="307"/>
      <c r="B38" s="308" t="s">
        <v>40</v>
      </c>
      <c r="C38" s="309">
        <f>C36-C37</f>
        <v>174292000</v>
      </c>
      <c r="D38" s="309">
        <f>D36-D37</f>
        <v>176542000</v>
      </c>
      <c r="E38" s="309">
        <f>D38-C38</f>
        <v>2250000</v>
      </c>
      <c r="F38" s="310">
        <f>IF(C38=0,0,E38/C38)</f>
        <v>1.2909370481720332E-2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14694000</v>
      </c>
      <c r="D40" s="22">
        <v>18586000</v>
      </c>
      <c r="E40" s="22">
        <f>D40-C40</f>
        <v>3892000</v>
      </c>
      <c r="F40" s="306">
        <f>IF(C40=0,0,E40/C40)</f>
        <v>0.26487001497209745</v>
      </c>
    </row>
    <row r="41" spans="1:8" ht="24" customHeight="1" x14ac:dyDescent="0.25">
      <c r="A41" s="307"/>
      <c r="B41" s="308" t="s">
        <v>42</v>
      </c>
      <c r="C41" s="309">
        <f>+C38+C40</f>
        <v>188986000</v>
      </c>
      <c r="D41" s="309">
        <f>+D38+D40</f>
        <v>195128000</v>
      </c>
      <c r="E41" s="309">
        <f>D41-C41</f>
        <v>6142000</v>
      </c>
      <c r="F41" s="310">
        <f>IF(C41=0,0,E41/C41)</f>
        <v>3.2499761887123911E-2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457866000</v>
      </c>
      <c r="D43" s="309">
        <f>D22+D29+D31+D32+D33+D41</f>
        <v>474555000</v>
      </c>
      <c r="E43" s="309">
        <f>D43-C43</f>
        <v>16689000</v>
      </c>
      <c r="F43" s="310">
        <f>IF(C43=0,0,E43/C43)</f>
        <v>3.6449528901468992E-2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19616000</v>
      </c>
      <c r="D49" s="22">
        <v>17040000</v>
      </c>
      <c r="E49" s="22">
        <f t="shared" ref="E49:E56" si="2">D49-C49</f>
        <v>-2576000</v>
      </c>
      <c r="F49" s="306">
        <f t="shared" ref="F49:F56" si="3">IF(C49=0,0,E49/C49)</f>
        <v>-0.13132137030995106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33912000</v>
      </c>
      <c r="D50" s="22">
        <v>32899000</v>
      </c>
      <c r="E50" s="22">
        <f t="shared" si="2"/>
        <v>-1013000</v>
      </c>
      <c r="F50" s="306">
        <f t="shared" si="3"/>
        <v>-2.9871431941495635E-2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2944000</v>
      </c>
      <c r="D51" s="22">
        <v>0</v>
      </c>
      <c r="E51" s="22">
        <f t="shared" si="2"/>
        <v>-2944000</v>
      </c>
      <c r="F51" s="306">
        <f t="shared" si="3"/>
        <v>-1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3300000</v>
      </c>
      <c r="D53" s="22">
        <v>3400000</v>
      </c>
      <c r="E53" s="22">
        <f t="shared" si="2"/>
        <v>100000</v>
      </c>
      <c r="F53" s="306">
        <f t="shared" si="3"/>
        <v>3.0303030303030304E-2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1615000</v>
      </c>
      <c r="D54" s="22">
        <v>87000</v>
      </c>
      <c r="E54" s="22">
        <f t="shared" si="2"/>
        <v>-1528000</v>
      </c>
      <c r="F54" s="306">
        <f t="shared" si="3"/>
        <v>-0.94613003095975234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6771000</v>
      </c>
      <c r="D55" s="22">
        <v>6461000</v>
      </c>
      <c r="E55" s="22">
        <f t="shared" si="2"/>
        <v>-310000</v>
      </c>
      <c r="F55" s="306">
        <f t="shared" si="3"/>
        <v>-4.5783488406439227E-2</v>
      </c>
    </row>
    <row r="56" spans="1:6" ht="24" customHeight="1" x14ac:dyDescent="0.25">
      <c r="A56" s="307"/>
      <c r="B56" s="308" t="s">
        <v>54</v>
      </c>
      <c r="C56" s="309">
        <f>SUM(C49:C55)</f>
        <v>68158000</v>
      </c>
      <c r="D56" s="309">
        <f>SUM(D49:D55)</f>
        <v>59887000</v>
      </c>
      <c r="E56" s="309">
        <f t="shared" si="2"/>
        <v>-8271000</v>
      </c>
      <c r="F56" s="310">
        <f t="shared" si="3"/>
        <v>-0.12135039173684674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68388000</v>
      </c>
      <c r="D59" s="22">
        <v>64874000</v>
      </c>
      <c r="E59" s="22">
        <f>D59-C59</f>
        <v>-3514000</v>
      </c>
      <c r="F59" s="306">
        <f>IF(C59=0,0,E59/C59)</f>
        <v>-5.1383283617008835E-2</v>
      </c>
    </row>
    <row r="60" spans="1:6" ht="24" customHeight="1" x14ac:dyDescent="0.2">
      <c r="A60" s="304">
        <v>2</v>
      </c>
      <c r="B60" s="305" t="s">
        <v>57</v>
      </c>
      <c r="C60" s="22">
        <v>995000</v>
      </c>
      <c r="D60" s="22">
        <v>869000</v>
      </c>
      <c r="E60" s="22">
        <f>D60-C60</f>
        <v>-126000</v>
      </c>
      <c r="F60" s="306">
        <f>IF(C60=0,0,E60/C60)</f>
        <v>-0.12663316582914572</v>
      </c>
    </row>
    <row r="61" spans="1:6" ht="24" customHeight="1" x14ac:dyDescent="0.25">
      <c r="A61" s="307"/>
      <c r="B61" s="308" t="s">
        <v>58</v>
      </c>
      <c r="C61" s="309">
        <f>SUM(C59:C60)</f>
        <v>69383000</v>
      </c>
      <c r="D61" s="309">
        <f>SUM(D59:D60)</f>
        <v>65743000</v>
      </c>
      <c r="E61" s="309">
        <f>D61-C61</f>
        <v>-3640000</v>
      </c>
      <c r="F61" s="310">
        <f>IF(C61=0,0,E61/C61)</f>
        <v>-5.2462418748108329E-2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129719000</v>
      </c>
      <c r="D63" s="22">
        <v>48985000</v>
      </c>
      <c r="E63" s="22">
        <f>D63-C63</f>
        <v>-80734000</v>
      </c>
      <c r="F63" s="306">
        <f>IF(C63=0,0,E63/C63)</f>
        <v>-0.62237605901988147</v>
      </c>
    </row>
    <row r="64" spans="1:6" ht="24" customHeight="1" x14ac:dyDescent="0.2">
      <c r="A64" s="304">
        <v>4</v>
      </c>
      <c r="B64" s="305" t="s">
        <v>60</v>
      </c>
      <c r="C64" s="22">
        <v>23796000</v>
      </c>
      <c r="D64" s="22">
        <v>29621000</v>
      </c>
      <c r="E64" s="22">
        <f>D64-C64</f>
        <v>5825000</v>
      </c>
      <c r="F64" s="306">
        <f>IF(C64=0,0,E64/C64)</f>
        <v>0.24478904017481931</v>
      </c>
    </row>
    <row r="65" spans="1:6" ht="24" customHeight="1" x14ac:dyDescent="0.25">
      <c r="A65" s="307"/>
      <c r="B65" s="308" t="s">
        <v>61</v>
      </c>
      <c r="C65" s="309">
        <f>SUM(C61:C64)</f>
        <v>222898000</v>
      </c>
      <c r="D65" s="309">
        <f>SUM(D61:D64)</f>
        <v>144349000</v>
      </c>
      <c r="E65" s="309">
        <f>D65-C65</f>
        <v>-78549000</v>
      </c>
      <c r="F65" s="310">
        <f>IF(C65=0,0,E65/C65)</f>
        <v>-0.35239885508169655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150651000</v>
      </c>
      <c r="D70" s="22">
        <v>253975000</v>
      </c>
      <c r="E70" s="22">
        <f>D70-C70</f>
        <v>103324000</v>
      </c>
      <c r="F70" s="306">
        <f>IF(C70=0,0,E70/C70)</f>
        <v>0.68585007733104986</v>
      </c>
    </row>
    <row r="71" spans="1:6" ht="24" customHeight="1" x14ac:dyDescent="0.2">
      <c r="A71" s="304">
        <v>2</v>
      </c>
      <c r="B71" s="305" t="s">
        <v>65</v>
      </c>
      <c r="C71" s="22">
        <v>9195000</v>
      </c>
      <c r="D71" s="22">
        <v>9368000</v>
      </c>
      <c r="E71" s="22">
        <f>D71-C71</f>
        <v>173000</v>
      </c>
      <c r="F71" s="306">
        <f>IF(C71=0,0,E71/C71)</f>
        <v>1.8814573137574769E-2</v>
      </c>
    </row>
    <row r="72" spans="1:6" ht="24" customHeight="1" x14ac:dyDescent="0.2">
      <c r="A72" s="304">
        <v>3</v>
      </c>
      <c r="B72" s="305" t="s">
        <v>66</v>
      </c>
      <c r="C72" s="22">
        <v>6964000</v>
      </c>
      <c r="D72" s="22">
        <v>6976000</v>
      </c>
      <c r="E72" s="22">
        <f>D72-C72</f>
        <v>12000</v>
      </c>
      <c r="F72" s="306">
        <f>IF(C72=0,0,E72/C72)</f>
        <v>1.7231476163124641E-3</v>
      </c>
    </row>
    <row r="73" spans="1:6" ht="24" customHeight="1" x14ac:dyDescent="0.25">
      <c r="A73" s="304"/>
      <c r="B73" s="308" t="s">
        <v>67</v>
      </c>
      <c r="C73" s="309">
        <f>SUM(C70:C72)</f>
        <v>166810000</v>
      </c>
      <c r="D73" s="309">
        <f>SUM(D70:D72)</f>
        <v>270319000</v>
      </c>
      <c r="E73" s="309">
        <f>D73-C73</f>
        <v>103509000</v>
      </c>
      <c r="F73" s="310">
        <f>IF(C73=0,0,E73/C73)</f>
        <v>0.62052035249685267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457866000</v>
      </c>
      <c r="D75" s="309">
        <f>D56+D65+D67+D73</f>
        <v>474555000</v>
      </c>
      <c r="E75" s="309">
        <f>D75-C75</f>
        <v>16689000</v>
      </c>
      <c r="F75" s="310">
        <f>IF(C75=0,0,E75/C75)</f>
        <v>3.6449528901468992E-2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1140027000</v>
      </c>
      <c r="D11" s="76">
        <v>1238917000</v>
      </c>
      <c r="E11" s="76">
        <f t="shared" ref="E11:E20" si="0">D11-C11</f>
        <v>98890000</v>
      </c>
      <c r="F11" s="77">
        <f t="shared" ref="F11:F20" si="1">IF(C11=0,0,E11/C11)</f>
        <v>8.6743559582360769E-2</v>
      </c>
    </row>
    <row r="12" spans="1:7" ht="23.1" customHeight="1" x14ac:dyDescent="0.2">
      <c r="A12" s="74">
        <v>2</v>
      </c>
      <c r="B12" s="75" t="s">
        <v>72</v>
      </c>
      <c r="C12" s="76">
        <v>771052000</v>
      </c>
      <c r="D12" s="76">
        <v>857418000</v>
      </c>
      <c r="E12" s="76">
        <f t="shared" si="0"/>
        <v>86366000</v>
      </c>
      <c r="F12" s="77">
        <f t="shared" si="1"/>
        <v>0.11201060369469244</v>
      </c>
    </row>
    <row r="13" spans="1:7" ht="23.1" customHeight="1" x14ac:dyDescent="0.2">
      <c r="A13" s="74">
        <v>3</v>
      </c>
      <c r="B13" s="75" t="s">
        <v>73</v>
      </c>
      <c r="C13" s="76">
        <v>7509000</v>
      </c>
      <c r="D13" s="76">
        <v>8530000</v>
      </c>
      <c r="E13" s="76">
        <f t="shared" si="0"/>
        <v>1021000</v>
      </c>
      <c r="F13" s="77">
        <f t="shared" si="1"/>
        <v>0.13597016913037688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361466000</v>
      </c>
      <c r="D15" s="79">
        <f>D11-D12-D13-D14</f>
        <v>372969000</v>
      </c>
      <c r="E15" s="79">
        <f t="shared" si="0"/>
        <v>11503000</v>
      </c>
      <c r="F15" s="80">
        <f t="shared" si="1"/>
        <v>3.1823186689757817E-2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11209000</v>
      </c>
      <c r="E16" s="76">
        <f t="shared" si="0"/>
        <v>11209000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361466000</v>
      </c>
      <c r="D17" s="79">
        <f>D15-D16</f>
        <v>361760000</v>
      </c>
      <c r="E17" s="79">
        <f t="shared" si="0"/>
        <v>294000</v>
      </c>
      <c r="F17" s="80">
        <f t="shared" si="1"/>
        <v>8.1335450637127701E-4</v>
      </c>
    </row>
    <row r="18" spans="1:7" ht="23.1" customHeight="1" x14ac:dyDescent="0.2">
      <c r="A18" s="74">
        <v>6</v>
      </c>
      <c r="B18" s="75" t="s">
        <v>78</v>
      </c>
      <c r="C18" s="76">
        <v>12534000</v>
      </c>
      <c r="D18" s="76">
        <v>12946000</v>
      </c>
      <c r="E18" s="76">
        <f t="shared" si="0"/>
        <v>412000</v>
      </c>
      <c r="F18" s="77">
        <f t="shared" si="1"/>
        <v>3.2870591989787777E-2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374000000</v>
      </c>
      <c r="D20" s="79">
        <f>SUM(D17:D19)</f>
        <v>374706000</v>
      </c>
      <c r="E20" s="79">
        <f t="shared" si="0"/>
        <v>706000</v>
      </c>
      <c r="F20" s="80">
        <f t="shared" si="1"/>
        <v>1.8877005347593583E-3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171970000</v>
      </c>
      <c r="D23" s="76">
        <v>175890000</v>
      </c>
      <c r="E23" s="76">
        <f t="shared" ref="E23:E32" si="2">D23-C23</f>
        <v>3920000</v>
      </c>
      <c r="F23" s="77">
        <f t="shared" ref="F23:F32" si="3">IF(C23=0,0,E23/C23)</f>
        <v>2.2794673489562132E-2</v>
      </c>
    </row>
    <row r="24" spans="1:7" ht="23.1" customHeight="1" x14ac:dyDescent="0.2">
      <c r="A24" s="74">
        <v>2</v>
      </c>
      <c r="B24" s="75" t="s">
        <v>83</v>
      </c>
      <c r="C24" s="76">
        <v>39621000</v>
      </c>
      <c r="D24" s="76">
        <v>39223000</v>
      </c>
      <c r="E24" s="76">
        <f t="shared" si="2"/>
        <v>-398000</v>
      </c>
      <c r="F24" s="77">
        <f t="shared" si="3"/>
        <v>-1.0045178062138765E-2</v>
      </c>
    </row>
    <row r="25" spans="1:7" ht="23.1" customHeight="1" x14ac:dyDescent="0.2">
      <c r="A25" s="74">
        <v>3</v>
      </c>
      <c r="B25" s="75" t="s">
        <v>84</v>
      </c>
      <c r="C25" s="76">
        <v>3405000</v>
      </c>
      <c r="D25" s="76">
        <v>3450000</v>
      </c>
      <c r="E25" s="76">
        <f t="shared" si="2"/>
        <v>45000</v>
      </c>
      <c r="F25" s="77">
        <f t="shared" si="3"/>
        <v>1.3215859030837005E-2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35376000</v>
      </c>
      <c r="D26" s="76">
        <v>37787000</v>
      </c>
      <c r="E26" s="76">
        <f t="shared" si="2"/>
        <v>2411000</v>
      </c>
      <c r="F26" s="77">
        <f t="shared" si="3"/>
        <v>6.8153550429669835E-2</v>
      </c>
    </row>
    <row r="27" spans="1:7" ht="23.1" customHeight="1" x14ac:dyDescent="0.2">
      <c r="A27" s="74">
        <v>5</v>
      </c>
      <c r="B27" s="75" t="s">
        <v>86</v>
      </c>
      <c r="C27" s="76">
        <v>22115000</v>
      </c>
      <c r="D27" s="76">
        <v>22813000</v>
      </c>
      <c r="E27" s="76">
        <f t="shared" si="2"/>
        <v>698000</v>
      </c>
      <c r="F27" s="77">
        <f t="shared" si="3"/>
        <v>3.1562288039791997E-2</v>
      </c>
    </row>
    <row r="28" spans="1:7" ht="23.1" customHeight="1" x14ac:dyDescent="0.2">
      <c r="A28" s="74">
        <v>6</v>
      </c>
      <c r="B28" s="75" t="s">
        <v>87</v>
      </c>
      <c r="C28" s="76">
        <v>12256000</v>
      </c>
      <c r="D28" s="76">
        <v>0</v>
      </c>
      <c r="E28" s="76">
        <f t="shared" si="2"/>
        <v>-12256000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3405000</v>
      </c>
      <c r="D29" s="76">
        <v>3300000</v>
      </c>
      <c r="E29" s="76">
        <f t="shared" si="2"/>
        <v>-105000</v>
      </c>
      <c r="F29" s="77">
        <f t="shared" si="3"/>
        <v>-3.0837004405286344E-2</v>
      </c>
    </row>
    <row r="30" spans="1:7" ht="23.1" customHeight="1" x14ac:dyDescent="0.2">
      <c r="A30" s="74">
        <v>8</v>
      </c>
      <c r="B30" s="75" t="s">
        <v>89</v>
      </c>
      <c r="C30" s="76">
        <v>2078000</v>
      </c>
      <c r="D30" s="76">
        <v>4632000</v>
      </c>
      <c r="E30" s="76">
        <f t="shared" si="2"/>
        <v>2554000</v>
      </c>
      <c r="F30" s="77">
        <f t="shared" si="3"/>
        <v>1.2290664100096247</v>
      </c>
    </row>
    <row r="31" spans="1:7" ht="23.1" customHeight="1" x14ac:dyDescent="0.2">
      <c r="A31" s="74">
        <v>9</v>
      </c>
      <c r="B31" s="75" t="s">
        <v>90</v>
      </c>
      <c r="C31" s="76">
        <v>61431000</v>
      </c>
      <c r="D31" s="76">
        <v>73262000</v>
      </c>
      <c r="E31" s="76">
        <f t="shared" si="2"/>
        <v>11831000</v>
      </c>
      <c r="F31" s="77">
        <f t="shared" si="3"/>
        <v>0.1925900603929612</v>
      </c>
    </row>
    <row r="32" spans="1:7" ht="23.1" customHeight="1" x14ac:dyDescent="0.25">
      <c r="A32" s="71"/>
      <c r="B32" s="78" t="s">
        <v>91</v>
      </c>
      <c r="C32" s="79">
        <f>SUM(C23:C31)</f>
        <v>351657000</v>
      </c>
      <c r="D32" s="79">
        <f>SUM(D23:D31)</f>
        <v>360357000</v>
      </c>
      <c r="E32" s="79">
        <f t="shared" si="2"/>
        <v>8700000</v>
      </c>
      <c r="F32" s="80">
        <f t="shared" si="3"/>
        <v>2.4740016550217968E-2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22343000</v>
      </c>
      <c r="D34" s="79">
        <f>+D20-D32</f>
        <v>14349000</v>
      </c>
      <c r="E34" s="79">
        <f>D34-C34</f>
        <v>-7994000</v>
      </c>
      <c r="F34" s="80">
        <f>IF(C34=0,0,E34/C34)</f>
        <v>-0.35778543615450031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2161000</v>
      </c>
      <c r="D37" s="76">
        <v>5707000</v>
      </c>
      <c r="E37" s="76">
        <f>D37-C37</f>
        <v>3546000</v>
      </c>
      <c r="F37" s="77">
        <f>IF(C37=0,0,E37/C37)</f>
        <v>1.6409069875057845</v>
      </c>
    </row>
    <row r="38" spans="1:6" ht="23.1" customHeight="1" x14ac:dyDescent="0.2">
      <c r="A38" s="85">
        <v>2</v>
      </c>
      <c r="B38" s="75" t="s">
        <v>95</v>
      </c>
      <c r="C38" s="76">
        <v>467000</v>
      </c>
      <c r="D38" s="76">
        <v>293000</v>
      </c>
      <c r="E38" s="76">
        <f>D38-C38</f>
        <v>-174000</v>
      </c>
      <c r="F38" s="77">
        <f>IF(C38=0,0,E38/C38)</f>
        <v>-0.37259100642398285</v>
      </c>
    </row>
    <row r="39" spans="1:6" ht="23.1" customHeight="1" x14ac:dyDescent="0.2">
      <c r="A39" s="85">
        <v>3</v>
      </c>
      <c r="B39" s="75" t="s">
        <v>96</v>
      </c>
      <c r="C39" s="76">
        <v>1278000</v>
      </c>
      <c r="D39" s="76">
        <v>1155000</v>
      </c>
      <c r="E39" s="76">
        <f>D39-C39</f>
        <v>-123000</v>
      </c>
      <c r="F39" s="77">
        <f>IF(C39=0,0,E39/C39)</f>
        <v>-9.6244131455399062E-2</v>
      </c>
    </row>
    <row r="40" spans="1:6" ht="23.1" customHeight="1" x14ac:dyDescent="0.25">
      <c r="A40" s="83"/>
      <c r="B40" s="78" t="s">
        <v>97</v>
      </c>
      <c r="C40" s="79">
        <f>SUM(C37:C39)</f>
        <v>3906000</v>
      </c>
      <c r="D40" s="79">
        <f>SUM(D37:D39)</f>
        <v>7155000</v>
      </c>
      <c r="E40" s="79">
        <f>D40-C40</f>
        <v>3249000</v>
      </c>
      <c r="F40" s="80">
        <f>IF(C40=0,0,E40/C40)</f>
        <v>0.83179723502304148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26249000</v>
      </c>
      <c r="D42" s="79">
        <f>D34+D40</f>
        <v>21504000</v>
      </c>
      <c r="E42" s="79">
        <f>D42-C42</f>
        <v>-4745000</v>
      </c>
      <c r="F42" s="80">
        <f>IF(C42=0,0,E42/C42)</f>
        <v>-0.18076879119204542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26249000</v>
      </c>
      <c r="D49" s="79">
        <f>D42+D47</f>
        <v>21504000</v>
      </c>
      <c r="E49" s="79">
        <f>D49-C49</f>
        <v>-4745000</v>
      </c>
      <c r="F49" s="80">
        <f>IF(C49=0,0,E49/C49)</f>
        <v>-0.18076879119204542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2014-10-07T13:05:07Z</cp:lastPrinted>
  <dcterms:created xsi:type="dcterms:W3CDTF">2014-10-06T18:42:08Z</dcterms:created>
  <dcterms:modified xsi:type="dcterms:W3CDTF">2014-10-09T18:39:24Z</dcterms:modified>
</cp:coreProperties>
</file>