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 s="1"/>
  <c r="D223" i="14"/>
  <c r="D204" i="14"/>
  <c r="D269" i="14" s="1"/>
  <c r="D272" i="14" s="1"/>
  <c r="D203" i="14"/>
  <c r="D283" i="14"/>
  <c r="D198" i="14"/>
  <c r="D290" i="14"/>
  <c r="D191" i="14"/>
  <c r="D264" i="14"/>
  <c r="D189" i="14"/>
  <c r="D278" i="14"/>
  <c r="D188" i="14"/>
  <c r="D277" i="14" s="1"/>
  <c r="D287" i="14" s="1"/>
  <c r="D214" i="14"/>
  <c r="D180" i="14"/>
  <c r="D179" i="14"/>
  <c r="D171" i="14"/>
  <c r="D172" i="14"/>
  <c r="D173" i="14" s="1"/>
  <c r="D170" i="14"/>
  <c r="D165" i="14"/>
  <c r="D164" i="14"/>
  <c r="D158" i="14"/>
  <c r="D159" i="14" s="1"/>
  <c r="D155" i="14"/>
  <c r="D145" i="14"/>
  <c r="D144" i="14"/>
  <c r="D146" i="14"/>
  <c r="D136" i="14"/>
  <c r="D137" i="14"/>
  <c r="D135" i="14"/>
  <c r="D130" i="14"/>
  <c r="D129" i="14"/>
  <c r="D123" i="14"/>
  <c r="D192" i="14" s="1"/>
  <c r="D193" i="14" s="1"/>
  <c r="D120" i="14"/>
  <c r="D110" i="14"/>
  <c r="D109" i="14"/>
  <c r="D101" i="14"/>
  <c r="D102" i="14" s="1"/>
  <c r="D103" i="14" s="1"/>
  <c r="D100" i="14"/>
  <c r="D95" i="14"/>
  <c r="D94" i="14"/>
  <c r="D89" i="14"/>
  <c r="D88" i="14"/>
  <c r="D85" i="14"/>
  <c r="D76" i="14"/>
  <c r="D77" i="14"/>
  <c r="D67" i="14"/>
  <c r="D66" i="14"/>
  <c r="D59" i="14"/>
  <c r="D60" i="14" s="1"/>
  <c r="D61" i="14" s="1"/>
  <c r="D58" i="14"/>
  <c r="D53" i="14"/>
  <c r="D52" i="14"/>
  <c r="D47" i="14"/>
  <c r="D48" i="14"/>
  <c r="D44" i="14"/>
  <c r="D36" i="14"/>
  <c r="D35" i="14"/>
  <c r="D37" i="14"/>
  <c r="D30" i="14"/>
  <c r="D31" i="14" s="1"/>
  <c r="D32" i="14" s="1"/>
  <c r="D29" i="14"/>
  <c r="D24" i="14"/>
  <c r="D23" i="14"/>
  <c r="D20" i="14"/>
  <c r="D17" i="14"/>
  <c r="E97" i="19"/>
  <c r="D97" i="19"/>
  <c r="C97" i="19"/>
  <c r="E96" i="19"/>
  <c r="E98" i="19" s="1"/>
  <c r="D96" i="19"/>
  <c r="C96" i="19"/>
  <c r="C98" i="19" s="1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E88" i="19" s="1"/>
  <c r="D86" i="19"/>
  <c r="C86" i="19"/>
  <c r="C88" i="19" s="1"/>
  <c r="E83" i="19"/>
  <c r="D83" i="19"/>
  <c r="C83" i="19"/>
  <c r="C102" i="19"/>
  <c r="E76" i="19"/>
  <c r="D76" i="19"/>
  <c r="C76" i="19"/>
  <c r="E75" i="19"/>
  <c r="E77" i="19" s="1"/>
  <c r="E109" i="19" s="1"/>
  <c r="D75" i="19"/>
  <c r="D77" i="19" s="1"/>
  <c r="D109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2" i="19" s="1"/>
  <c r="D12" i="19"/>
  <c r="D23" i="19" s="1"/>
  <c r="D46" i="19" s="1"/>
  <c r="C12" i="19"/>
  <c r="C23" i="19" s="1"/>
  <c r="D21" i="18"/>
  <c r="C21" i="18"/>
  <c r="E21" i="18" s="1"/>
  <c r="F21" i="18" s="1"/>
  <c r="D19" i="18"/>
  <c r="C19" i="18"/>
  <c r="E19" i="18"/>
  <c r="F19" i="18" s="1"/>
  <c r="E17" i="18"/>
  <c r="F17" i="18" s="1"/>
  <c r="E15" i="18"/>
  <c r="F15" i="18" s="1"/>
  <c r="D45" i="17"/>
  <c r="C45" i="17"/>
  <c r="E45" i="17" s="1"/>
  <c r="F45" i="17" s="1"/>
  <c r="D44" i="17"/>
  <c r="C44" i="17"/>
  <c r="D43" i="17"/>
  <c r="D46" i="17" s="1"/>
  <c r="C43" i="17"/>
  <c r="D36" i="17"/>
  <c r="D40" i="17" s="1"/>
  <c r="C36" i="17"/>
  <c r="E35" i="17"/>
  <c r="F35" i="17" s="1"/>
  <c r="E34" i="17"/>
  <c r="F34" i="17" s="1"/>
  <c r="F33" i="17"/>
  <c r="E33" i="17"/>
  <c r="E36" i="17"/>
  <c r="E30" i="17"/>
  <c r="F30" i="17"/>
  <c r="E29" i="17"/>
  <c r="F29" i="17"/>
  <c r="E28" i="17"/>
  <c r="F28" i="17"/>
  <c r="E27" i="17"/>
  <c r="F27" i="17" s="1"/>
  <c r="D25" i="17"/>
  <c r="D39" i="17" s="1"/>
  <c r="C25" i="17"/>
  <c r="E24" i="17"/>
  <c r="F24" i="17" s="1"/>
  <c r="E23" i="17"/>
  <c r="F23" i="17" s="1"/>
  <c r="E22" i="17"/>
  <c r="F22" i="17" s="1"/>
  <c r="D19" i="17"/>
  <c r="D20" i="17" s="1"/>
  <c r="C19" i="17"/>
  <c r="E18" i="17"/>
  <c r="F18" i="17" s="1"/>
  <c r="D16" i="17"/>
  <c r="C16" i="17"/>
  <c r="E15" i="17"/>
  <c r="F15" i="17"/>
  <c r="E13" i="17"/>
  <c r="F13" i="17"/>
  <c r="E12" i="17"/>
  <c r="F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65" i="16" s="1"/>
  <c r="C114" i="16" s="1"/>
  <c r="C116" i="16" s="1"/>
  <c r="C119" i="16" s="1"/>
  <c r="C123" i="16" s="1"/>
  <c r="C36" i="16"/>
  <c r="C32" i="16"/>
  <c r="C33" i="16" s="1"/>
  <c r="C21" i="16"/>
  <c r="E328" i="15"/>
  <c r="E325" i="15"/>
  <c r="D324" i="15"/>
  <c r="E324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E292" i="15" s="1"/>
  <c r="C292" i="15"/>
  <c r="D291" i="15"/>
  <c r="E291" i="15" s="1"/>
  <c r="C291" i="15"/>
  <c r="D290" i="15"/>
  <c r="E290" i="15" s="1"/>
  <c r="C290" i="15"/>
  <c r="D288" i="15"/>
  <c r="C288" i="15"/>
  <c r="E288" i="15" s="1"/>
  <c r="D287" i="15"/>
  <c r="E287" i="15"/>
  <c r="C287" i="15"/>
  <c r="D282" i="15"/>
  <c r="C282" i="15"/>
  <c r="D281" i="15"/>
  <c r="E281" i="15" s="1"/>
  <c r="C281" i="15"/>
  <c r="D280" i="15"/>
  <c r="C280" i="15"/>
  <c r="D279" i="15"/>
  <c r="E279" i="15"/>
  <c r="C279" i="15"/>
  <c r="D278" i="15"/>
  <c r="C278" i="15"/>
  <c r="D277" i="15"/>
  <c r="E277" i="15" s="1"/>
  <c r="C277" i="15"/>
  <c r="D276" i="15"/>
  <c r="C276" i="15"/>
  <c r="E270" i="15"/>
  <c r="D265" i="15"/>
  <c r="E265" i="15" s="1"/>
  <c r="C265" i="15"/>
  <c r="C302" i="15" s="1"/>
  <c r="C303" i="15" s="1"/>
  <c r="C306" i="15" s="1"/>
  <c r="C310" i="15" s="1"/>
  <c r="D262" i="15"/>
  <c r="C262" i="15"/>
  <c r="D251" i="15"/>
  <c r="C251" i="15"/>
  <c r="D233" i="15"/>
  <c r="C233" i="15"/>
  <c r="D232" i="15"/>
  <c r="E232" i="15" s="1"/>
  <c r="C232" i="15"/>
  <c r="D231" i="15"/>
  <c r="E231" i="15" s="1"/>
  <c r="C231" i="15"/>
  <c r="D230" i="15"/>
  <c r="E230" i="15" s="1"/>
  <c r="C230" i="15"/>
  <c r="D228" i="15"/>
  <c r="E228" i="15"/>
  <c r="C228" i="15"/>
  <c r="D227" i="15"/>
  <c r="C227" i="15"/>
  <c r="D221" i="15"/>
  <c r="D245" i="15" s="1"/>
  <c r="E245" i="15" s="1"/>
  <c r="C221" i="15"/>
  <c r="C245" i="15" s="1"/>
  <c r="D220" i="15"/>
  <c r="E220" i="15" s="1"/>
  <c r="C220" i="15"/>
  <c r="C244" i="15" s="1"/>
  <c r="D219" i="15"/>
  <c r="D243" i="15"/>
  <c r="C219" i="15"/>
  <c r="C243" i="15" s="1"/>
  <c r="C252" i="15" s="1"/>
  <c r="D218" i="15"/>
  <c r="C218" i="15"/>
  <c r="C242" i="15" s="1"/>
  <c r="D216" i="15"/>
  <c r="E216" i="15" s="1"/>
  <c r="C216" i="15"/>
  <c r="C240" i="15" s="1"/>
  <c r="D215" i="15"/>
  <c r="D239" i="15" s="1"/>
  <c r="C215" i="15"/>
  <c r="C239" i="15" s="1"/>
  <c r="E209" i="15"/>
  <c r="E208" i="15"/>
  <c r="E207" i="15"/>
  <c r="E206" i="15"/>
  <c r="D205" i="15"/>
  <c r="D210" i="15" s="1"/>
  <c r="C205" i="15"/>
  <c r="C210" i="15" s="1"/>
  <c r="E204" i="15"/>
  <c r="E203" i="15"/>
  <c r="E197" i="15"/>
  <c r="E196" i="15"/>
  <c r="D195" i="15"/>
  <c r="D260" i="15" s="1"/>
  <c r="E260" i="15" s="1"/>
  <c r="C195" i="15"/>
  <c r="C260" i="15" s="1"/>
  <c r="E194" i="15"/>
  <c r="E193" i="15"/>
  <c r="E192" i="15"/>
  <c r="E191" i="15"/>
  <c r="E190" i="15"/>
  <c r="D188" i="15"/>
  <c r="D189" i="15" s="1"/>
  <c r="C188" i="15"/>
  <c r="C189" i="15"/>
  <c r="E186" i="15"/>
  <c r="E185" i="15"/>
  <c r="D179" i="15"/>
  <c r="C179" i="15"/>
  <c r="D178" i="15"/>
  <c r="C178" i="15"/>
  <c r="D177" i="15"/>
  <c r="C177" i="15"/>
  <c r="E177" i="15" s="1"/>
  <c r="D176" i="15"/>
  <c r="C176" i="15"/>
  <c r="D174" i="15"/>
  <c r="C174" i="15"/>
  <c r="D173" i="15"/>
  <c r="C173" i="15"/>
  <c r="D167" i="15"/>
  <c r="C167" i="15"/>
  <c r="D166" i="15"/>
  <c r="C166" i="15"/>
  <c r="E166" i="15" s="1"/>
  <c r="D165" i="15"/>
  <c r="C165" i="15"/>
  <c r="D164" i="15"/>
  <c r="C164" i="15"/>
  <c r="D162" i="15"/>
  <c r="C162" i="15"/>
  <c r="D161" i="15"/>
  <c r="C161" i="15"/>
  <c r="E155" i="15"/>
  <c r="E154" i="15"/>
  <c r="E153" i="15"/>
  <c r="E152" i="15"/>
  <c r="D151" i="15"/>
  <c r="C151" i="15"/>
  <c r="C156" i="15" s="1"/>
  <c r="C157" i="15" s="1"/>
  <c r="E150" i="15"/>
  <c r="E149" i="15"/>
  <c r="E143" i="15"/>
  <c r="E142" i="15"/>
  <c r="E141" i="15"/>
  <c r="E140" i="15"/>
  <c r="D139" i="15"/>
  <c r="D144" i="15" s="1"/>
  <c r="D180" i="15" s="1"/>
  <c r="C139" i="15"/>
  <c r="E138" i="15"/>
  <c r="E137" i="15"/>
  <c r="D75" i="15"/>
  <c r="C75" i="15"/>
  <c r="D74" i="15"/>
  <c r="C74" i="15"/>
  <c r="E74" i="15" s="1"/>
  <c r="D73" i="15"/>
  <c r="C73" i="15"/>
  <c r="D72" i="15"/>
  <c r="C72" i="15"/>
  <c r="E72" i="15" s="1"/>
  <c r="D70" i="15"/>
  <c r="C70" i="15"/>
  <c r="E70" i="15" s="1"/>
  <c r="D69" i="15"/>
  <c r="C69" i="15"/>
  <c r="E64" i="15"/>
  <c r="E63" i="15"/>
  <c r="E62" i="15"/>
  <c r="E61" i="15"/>
  <c r="D60" i="15"/>
  <c r="D289" i="15" s="1"/>
  <c r="C60" i="15"/>
  <c r="E59" i="15"/>
  <c r="E58" i="15"/>
  <c r="D54" i="15"/>
  <c r="C54" i="15"/>
  <c r="E53" i="15"/>
  <c r="E52" i="15"/>
  <c r="E51" i="15"/>
  <c r="E50" i="15"/>
  <c r="E49" i="15"/>
  <c r="E48" i="15"/>
  <c r="E47" i="15"/>
  <c r="D42" i="15"/>
  <c r="C42" i="15"/>
  <c r="D41" i="15"/>
  <c r="C41" i="15"/>
  <c r="D40" i="15"/>
  <c r="E40" i="15" s="1"/>
  <c r="C40" i="15"/>
  <c r="D39" i="15"/>
  <c r="C39" i="15"/>
  <c r="D38" i="15"/>
  <c r="E38" i="15" s="1"/>
  <c r="C38" i="15"/>
  <c r="D37" i="15"/>
  <c r="C37" i="15"/>
  <c r="D36" i="15"/>
  <c r="C36" i="15"/>
  <c r="D32" i="15"/>
  <c r="D33" i="15" s="1"/>
  <c r="C32" i="15"/>
  <c r="E31" i="15"/>
  <c r="E30" i="15"/>
  <c r="E29" i="15"/>
  <c r="E28" i="15"/>
  <c r="E27" i="15"/>
  <c r="E26" i="15"/>
  <c r="E25" i="15"/>
  <c r="D21" i="15"/>
  <c r="C21" i="15"/>
  <c r="C22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11" i="14" s="1"/>
  <c r="E308" i="14"/>
  <c r="F308" i="14" s="1"/>
  <c r="C307" i="14"/>
  <c r="E307" i="14" s="1"/>
  <c r="E299" i="14"/>
  <c r="C299" i="14"/>
  <c r="E298" i="14"/>
  <c r="C298" i="14"/>
  <c r="C297" i="14"/>
  <c r="E297" i="14" s="1"/>
  <c r="F297" i="14" s="1"/>
  <c r="E296" i="14"/>
  <c r="C296" i="14"/>
  <c r="E295" i="14"/>
  <c r="C295" i="14"/>
  <c r="C294" i="14"/>
  <c r="E294" i="14" s="1"/>
  <c r="C250" i="14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C237" i="14"/>
  <c r="E237" i="14" s="1"/>
  <c r="F234" i="14"/>
  <c r="E234" i="14"/>
  <c r="E233" i="14"/>
  <c r="F233" i="14" s="1"/>
  <c r="C230" i="14"/>
  <c r="E230" i="14" s="1"/>
  <c r="C229" i="14"/>
  <c r="E229" i="14" s="1"/>
  <c r="E228" i="14"/>
  <c r="F228" i="14"/>
  <c r="C226" i="14"/>
  <c r="E226" i="14" s="1"/>
  <c r="E225" i="14"/>
  <c r="F225" i="14" s="1"/>
  <c r="E224" i="14"/>
  <c r="F224" i="14" s="1"/>
  <c r="C223" i="14"/>
  <c r="E222" i="14"/>
  <c r="F222" i="14" s="1"/>
  <c r="E221" i="14"/>
  <c r="F221" i="14" s="1"/>
  <c r="C204" i="14"/>
  <c r="E204" i="14" s="1"/>
  <c r="C203" i="14"/>
  <c r="E203" i="14"/>
  <c r="C198" i="14"/>
  <c r="E198" i="14" s="1"/>
  <c r="C191" i="14"/>
  <c r="C189" i="14"/>
  <c r="C278" i="14" s="1"/>
  <c r="C188" i="14"/>
  <c r="E188" i="14" s="1"/>
  <c r="C180" i="14"/>
  <c r="C179" i="14"/>
  <c r="E179" i="14" s="1"/>
  <c r="F179" i="14" s="1"/>
  <c r="C171" i="14"/>
  <c r="E171" i="14" s="1"/>
  <c r="F171" i="14" s="1"/>
  <c r="C170" i="14"/>
  <c r="E170" i="14" s="1"/>
  <c r="F169" i="14"/>
  <c r="E169" i="14"/>
  <c r="E168" i="14"/>
  <c r="F168" i="14" s="1"/>
  <c r="C165" i="14"/>
  <c r="E165" i="14" s="1"/>
  <c r="C164" i="14"/>
  <c r="E164" i="14" s="1"/>
  <c r="E163" i="14"/>
  <c r="F163" i="14" s="1"/>
  <c r="E158" i="14"/>
  <c r="C158" i="14"/>
  <c r="F157" i="14"/>
  <c r="E157" i="14"/>
  <c r="F156" i="14"/>
  <c r="E156" i="14"/>
  <c r="F155" i="14"/>
  <c r="C155" i="14"/>
  <c r="E155" i="14"/>
  <c r="F154" i="14"/>
  <c r="E154" i="14"/>
  <c r="E153" i="14"/>
  <c r="F153" i="14"/>
  <c r="C145" i="14"/>
  <c r="E145" i="14" s="1"/>
  <c r="C144" i="14"/>
  <c r="E144" i="14" s="1"/>
  <c r="F144" i="14" s="1"/>
  <c r="C136" i="14"/>
  <c r="C137" i="14" s="1"/>
  <c r="C135" i="14"/>
  <c r="E135" i="14" s="1"/>
  <c r="E134" i="14"/>
  <c r="F134" i="14" s="1"/>
  <c r="E133" i="14"/>
  <c r="F133" i="14" s="1"/>
  <c r="C130" i="14"/>
  <c r="E130" i="14" s="1"/>
  <c r="E129" i="14"/>
  <c r="C129" i="14"/>
  <c r="E128" i="14"/>
  <c r="F128" i="14" s="1"/>
  <c r="C123" i="14"/>
  <c r="C193" i="14" s="1"/>
  <c r="C194" i="14" s="1"/>
  <c r="C195" i="14" s="1"/>
  <c r="E122" i="14"/>
  <c r="F122" i="14" s="1"/>
  <c r="E121" i="14"/>
  <c r="F121" i="14" s="1"/>
  <c r="F120" i="14"/>
  <c r="C120" i="14"/>
  <c r="E120" i="14" s="1"/>
  <c r="F119" i="14"/>
  <c r="E119" i="14"/>
  <c r="F118" i="14"/>
  <c r="E118" i="14"/>
  <c r="C110" i="14"/>
  <c r="E110" i="14" s="1"/>
  <c r="C109" i="14"/>
  <c r="E109" i="14" s="1"/>
  <c r="C101" i="14"/>
  <c r="C100" i="14"/>
  <c r="E100" i="14"/>
  <c r="E99" i="14"/>
  <c r="F99" i="14"/>
  <c r="E98" i="14"/>
  <c r="F98" i="14"/>
  <c r="C95" i="14"/>
  <c r="E95" i="14" s="1"/>
  <c r="F95" i="14" s="1"/>
  <c r="C94" i="14"/>
  <c r="E94" i="14" s="1"/>
  <c r="E93" i="14"/>
  <c r="F93" i="14" s="1"/>
  <c r="E88" i="14"/>
  <c r="C88" i="14"/>
  <c r="E87" i="14"/>
  <c r="F87" i="14" s="1"/>
  <c r="E86" i="14"/>
  <c r="F86" i="14" s="1"/>
  <c r="C85" i="14"/>
  <c r="E85" i="14" s="1"/>
  <c r="E84" i="14"/>
  <c r="F84" i="14" s="1"/>
  <c r="E83" i="14"/>
  <c r="F83" i="14" s="1"/>
  <c r="C76" i="14"/>
  <c r="C77" i="14" s="1"/>
  <c r="E77" i="14" s="1"/>
  <c r="E74" i="14"/>
  <c r="F74" i="14" s="1"/>
  <c r="E73" i="14"/>
  <c r="F73" i="14" s="1"/>
  <c r="C67" i="14"/>
  <c r="E67" i="14" s="1"/>
  <c r="E66" i="14"/>
  <c r="C66" i="14"/>
  <c r="C59" i="14"/>
  <c r="C60" i="14" s="1"/>
  <c r="C58" i="14"/>
  <c r="E58" i="14" s="1"/>
  <c r="E57" i="14"/>
  <c r="F57" i="14" s="1"/>
  <c r="E56" i="14"/>
  <c r="F56" i="14" s="1"/>
  <c r="C53" i="14"/>
  <c r="E53" i="14"/>
  <c r="C52" i="14"/>
  <c r="E52" i="14" s="1"/>
  <c r="F52" i="14" s="1"/>
  <c r="E51" i="14"/>
  <c r="F51" i="14" s="1"/>
  <c r="E47" i="14"/>
  <c r="C47" i="14"/>
  <c r="C48" i="14" s="1"/>
  <c r="F46" i="14"/>
  <c r="E46" i="14"/>
  <c r="F45" i="14"/>
  <c r="E45" i="14"/>
  <c r="C44" i="14"/>
  <c r="E44" i="14" s="1"/>
  <c r="E43" i="14"/>
  <c r="F43" i="14" s="1"/>
  <c r="E42" i="14"/>
  <c r="F42" i="14" s="1"/>
  <c r="C36" i="14"/>
  <c r="E36" i="14" s="1"/>
  <c r="C35" i="14"/>
  <c r="E35" i="14" s="1"/>
  <c r="C30" i="14"/>
  <c r="E29" i="14"/>
  <c r="C29" i="14"/>
  <c r="E28" i="14"/>
  <c r="F28" i="14" s="1"/>
  <c r="E27" i="14"/>
  <c r="F27" i="14" s="1"/>
  <c r="C24" i="14"/>
  <c r="E24" i="14" s="1"/>
  <c r="C23" i="14"/>
  <c r="E23" i="14" s="1"/>
  <c r="E22" i="14"/>
  <c r="F22" i="14" s="1"/>
  <c r="C20" i="14"/>
  <c r="E20" i="14" s="1"/>
  <c r="E19" i="14"/>
  <c r="F19" i="14" s="1"/>
  <c r="E18" i="14"/>
  <c r="F18" i="14" s="1"/>
  <c r="C17" i="14"/>
  <c r="E17" i="14" s="1"/>
  <c r="F17" i="14" s="1"/>
  <c r="E16" i="14"/>
  <c r="F16" i="14" s="1"/>
  <c r="E15" i="14"/>
  <c r="F15" i="14" s="1"/>
  <c r="D25" i="13"/>
  <c r="C25" i="13"/>
  <c r="E24" i="13"/>
  <c r="F24" i="13" s="1"/>
  <c r="E23" i="13"/>
  <c r="F23" i="13" s="1"/>
  <c r="E22" i="13"/>
  <c r="F22" i="13" s="1"/>
  <c r="D19" i="13"/>
  <c r="C19" i="13"/>
  <c r="E18" i="13"/>
  <c r="F18" i="13"/>
  <c r="F17" i="13"/>
  <c r="E17" i="13"/>
  <c r="D14" i="13"/>
  <c r="E14" i="13" s="1"/>
  <c r="C14" i="13"/>
  <c r="E13" i="13"/>
  <c r="F13" i="13" s="1"/>
  <c r="E12" i="13"/>
  <c r="F12" i="13" s="1"/>
  <c r="D99" i="12"/>
  <c r="C99" i="12"/>
  <c r="E98" i="12"/>
  <c r="F98" i="12" s="1"/>
  <c r="E97" i="12"/>
  <c r="F97" i="12" s="1"/>
  <c r="E96" i="12"/>
  <c r="F96" i="12" s="1"/>
  <c r="D92" i="12"/>
  <c r="C92" i="12"/>
  <c r="E92" i="12" s="1"/>
  <c r="E91" i="12"/>
  <c r="F91" i="12" s="1"/>
  <c r="F90" i="12"/>
  <c r="E90" i="12"/>
  <c r="E89" i="12"/>
  <c r="F89" i="12" s="1"/>
  <c r="E88" i="12"/>
  <c r="F88" i="12" s="1"/>
  <c r="E87" i="12"/>
  <c r="F87" i="12" s="1"/>
  <c r="D84" i="12"/>
  <c r="E84" i="12" s="1"/>
  <c r="C84" i="12"/>
  <c r="E83" i="12"/>
  <c r="F83" i="12" s="1"/>
  <c r="E82" i="12"/>
  <c r="F82" i="12" s="1"/>
  <c r="E81" i="12"/>
  <c r="F81" i="12" s="1"/>
  <c r="F80" i="12"/>
  <c r="E80" i="12"/>
  <c r="F79" i="12"/>
  <c r="E79" i="12"/>
  <c r="D75" i="12"/>
  <c r="C75" i="12"/>
  <c r="E74" i="12"/>
  <c r="F74" i="12" s="1"/>
  <c r="E73" i="12"/>
  <c r="F73" i="12" s="1"/>
  <c r="D70" i="12"/>
  <c r="C70" i="12"/>
  <c r="E70" i="12" s="1"/>
  <c r="E69" i="12"/>
  <c r="F69" i="12" s="1"/>
  <c r="E68" i="12"/>
  <c r="F68" i="12" s="1"/>
  <c r="D65" i="12"/>
  <c r="E65" i="12" s="1"/>
  <c r="C65" i="12"/>
  <c r="E64" i="12"/>
  <c r="F64" i="12" s="1"/>
  <c r="E63" i="12"/>
  <c r="F63" i="12" s="1"/>
  <c r="D60" i="12"/>
  <c r="C60" i="12"/>
  <c r="F60" i="12"/>
  <c r="F59" i="12"/>
  <c r="E59" i="12"/>
  <c r="F58" i="12"/>
  <c r="E58" i="12"/>
  <c r="E60" i="12" s="1"/>
  <c r="D55" i="12"/>
  <c r="C55" i="12"/>
  <c r="E55" i="12" s="1"/>
  <c r="F54" i="12"/>
  <c r="E54" i="12"/>
  <c r="F53" i="12"/>
  <c r="E53" i="12"/>
  <c r="D50" i="12"/>
  <c r="C50" i="12"/>
  <c r="E50" i="12" s="1"/>
  <c r="E49" i="12"/>
  <c r="F49" i="12" s="1"/>
  <c r="E48" i="12"/>
  <c r="F48" i="12" s="1"/>
  <c r="D45" i="12"/>
  <c r="C45" i="12"/>
  <c r="E45" i="12" s="1"/>
  <c r="E44" i="12"/>
  <c r="F44" i="12"/>
  <c r="E43" i="12"/>
  <c r="F43" i="12"/>
  <c r="D37" i="12"/>
  <c r="C37" i="12"/>
  <c r="F36" i="12"/>
  <c r="E36" i="12"/>
  <c r="F35" i="12"/>
  <c r="E35" i="12"/>
  <c r="E34" i="12"/>
  <c r="F34" i="12"/>
  <c r="E33" i="12"/>
  <c r="F33" i="12"/>
  <c r="D30" i="12"/>
  <c r="C30" i="12"/>
  <c r="F29" i="12"/>
  <c r="E29" i="12"/>
  <c r="F28" i="12"/>
  <c r="E28" i="12"/>
  <c r="E27" i="12"/>
  <c r="F27" i="12"/>
  <c r="F26" i="12"/>
  <c r="E26" i="12"/>
  <c r="D23" i="12"/>
  <c r="C23" i="12"/>
  <c r="F22" i="12"/>
  <c r="E22" i="12"/>
  <c r="E21" i="12"/>
  <c r="F21" i="12" s="1"/>
  <c r="E20" i="12"/>
  <c r="F20" i="12" s="1"/>
  <c r="E19" i="12"/>
  <c r="F19" i="12" s="1"/>
  <c r="D16" i="12"/>
  <c r="C16" i="12"/>
  <c r="E16" i="12" s="1"/>
  <c r="F15" i="12"/>
  <c r="E15" i="12"/>
  <c r="E14" i="12"/>
  <c r="F14" i="12"/>
  <c r="E13" i="12"/>
  <c r="F13" i="12"/>
  <c r="E12" i="12"/>
  <c r="F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F17" i="11"/>
  <c r="F33" i="11" s="1"/>
  <c r="F36" i="11" s="1"/>
  <c r="F38" i="11" s="1"/>
  <c r="F40" i="11" s="1"/>
  <c r="E17" i="11"/>
  <c r="E31" i="11"/>
  <c r="D17" i="11"/>
  <c r="D31" i="11" s="1"/>
  <c r="D33" i="11"/>
  <c r="D36" i="11" s="1"/>
  <c r="D38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D80" i="10" s="1"/>
  <c r="D77" i="10" s="1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D66" i="10"/>
  <c r="D65" i="10" s="1"/>
  <c r="C66" i="10"/>
  <c r="E65" i="10"/>
  <c r="C65" i="10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D50" i="10" s="1"/>
  <c r="C54" i="10"/>
  <c r="C50" i="10"/>
  <c r="E46" i="10"/>
  <c r="D46" i="10"/>
  <c r="D59" i="10" s="1"/>
  <c r="D61" i="10" s="1"/>
  <c r="D57" i="10" s="1"/>
  <c r="C46" i="10"/>
  <c r="E45" i="10"/>
  <c r="D45" i="10"/>
  <c r="C45" i="10"/>
  <c r="E38" i="10"/>
  <c r="D38" i="10"/>
  <c r="C38" i="10"/>
  <c r="E34" i="10"/>
  <c r="E33" i="10"/>
  <c r="D33" i="10"/>
  <c r="D34" i="10" s="1"/>
  <c r="E26" i="10"/>
  <c r="D26" i="10"/>
  <c r="C26" i="10"/>
  <c r="E13" i="10"/>
  <c r="D13" i="10"/>
  <c r="D25" i="10" s="1"/>
  <c r="C13" i="10"/>
  <c r="C15" i="10" s="1"/>
  <c r="D46" i="9"/>
  <c r="C46" i="9"/>
  <c r="F46" i="9" s="1"/>
  <c r="F45" i="9"/>
  <c r="E45" i="9"/>
  <c r="F44" i="9"/>
  <c r="E44" i="9"/>
  <c r="D39" i="9"/>
  <c r="C39" i="9"/>
  <c r="E39" i="9" s="1"/>
  <c r="F39" i="9" s="1"/>
  <c r="E38" i="9"/>
  <c r="F38" i="9" s="1"/>
  <c r="E37" i="9"/>
  <c r="F37" i="9" s="1"/>
  <c r="E36" i="9"/>
  <c r="F36" i="9" s="1"/>
  <c r="D31" i="9"/>
  <c r="E31" i="9" s="1"/>
  <c r="F31" i="9" s="1"/>
  <c r="C31" i="9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F18" i="9"/>
  <c r="E18" i="9"/>
  <c r="E17" i="9"/>
  <c r="F17" i="9" s="1"/>
  <c r="D16" i="9"/>
  <c r="C16" i="9"/>
  <c r="C19" i="9"/>
  <c r="C33" i="9" s="1"/>
  <c r="F15" i="9"/>
  <c r="E15" i="9"/>
  <c r="E14" i="9"/>
  <c r="F14" i="9"/>
  <c r="E13" i="9"/>
  <c r="F13" i="9"/>
  <c r="E12" i="9"/>
  <c r="F12" i="9"/>
  <c r="D73" i="8"/>
  <c r="C73" i="8"/>
  <c r="E73" i="8" s="1"/>
  <c r="F73" i="8" s="1"/>
  <c r="E72" i="8"/>
  <c r="F72" i="8"/>
  <c r="E71" i="8"/>
  <c r="F71" i="8"/>
  <c r="E70" i="8"/>
  <c r="F70" i="8"/>
  <c r="E67" i="8"/>
  <c r="F67" i="8"/>
  <c r="E64" i="8"/>
  <c r="F64" i="8"/>
  <c r="E63" i="8"/>
  <c r="F63" i="8"/>
  <c r="D61" i="8"/>
  <c r="C61" i="8"/>
  <c r="C65" i="8" s="1"/>
  <c r="E60" i="8"/>
  <c r="F60" i="8"/>
  <c r="E59" i="8"/>
  <c r="F59" i="8"/>
  <c r="D56" i="8"/>
  <c r="C56" i="8"/>
  <c r="E55" i="8"/>
  <c r="F55" i="8" s="1"/>
  <c r="E54" i="8"/>
  <c r="F54" i="8" s="1"/>
  <c r="E53" i="8"/>
  <c r="F53" i="8"/>
  <c r="F52" i="8"/>
  <c r="E52" i="8"/>
  <c r="F51" i="8"/>
  <c r="E51" i="8"/>
  <c r="E50" i="8"/>
  <c r="F50" i="8" s="1"/>
  <c r="A50" i="8"/>
  <c r="A51" i="8" s="1"/>
  <c r="A52" i="8" s="1"/>
  <c r="A53" i="8" s="1"/>
  <c r="A54" i="8" s="1"/>
  <c r="A55" i="8" s="1"/>
  <c r="E49" i="8"/>
  <c r="F49" i="8"/>
  <c r="E40" i="8"/>
  <c r="F40" i="8" s="1"/>
  <c r="D38" i="8"/>
  <c r="D41" i="8" s="1"/>
  <c r="C38" i="8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E28" i="8"/>
  <c r="F28" i="8" s="1"/>
  <c r="F27" i="8"/>
  <c r="E27" i="8"/>
  <c r="E26" i="8"/>
  <c r="F26" i="8" s="1"/>
  <c r="E25" i="8"/>
  <c r="F25" i="8" s="1"/>
  <c r="D22" i="8"/>
  <c r="C22" i="8"/>
  <c r="E21" i="8"/>
  <c r="F21" i="8" s="1"/>
  <c r="E20" i="8"/>
  <c r="F20" i="8" s="1"/>
  <c r="E19" i="8"/>
  <c r="F19" i="8" s="1"/>
  <c r="E18" i="8"/>
  <c r="F18" i="8" s="1"/>
  <c r="F17" i="8"/>
  <c r="E17" i="8"/>
  <c r="E16" i="8"/>
  <c r="F16" i="8" s="1"/>
  <c r="E15" i="8"/>
  <c r="F15" i="8" s="1"/>
  <c r="E14" i="8"/>
  <c r="F14" i="8" s="1"/>
  <c r="E13" i="8"/>
  <c r="F13" i="8" s="1"/>
  <c r="D120" i="7"/>
  <c r="C120" i="7"/>
  <c r="D119" i="7"/>
  <c r="C119" i="7"/>
  <c r="D118" i="7"/>
  <c r="C118" i="7"/>
  <c r="D117" i="7"/>
  <c r="E117" i="7" s="1"/>
  <c r="F117" i="7" s="1"/>
  <c r="C117" i="7"/>
  <c r="D116" i="7"/>
  <c r="E116" i="7" s="1"/>
  <c r="F116" i="7" s="1"/>
  <c r="C116" i="7"/>
  <c r="D115" i="7"/>
  <c r="C115" i="7"/>
  <c r="D114" i="7"/>
  <c r="C114" i="7"/>
  <c r="D113" i="7"/>
  <c r="C113" i="7"/>
  <c r="C122" i="7" s="1"/>
  <c r="D112" i="7"/>
  <c r="D121" i="7" s="1"/>
  <c r="C112" i="7"/>
  <c r="C121" i="7" s="1"/>
  <c r="D108" i="7"/>
  <c r="E108" i="7" s="1"/>
  <c r="F108" i="7" s="1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E96" i="7" s="1"/>
  <c r="C96" i="7"/>
  <c r="D95" i="7"/>
  <c r="E95" i="7" s="1"/>
  <c r="C95" i="7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/>
  <c r="E87" i="7"/>
  <c r="F87" i="7" s="1"/>
  <c r="E86" i="7"/>
  <c r="F86" i="7" s="1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F60" i="7" s="1"/>
  <c r="D59" i="7"/>
  <c r="C59" i="7"/>
  <c r="E59" i="7" s="1"/>
  <c r="E58" i="7"/>
  <c r="F58" i="7" s="1"/>
  <c r="E57" i="7"/>
  <c r="F57" i="7" s="1"/>
  <c r="F56" i="7"/>
  <c r="E56" i="7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C36" i="7"/>
  <c r="D35" i="7"/>
  <c r="E35" i="7" s="1"/>
  <c r="C35" i="7"/>
  <c r="E34" i="7"/>
  <c r="F34" i="7" s="1"/>
  <c r="E33" i="7"/>
  <c r="F33" i="7" s="1"/>
  <c r="E32" i="7"/>
  <c r="F32" i="7" s="1"/>
  <c r="E31" i="7"/>
  <c r="F31" i="7" s="1"/>
  <c r="F30" i="7"/>
  <c r="E30" i="7"/>
  <c r="E29" i="7"/>
  <c r="F29" i="7" s="1"/>
  <c r="E28" i="7"/>
  <c r="F28" i="7" s="1"/>
  <c r="E27" i="7"/>
  <c r="F27" i="7" s="1"/>
  <c r="E26" i="7"/>
  <c r="F26" i="7" s="1"/>
  <c r="D24" i="7"/>
  <c r="C24" i="7"/>
  <c r="E24" i="7" s="1"/>
  <c r="F24" i="7" s="1"/>
  <c r="D23" i="7"/>
  <c r="C23" i="7"/>
  <c r="E23" i="7" s="1"/>
  <c r="F23" i="7" s="1"/>
  <c r="F22" i="7"/>
  <c r="E22" i="7"/>
  <c r="E21" i="7"/>
  <c r="F21" i="7" s="1"/>
  <c r="E20" i="7"/>
  <c r="F20" i="7" s="1"/>
  <c r="F19" i="7"/>
  <c r="E19" i="7"/>
  <c r="F18" i="7"/>
  <c r="E18" i="7"/>
  <c r="E17" i="7"/>
  <c r="F17" i="7" s="1"/>
  <c r="E16" i="7"/>
  <c r="F16" i="7"/>
  <c r="F15" i="7"/>
  <c r="E15" i="7"/>
  <c r="F14" i="7"/>
  <c r="E14" i="7"/>
  <c r="D206" i="6"/>
  <c r="C206" i="6"/>
  <c r="D205" i="6"/>
  <c r="C205" i="6"/>
  <c r="D204" i="6"/>
  <c r="E204" i="6"/>
  <c r="C204" i="6"/>
  <c r="F204" i="6"/>
  <c r="D203" i="6"/>
  <c r="E203" i="6"/>
  <c r="C203" i="6"/>
  <c r="D202" i="6"/>
  <c r="C202" i="6"/>
  <c r="D201" i="6"/>
  <c r="C201" i="6"/>
  <c r="D200" i="6"/>
  <c r="E200" i="6" s="1"/>
  <c r="C200" i="6"/>
  <c r="D199" i="6"/>
  <c r="D208" i="6" s="1"/>
  <c r="E208" i="6" s="1"/>
  <c r="F208" i="6" s="1"/>
  <c r="C199" i="6"/>
  <c r="D198" i="6"/>
  <c r="C198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E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F128" i="6" s="1"/>
  <c r="D127" i="6"/>
  <c r="C127" i="6"/>
  <c r="F127" i="6" s="1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E115" i="6"/>
  <c r="C115" i="6"/>
  <c r="F115" i="6"/>
  <c r="D114" i="6"/>
  <c r="E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F102" i="6" s="1"/>
  <c r="D101" i="6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F89" i="6"/>
  <c r="D88" i="6"/>
  <c r="E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4" i="6"/>
  <c r="F74" i="6"/>
  <c r="E73" i="6"/>
  <c r="F73" i="6" s="1"/>
  <c r="E72" i="6"/>
  <c r="F72" i="6" s="1"/>
  <c r="E71" i="6"/>
  <c r="F71" i="6" s="1"/>
  <c r="E70" i="6"/>
  <c r="F70" i="6"/>
  <c r="E69" i="6"/>
  <c r="F69" i="6" s="1"/>
  <c r="E68" i="6"/>
  <c r="F68" i="6" s="1"/>
  <c r="E67" i="6"/>
  <c r="F67" i="6" s="1"/>
  <c r="E66" i="6"/>
  <c r="F66" i="6"/>
  <c r="D63" i="6"/>
  <c r="E63" i="6"/>
  <c r="C63" i="6"/>
  <c r="D62" i="6"/>
  <c r="E62" i="6" s="1"/>
  <c r="C62" i="6"/>
  <c r="F61" i="6"/>
  <c r="E61" i="6"/>
  <c r="E60" i="6"/>
  <c r="F60" i="6" s="1"/>
  <c r="E59" i="6"/>
  <c r="F59" i="6" s="1"/>
  <c r="E58" i="6"/>
  <c r="F58" i="6" s="1"/>
  <c r="F57" i="6"/>
  <c r="E57" i="6"/>
  <c r="E56" i="6"/>
  <c r="F56" i="6" s="1"/>
  <c r="E55" i="6"/>
  <c r="F55" i="6" s="1"/>
  <c r="E54" i="6"/>
  <c r="F54" i="6" s="1"/>
  <c r="F53" i="6"/>
  <c r="E53" i="6"/>
  <c r="D50" i="6"/>
  <c r="C50" i="6"/>
  <c r="F50" i="6" s="1"/>
  <c r="D49" i="6"/>
  <c r="E49" i="6" s="1"/>
  <c r="C49" i="6"/>
  <c r="F49" i="6" s="1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E37" i="6" s="1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F24" i="6" s="1"/>
  <c r="D23" i="6"/>
  <c r="E23" i="6" s="1"/>
  <c r="C23" i="6"/>
  <c r="F23" i="6" s="1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 s="1"/>
  <c r="D164" i="5"/>
  <c r="C164" i="5"/>
  <c r="C160" i="5" s="1"/>
  <c r="E162" i="5"/>
  <c r="D162" i="5"/>
  <c r="C162" i="5"/>
  <c r="E161" i="5"/>
  <c r="D161" i="5"/>
  <c r="C161" i="5"/>
  <c r="D160" i="5"/>
  <c r="D166" i="5"/>
  <c r="E147" i="5"/>
  <c r="D147" i="5"/>
  <c r="C147" i="5"/>
  <c r="C143" i="5"/>
  <c r="E145" i="5"/>
  <c r="D145" i="5"/>
  <c r="C145" i="5"/>
  <c r="E144" i="5"/>
  <c r="D144" i="5"/>
  <c r="C144" i="5"/>
  <c r="E143" i="5"/>
  <c r="D143" i="5"/>
  <c r="D149" i="5" s="1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D95" i="5"/>
  <c r="C95" i="5"/>
  <c r="C94" i="5"/>
  <c r="E94" i="5"/>
  <c r="D94" i="5"/>
  <c r="E89" i="5"/>
  <c r="D89" i="5"/>
  <c r="C89" i="5"/>
  <c r="E87" i="5"/>
  <c r="D87" i="5"/>
  <c r="C87" i="5"/>
  <c r="E84" i="5"/>
  <c r="D84" i="5"/>
  <c r="C84" i="5"/>
  <c r="C79" i="5"/>
  <c r="E83" i="5"/>
  <c r="D83" i="5"/>
  <c r="D79" i="5" s="1"/>
  <c r="C83" i="5"/>
  <c r="E79" i="5"/>
  <c r="E75" i="5"/>
  <c r="E88" i="5" s="1"/>
  <c r="E90" i="5" s="1"/>
  <c r="E86" i="5" s="1"/>
  <c r="D75" i="5"/>
  <c r="D77" i="5" s="1"/>
  <c r="D88" i="5"/>
  <c r="D90" i="5" s="1"/>
  <c r="D86" i="5" s="1"/>
  <c r="C75" i="5"/>
  <c r="C77" i="5"/>
  <c r="C71" i="5" s="1"/>
  <c r="E74" i="5"/>
  <c r="D74" i="5"/>
  <c r="C74" i="5"/>
  <c r="E67" i="5"/>
  <c r="D67" i="5"/>
  <c r="C67" i="5"/>
  <c r="D49" i="5"/>
  <c r="E38" i="5"/>
  <c r="E53" i="5" s="1"/>
  <c r="E43" i="5"/>
  <c r="D38" i="5"/>
  <c r="D43" i="5" s="1"/>
  <c r="D57" i="5"/>
  <c r="D62" i="5" s="1"/>
  <c r="C38" i="5"/>
  <c r="C43" i="5" s="1"/>
  <c r="E34" i="5"/>
  <c r="E33" i="5"/>
  <c r="D33" i="5"/>
  <c r="D34" i="5" s="1"/>
  <c r="E26" i="5"/>
  <c r="D26" i="5"/>
  <c r="C26" i="5"/>
  <c r="E15" i="5"/>
  <c r="E24" i="5" s="1"/>
  <c r="E13" i="5"/>
  <c r="E25" i="5" s="1"/>
  <c r="E27" i="5" s="1"/>
  <c r="D13" i="5"/>
  <c r="D15" i="5" s="1"/>
  <c r="C13" i="5"/>
  <c r="C15" i="5"/>
  <c r="C24" i="5" s="1"/>
  <c r="F174" i="4"/>
  <c r="E174" i="4"/>
  <c r="D171" i="4"/>
  <c r="C171" i="4"/>
  <c r="E170" i="4"/>
  <c r="F170" i="4"/>
  <c r="E169" i="4"/>
  <c r="F169" i="4" s="1"/>
  <c r="E168" i="4"/>
  <c r="F168" i="4" s="1"/>
  <c r="E167" i="4"/>
  <c r="F167" i="4" s="1"/>
  <c r="F166" i="4"/>
  <c r="E166" i="4"/>
  <c r="F165" i="4"/>
  <c r="E165" i="4"/>
  <c r="E164" i="4"/>
  <c r="F164" i="4"/>
  <c r="E163" i="4"/>
  <c r="F163" i="4" s="1"/>
  <c r="F162" i="4"/>
  <c r="E162" i="4"/>
  <c r="E161" i="4"/>
  <c r="F161" i="4" s="1"/>
  <c r="F160" i="4"/>
  <c r="E160" i="4"/>
  <c r="E159" i="4"/>
  <c r="F159" i="4" s="1"/>
  <c r="E158" i="4"/>
  <c r="F158" i="4" s="1"/>
  <c r="D155" i="4"/>
  <c r="C155" i="4"/>
  <c r="E154" i="4"/>
  <c r="F154" i="4" s="1"/>
  <c r="F153" i="4"/>
  <c r="E153" i="4"/>
  <c r="E152" i="4"/>
  <c r="F152" i="4" s="1"/>
  <c r="E151" i="4"/>
  <c r="F151" i="4" s="1"/>
  <c r="F150" i="4"/>
  <c r="E150" i="4"/>
  <c r="E149" i="4"/>
  <c r="F149" i="4" s="1"/>
  <c r="E148" i="4"/>
  <c r="F148" i="4" s="1"/>
  <c r="F147" i="4"/>
  <c r="E147" i="4"/>
  <c r="E146" i="4"/>
  <c r="F146" i="4" s="1"/>
  <c r="E145" i="4"/>
  <c r="F145" i="4" s="1"/>
  <c r="E144" i="4"/>
  <c r="F144" i="4" s="1"/>
  <c r="E143" i="4"/>
  <c r="F143" i="4"/>
  <c r="E142" i="4"/>
  <c r="F142" i="4" s="1"/>
  <c r="F141" i="4"/>
  <c r="E141" i="4"/>
  <c r="E140" i="4"/>
  <c r="F140" i="4" s="1"/>
  <c r="E139" i="4"/>
  <c r="F139" i="4"/>
  <c r="E138" i="4"/>
  <c r="F138" i="4" s="1"/>
  <c r="F137" i="4"/>
  <c r="E137" i="4"/>
  <c r="E136" i="4"/>
  <c r="F136" i="4" s="1"/>
  <c r="F135" i="4"/>
  <c r="E135" i="4"/>
  <c r="E134" i="4"/>
  <c r="F134" i="4" s="1"/>
  <c r="F133" i="4"/>
  <c r="E133" i="4"/>
  <c r="E132" i="4"/>
  <c r="F132" i="4" s="1"/>
  <c r="E131" i="4"/>
  <c r="F131" i="4"/>
  <c r="E130" i="4"/>
  <c r="F130" i="4" s="1"/>
  <c r="E129" i="4"/>
  <c r="F129" i="4" s="1"/>
  <c r="E128" i="4"/>
  <c r="F128" i="4" s="1"/>
  <c r="E127" i="4"/>
  <c r="F127" i="4"/>
  <c r="E126" i="4"/>
  <c r="F126" i="4" s="1"/>
  <c r="E125" i="4"/>
  <c r="F125" i="4" s="1"/>
  <c r="F124" i="4"/>
  <c r="E124" i="4"/>
  <c r="E123" i="4"/>
  <c r="F123" i="4" s="1"/>
  <c r="E122" i="4"/>
  <c r="F122" i="4" s="1"/>
  <c r="E121" i="4"/>
  <c r="F121" i="4"/>
  <c r="D118" i="4"/>
  <c r="E118" i="4"/>
  <c r="C118" i="4"/>
  <c r="F118" i="4"/>
  <c r="E117" i="4"/>
  <c r="F117" i="4" s="1"/>
  <c r="E116" i="4"/>
  <c r="F116" i="4" s="1"/>
  <c r="E115" i="4"/>
  <c r="F115" i="4" s="1"/>
  <c r="E114" i="4"/>
  <c r="F114" i="4"/>
  <c r="E113" i="4"/>
  <c r="F113" i="4" s="1"/>
  <c r="E112" i="4"/>
  <c r="F112" i="4" s="1"/>
  <c r="D109" i="4"/>
  <c r="C109" i="4"/>
  <c r="E108" i="4"/>
  <c r="F108" i="4" s="1"/>
  <c r="E107" i="4"/>
  <c r="F107" i="4" s="1"/>
  <c r="F106" i="4"/>
  <c r="E106" i="4"/>
  <c r="F105" i="4"/>
  <c r="E105" i="4"/>
  <c r="F104" i="4"/>
  <c r="E104" i="4"/>
  <c r="E103" i="4"/>
  <c r="F103" i="4" s="1"/>
  <c r="E102" i="4"/>
  <c r="F102" i="4" s="1"/>
  <c r="E101" i="4"/>
  <c r="F101" i="4" s="1"/>
  <c r="F100" i="4"/>
  <c r="E100" i="4"/>
  <c r="E99" i="4"/>
  <c r="F99" i="4" s="1"/>
  <c r="E98" i="4"/>
  <c r="F98" i="4" s="1"/>
  <c r="E97" i="4"/>
  <c r="F97" i="4" s="1"/>
  <c r="F96" i="4"/>
  <c r="E96" i="4"/>
  <c r="E95" i="4"/>
  <c r="F95" i="4" s="1"/>
  <c r="E94" i="4"/>
  <c r="F94" i="4" s="1"/>
  <c r="E93" i="4"/>
  <c r="F93" i="4" s="1"/>
  <c r="F92" i="4"/>
  <c r="E92" i="4"/>
  <c r="E91" i="4"/>
  <c r="F91" i="4" s="1"/>
  <c r="E81" i="4"/>
  <c r="F81" i="4" s="1"/>
  <c r="D78" i="4"/>
  <c r="C78" i="4"/>
  <c r="E77" i="4"/>
  <c r="F77" i="4" s="1"/>
  <c r="F76" i="4"/>
  <c r="E76" i="4"/>
  <c r="E75" i="4"/>
  <c r="F75" i="4" s="1"/>
  <c r="E74" i="4"/>
  <c r="F74" i="4" s="1"/>
  <c r="E73" i="4"/>
  <c r="F73" i="4" s="1"/>
  <c r="F72" i="4"/>
  <c r="E72" i="4"/>
  <c r="E71" i="4"/>
  <c r="F71" i="4" s="1"/>
  <c r="E70" i="4"/>
  <c r="F70" i="4" s="1"/>
  <c r="E69" i="4"/>
  <c r="F69" i="4" s="1"/>
  <c r="F68" i="4"/>
  <c r="E68" i="4"/>
  <c r="E67" i="4"/>
  <c r="F67" i="4" s="1"/>
  <c r="E66" i="4"/>
  <c r="F66" i="4" s="1"/>
  <c r="E65" i="4"/>
  <c r="F65" i="4" s="1"/>
  <c r="F64" i="4"/>
  <c r="E64" i="4"/>
  <c r="E63" i="4"/>
  <c r="F63" i="4" s="1"/>
  <c r="E62" i="4"/>
  <c r="F62" i="4" s="1"/>
  <c r="D59" i="4"/>
  <c r="C59" i="4"/>
  <c r="F58" i="4"/>
  <c r="E58" i="4"/>
  <c r="E57" i="4"/>
  <c r="F57" i="4" s="1"/>
  <c r="E56" i="4"/>
  <c r="F56" i="4" s="1"/>
  <c r="F55" i="4"/>
  <c r="E55" i="4"/>
  <c r="E54" i="4"/>
  <c r="F54" i="4" s="1"/>
  <c r="E53" i="4"/>
  <c r="F53" i="4" s="1"/>
  <c r="E50" i="4"/>
  <c r="F50" i="4" s="1"/>
  <c r="F47" i="4"/>
  <c r="E47" i="4"/>
  <c r="E44" i="4"/>
  <c r="F44" i="4" s="1"/>
  <c r="D41" i="4"/>
  <c r="C41" i="4"/>
  <c r="E40" i="4"/>
  <c r="F40" i="4" s="1"/>
  <c r="E39" i="4"/>
  <c r="F39" i="4" s="1"/>
  <c r="E38" i="4"/>
  <c r="F38" i="4" s="1"/>
  <c r="D35" i="4"/>
  <c r="C35" i="4"/>
  <c r="E34" i="4"/>
  <c r="F34" i="4"/>
  <c r="E33" i="4"/>
  <c r="F33" i="4" s="1"/>
  <c r="D30" i="4"/>
  <c r="E30" i="4" s="1"/>
  <c r="C30" i="4"/>
  <c r="F29" i="4"/>
  <c r="E29" i="4"/>
  <c r="E28" i="4"/>
  <c r="F28" i="4" s="1"/>
  <c r="E27" i="4"/>
  <c r="F27" i="4"/>
  <c r="D24" i="4"/>
  <c r="E24" i="4"/>
  <c r="C24" i="4"/>
  <c r="F24" i="4"/>
  <c r="E23" i="4"/>
  <c r="F23" i="4" s="1"/>
  <c r="E22" i="4"/>
  <c r="F22" i="4" s="1"/>
  <c r="E21" i="4"/>
  <c r="F21" i="4" s="1"/>
  <c r="D18" i="4"/>
  <c r="C18" i="4"/>
  <c r="E17" i="4"/>
  <c r="F17" i="4"/>
  <c r="E16" i="4"/>
  <c r="F16" i="4" s="1"/>
  <c r="E15" i="4"/>
  <c r="F15" i="4" s="1"/>
  <c r="D179" i="3"/>
  <c r="E179" i="3" s="1"/>
  <c r="F179" i="3" s="1"/>
  <c r="C179" i="3"/>
  <c r="F178" i="3"/>
  <c r="E178" i="3"/>
  <c r="E177" i="3"/>
  <c r="F177" i="3" s="1"/>
  <c r="F176" i="3"/>
  <c r="E176" i="3"/>
  <c r="E175" i="3"/>
  <c r="F175" i="3" s="1"/>
  <c r="E174" i="3"/>
  <c r="F174" i="3" s="1"/>
  <c r="E173" i="3"/>
  <c r="F173" i="3" s="1"/>
  <c r="F172" i="3"/>
  <c r="E172" i="3"/>
  <c r="E171" i="3"/>
  <c r="F171" i="3" s="1"/>
  <c r="E170" i="3"/>
  <c r="F170" i="3" s="1"/>
  <c r="E169" i="3"/>
  <c r="F169" i="3" s="1"/>
  <c r="F168" i="3"/>
  <c r="E168" i="3"/>
  <c r="D166" i="3"/>
  <c r="E166" i="3" s="1"/>
  <c r="C166" i="3"/>
  <c r="F165" i="3"/>
  <c r="E165" i="3"/>
  <c r="F164" i="3"/>
  <c r="E164" i="3"/>
  <c r="E163" i="3"/>
  <c r="F163" i="3" s="1"/>
  <c r="E162" i="3"/>
  <c r="F162" i="3" s="1"/>
  <c r="E161" i="3"/>
  <c r="F161" i="3" s="1"/>
  <c r="F160" i="3"/>
  <c r="E160" i="3"/>
  <c r="E159" i="3"/>
  <c r="F159" i="3" s="1"/>
  <c r="E158" i="3"/>
  <c r="F158" i="3" s="1"/>
  <c r="E157" i="3"/>
  <c r="F157" i="3" s="1"/>
  <c r="F156" i="3"/>
  <c r="E156" i="3"/>
  <c r="E155" i="3"/>
  <c r="F155" i="3" s="1"/>
  <c r="D153" i="3"/>
  <c r="C153" i="3"/>
  <c r="F152" i="3"/>
  <c r="E152" i="3"/>
  <c r="E151" i="3"/>
  <c r="F151" i="3" s="1"/>
  <c r="F150" i="3"/>
  <c r="E150" i="3"/>
  <c r="E149" i="3"/>
  <c r="F149" i="3" s="1"/>
  <c r="E148" i="3"/>
  <c r="F148" i="3" s="1"/>
  <c r="E147" i="3"/>
  <c r="F147" i="3" s="1"/>
  <c r="F146" i="3"/>
  <c r="E146" i="3"/>
  <c r="E145" i="3"/>
  <c r="F145" i="3" s="1"/>
  <c r="E144" i="3"/>
  <c r="F144" i="3" s="1"/>
  <c r="E143" i="3"/>
  <c r="F143" i="3" s="1"/>
  <c r="F142" i="3"/>
  <c r="E142" i="3"/>
  <c r="D137" i="3"/>
  <c r="E137" i="3" s="1"/>
  <c r="C137" i="3"/>
  <c r="F136" i="3"/>
  <c r="E136" i="3"/>
  <c r="F135" i="3"/>
  <c r="E135" i="3"/>
  <c r="E134" i="3"/>
  <c r="F134" i="3" s="1"/>
  <c r="E133" i="3"/>
  <c r="F133" i="3" s="1"/>
  <c r="E132" i="3"/>
  <c r="F132" i="3" s="1"/>
  <c r="F131" i="3"/>
  <c r="E131" i="3"/>
  <c r="E130" i="3"/>
  <c r="F130" i="3" s="1"/>
  <c r="E129" i="3"/>
  <c r="F129" i="3" s="1"/>
  <c r="E128" i="3"/>
  <c r="F128" i="3" s="1"/>
  <c r="F127" i="3"/>
  <c r="E127" i="3"/>
  <c r="E126" i="3"/>
  <c r="F126" i="3" s="1"/>
  <c r="D124" i="3"/>
  <c r="C124" i="3"/>
  <c r="F123" i="3"/>
  <c r="E123" i="3"/>
  <c r="E122" i="3"/>
  <c r="F122" i="3" s="1"/>
  <c r="F121" i="3"/>
  <c r="E121" i="3"/>
  <c r="E120" i="3"/>
  <c r="F120" i="3" s="1"/>
  <c r="E119" i="3"/>
  <c r="F119" i="3" s="1"/>
  <c r="E118" i="3"/>
  <c r="F118" i="3" s="1"/>
  <c r="F117" i="3"/>
  <c r="E117" i="3"/>
  <c r="E116" i="3"/>
  <c r="F116" i="3" s="1"/>
  <c r="E115" i="3"/>
  <c r="F115" i="3" s="1"/>
  <c r="E114" i="3"/>
  <c r="F114" i="3" s="1"/>
  <c r="F113" i="3"/>
  <c r="E113" i="3"/>
  <c r="D111" i="3"/>
  <c r="E111" i="3" s="1"/>
  <c r="C111" i="3"/>
  <c r="F110" i="3"/>
  <c r="E110" i="3"/>
  <c r="F109" i="3"/>
  <c r="E109" i="3"/>
  <c r="E108" i="3"/>
  <c r="F108" i="3" s="1"/>
  <c r="E107" i="3"/>
  <c r="F107" i="3" s="1"/>
  <c r="E106" i="3"/>
  <c r="F106" i="3" s="1"/>
  <c r="F105" i="3"/>
  <c r="E105" i="3"/>
  <c r="E104" i="3"/>
  <c r="F104" i="3" s="1"/>
  <c r="E103" i="3"/>
  <c r="F103" i="3" s="1"/>
  <c r="E102" i="3"/>
  <c r="F102" i="3" s="1"/>
  <c r="F101" i="3"/>
  <c r="E101" i="3"/>
  <c r="E100" i="3"/>
  <c r="F100" i="3" s="1"/>
  <c r="D94" i="3"/>
  <c r="C94" i="3"/>
  <c r="F94" i="3" s="1"/>
  <c r="D93" i="3"/>
  <c r="C93" i="3"/>
  <c r="D92" i="3"/>
  <c r="C92" i="3"/>
  <c r="D91" i="3"/>
  <c r="E91" i="3"/>
  <c r="C91" i="3"/>
  <c r="F91" i="3"/>
  <c r="D90" i="3"/>
  <c r="E90" i="3"/>
  <c r="C90" i="3"/>
  <c r="D89" i="3"/>
  <c r="E89" i="3" s="1"/>
  <c r="C89" i="3"/>
  <c r="D88" i="3"/>
  <c r="E88" i="3" s="1"/>
  <c r="F88" i="3" s="1"/>
  <c r="C88" i="3"/>
  <c r="D87" i="3"/>
  <c r="C87" i="3"/>
  <c r="D86" i="3"/>
  <c r="C86" i="3"/>
  <c r="D85" i="3"/>
  <c r="C85" i="3"/>
  <c r="D84" i="3"/>
  <c r="C84" i="3"/>
  <c r="C95" i="3" s="1"/>
  <c r="D81" i="3"/>
  <c r="E81" i="3"/>
  <c r="C81" i="3"/>
  <c r="F81" i="3"/>
  <c r="F80" i="3"/>
  <c r="E80" i="3"/>
  <c r="E79" i="3"/>
  <c r="F79" i="3"/>
  <c r="E78" i="3"/>
  <c r="F78" i="3" s="1"/>
  <c r="E77" i="3"/>
  <c r="F77" i="3" s="1"/>
  <c r="E76" i="3"/>
  <c r="F76" i="3" s="1"/>
  <c r="E75" i="3"/>
  <c r="F75" i="3"/>
  <c r="E74" i="3"/>
  <c r="F74" i="3" s="1"/>
  <c r="E73" i="3"/>
  <c r="F73" i="3" s="1"/>
  <c r="E72" i="3"/>
  <c r="F72" i="3" s="1"/>
  <c r="E71" i="3"/>
  <c r="F71" i="3"/>
  <c r="E70" i="3"/>
  <c r="F70" i="3" s="1"/>
  <c r="D68" i="3"/>
  <c r="E68" i="3" s="1"/>
  <c r="C68" i="3"/>
  <c r="F67" i="3"/>
  <c r="E67" i="3"/>
  <c r="E66" i="3"/>
  <c r="F66" i="3" s="1"/>
  <c r="E65" i="3"/>
  <c r="F65" i="3"/>
  <c r="E64" i="3"/>
  <c r="F64" i="3" s="1"/>
  <c r="E63" i="3"/>
  <c r="F63" i="3" s="1"/>
  <c r="E62" i="3"/>
  <c r="F62" i="3" s="1"/>
  <c r="E61" i="3"/>
  <c r="F61" i="3"/>
  <c r="E60" i="3"/>
  <c r="F60" i="3" s="1"/>
  <c r="E59" i="3"/>
  <c r="F59" i="3" s="1"/>
  <c r="E58" i="3"/>
  <c r="F58" i="3" s="1"/>
  <c r="E57" i="3"/>
  <c r="F57" i="3"/>
  <c r="D51" i="3"/>
  <c r="E51" i="3"/>
  <c r="C51" i="3"/>
  <c r="F51" i="3"/>
  <c r="D50" i="3"/>
  <c r="E50" i="3"/>
  <c r="F50" i="3" s="1"/>
  <c r="C50" i="3"/>
  <c r="D49" i="3"/>
  <c r="E49" i="3" s="1"/>
  <c r="C49" i="3"/>
  <c r="D48" i="3"/>
  <c r="E48" i="3" s="1"/>
  <c r="F48" i="3" s="1"/>
  <c r="C48" i="3"/>
  <c r="D47" i="3"/>
  <c r="E47" i="3" s="1"/>
  <c r="C47" i="3"/>
  <c r="D46" i="3"/>
  <c r="E46" i="3" s="1"/>
  <c r="C46" i="3"/>
  <c r="D45" i="3"/>
  <c r="C45" i="3"/>
  <c r="D44" i="3"/>
  <c r="C44" i="3"/>
  <c r="D43" i="3"/>
  <c r="E43" i="3"/>
  <c r="C43" i="3"/>
  <c r="F43" i="3"/>
  <c r="D42" i="3"/>
  <c r="E42" i="3"/>
  <c r="F42" i="3" s="1"/>
  <c r="C42" i="3"/>
  <c r="D41" i="3"/>
  <c r="C41" i="3"/>
  <c r="D38" i="3"/>
  <c r="E38" i="3" s="1"/>
  <c r="F38" i="3" s="1"/>
  <c r="C38" i="3"/>
  <c r="F37" i="3"/>
  <c r="E37" i="3"/>
  <c r="E36" i="3"/>
  <c r="F36" i="3" s="1"/>
  <c r="E35" i="3"/>
  <c r="F35" i="3" s="1"/>
  <c r="E34" i="3"/>
  <c r="F34" i="3"/>
  <c r="E33" i="3"/>
  <c r="F33" i="3" s="1"/>
  <c r="E32" i="3"/>
  <c r="F32" i="3" s="1"/>
  <c r="E31" i="3"/>
  <c r="F31" i="3" s="1"/>
  <c r="E30" i="3"/>
  <c r="F30" i="3"/>
  <c r="E29" i="3"/>
  <c r="F29" i="3" s="1"/>
  <c r="E28" i="3"/>
  <c r="F28" i="3" s="1"/>
  <c r="E27" i="3"/>
  <c r="F27" i="3" s="1"/>
  <c r="D25" i="3"/>
  <c r="C25" i="3"/>
  <c r="F24" i="3"/>
  <c r="E24" i="3"/>
  <c r="E23" i="3"/>
  <c r="F23" i="3" s="1"/>
  <c r="E22" i="3"/>
  <c r="F22" i="3" s="1"/>
  <c r="E21" i="3"/>
  <c r="F21" i="3" s="1"/>
  <c r="E20" i="3"/>
  <c r="F20" i="3"/>
  <c r="E19" i="3"/>
  <c r="F19" i="3" s="1"/>
  <c r="E18" i="3"/>
  <c r="F18" i="3" s="1"/>
  <c r="E17" i="3"/>
  <c r="F17" i="3" s="1"/>
  <c r="E16" i="3"/>
  <c r="F16" i="3"/>
  <c r="E15" i="3"/>
  <c r="F15" i="3" s="1"/>
  <c r="E14" i="3"/>
  <c r="F14" i="3" s="1"/>
  <c r="E49" i="2"/>
  <c r="F49" i="2" s="1"/>
  <c r="D46" i="2"/>
  <c r="C46" i="2"/>
  <c r="E46" i="2" s="1"/>
  <c r="F45" i="2"/>
  <c r="E45" i="2"/>
  <c r="F44" i="2"/>
  <c r="E44" i="2"/>
  <c r="D39" i="2"/>
  <c r="C39" i="2"/>
  <c r="E38" i="2"/>
  <c r="F38" i="2"/>
  <c r="E37" i="2"/>
  <c r="F37" i="2" s="1"/>
  <c r="E36" i="2"/>
  <c r="F36" i="2" s="1"/>
  <c r="D31" i="2"/>
  <c r="E31" i="2" s="1"/>
  <c r="F31" i="2" s="1"/>
  <c r="C31" i="2"/>
  <c r="E30" i="2"/>
  <c r="F30" i="2" s="1"/>
  <c r="E29" i="2"/>
  <c r="F29" i="2" s="1"/>
  <c r="F28" i="2"/>
  <c r="E28" i="2"/>
  <c r="E27" i="2"/>
  <c r="F27" i="2" s="1"/>
  <c r="E26" i="2"/>
  <c r="F26" i="2" s="1"/>
  <c r="E25" i="2"/>
  <c r="F25" i="2" s="1"/>
  <c r="F24" i="2"/>
  <c r="E24" i="2"/>
  <c r="E23" i="2"/>
  <c r="F23" i="2" s="1"/>
  <c r="E22" i="2"/>
  <c r="F22" i="2" s="1"/>
  <c r="F18" i="2"/>
  <c r="E18" i="2"/>
  <c r="E17" i="2"/>
  <c r="F17" i="2" s="1"/>
  <c r="D16" i="2"/>
  <c r="C16" i="2"/>
  <c r="F15" i="2"/>
  <c r="E15" i="2"/>
  <c r="E14" i="2"/>
  <c r="F14" i="2" s="1"/>
  <c r="E13" i="2"/>
  <c r="F13" i="2" s="1"/>
  <c r="F12" i="2"/>
  <c r="E12" i="2"/>
  <c r="D73" i="1"/>
  <c r="E73" i="1" s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C61" i="1"/>
  <c r="E60" i="1"/>
  <c r="F60" i="1" s="1"/>
  <c r="F59" i="1"/>
  <c r="E59" i="1"/>
  <c r="D56" i="1"/>
  <c r="E56" i="1" s="1"/>
  <c r="C56" i="1"/>
  <c r="E55" i="1"/>
  <c r="F55" i="1" s="1"/>
  <c r="E54" i="1"/>
  <c r="F54" i="1" s="1"/>
  <c r="F53" i="1"/>
  <c r="E53" i="1"/>
  <c r="F52" i="1"/>
  <c r="E52" i="1"/>
  <c r="F51" i="1"/>
  <c r="E51" i="1"/>
  <c r="E50" i="1"/>
  <c r="F50" i="1" s="1"/>
  <c r="A50" i="1"/>
  <c r="A51" i="1" s="1"/>
  <c r="A52" i="1" s="1"/>
  <c r="A53" i="1" s="1"/>
  <c r="A54" i="1" s="1"/>
  <c r="A55" i="1" s="1"/>
  <c r="F49" i="1"/>
  <c r="E49" i="1"/>
  <c r="E40" i="1"/>
  <c r="F40" i="1" s="1"/>
  <c r="D38" i="1"/>
  <c r="C38" i="1"/>
  <c r="C41" i="1" s="1"/>
  <c r="E37" i="1"/>
  <c r="F37" i="1" s="1"/>
  <c r="E36" i="1"/>
  <c r="F36" i="1" s="1"/>
  <c r="F33" i="1"/>
  <c r="E33" i="1"/>
  <c r="E32" i="1"/>
  <c r="F32" i="1" s="1"/>
  <c r="F31" i="1"/>
  <c r="E31" i="1"/>
  <c r="D29" i="1"/>
  <c r="C29" i="1"/>
  <c r="E28" i="1"/>
  <c r="F28" i="1" s="1"/>
  <c r="F27" i="1"/>
  <c r="E27" i="1"/>
  <c r="E26" i="1"/>
  <c r="F26" i="1" s="1"/>
  <c r="E25" i="1"/>
  <c r="F25" i="1" s="1"/>
  <c r="D22" i="1"/>
  <c r="C22" i="1"/>
  <c r="E21" i="1"/>
  <c r="F21" i="1"/>
  <c r="E20" i="1"/>
  <c r="F20" i="1" s="1"/>
  <c r="E19" i="1"/>
  <c r="F19" i="1" s="1"/>
  <c r="E18" i="1"/>
  <c r="F18" i="1" s="1"/>
  <c r="F17" i="1"/>
  <c r="E17" i="1"/>
  <c r="E16" i="1"/>
  <c r="F16" i="1" s="1"/>
  <c r="E15" i="1"/>
  <c r="F15" i="1" s="1"/>
  <c r="E14" i="1"/>
  <c r="F14" i="1" s="1"/>
  <c r="E13" i="1"/>
  <c r="F13" i="1"/>
  <c r="D285" i="14"/>
  <c r="F135" i="14"/>
  <c r="F299" i="14"/>
  <c r="D194" i="14"/>
  <c r="E194" i="14" s="1"/>
  <c r="F194" i="14" s="1"/>
  <c r="D181" i="14"/>
  <c r="D288" i="14"/>
  <c r="F47" i="14"/>
  <c r="F58" i="14"/>
  <c r="D68" i="14"/>
  <c r="D111" i="14"/>
  <c r="D239" i="14"/>
  <c r="C17" i="5"/>
  <c r="F203" i="6"/>
  <c r="D157" i="5"/>
  <c r="D156" i="5"/>
  <c r="D155" i="5"/>
  <c r="E121" i="7"/>
  <c r="F121" i="7" s="1"/>
  <c r="F46" i="3"/>
  <c r="F90" i="3"/>
  <c r="F63" i="6"/>
  <c r="C31" i="14"/>
  <c r="E30" i="14"/>
  <c r="C176" i="4"/>
  <c r="D95" i="3"/>
  <c r="D83" i="4"/>
  <c r="C25" i="5"/>
  <c r="C27" i="5" s="1"/>
  <c r="C57" i="5"/>
  <c r="C62" i="5" s="1"/>
  <c r="C88" i="5"/>
  <c r="C90" i="5" s="1"/>
  <c r="C86" i="5" s="1"/>
  <c r="E80" i="10"/>
  <c r="E77" i="10" s="1"/>
  <c r="H33" i="11"/>
  <c r="H36" i="11" s="1"/>
  <c r="H38" i="11" s="1"/>
  <c r="H40" i="11" s="1"/>
  <c r="F36" i="14"/>
  <c r="C59" i="10"/>
  <c r="C61" i="10" s="1"/>
  <c r="C57" i="10" s="1"/>
  <c r="C48" i="10"/>
  <c r="C42" i="10"/>
  <c r="C83" i="4"/>
  <c r="F83" i="4" s="1"/>
  <c r="E33" i="11"/>
  <c r="E36" i="11" s="1"/>
  <c r="E38" i="11" s="1"/>
  <c r="C49" i="5"/>
  <c r="C208" i="6"/>
  <c r="F59" i="7"/>
  <c r="E72" i="7"/>
  <c r="F95" i="7"/>
  <c r="E115" i="7"/>
  <c r="F115" i="7" s="1"/>
  <c r="E119" i="7"/>
  <c r="F119" i="7" s="1"/>
  <c r="E22" i="8"/>
  <c r="F22" i="8" s="1"/>
  <c r="E29" i="8"/>
  <c r="F29" i="8" s="1"/>
  <c r="E37" i="12"/>
  <c r="F37" i="12" s="1"/>
  <c r="F70" i="12"/>
  <c r="F92" i="12"/>
  <c r="E99" i="12"/>
  <c r="F99" i="12" s="1"/>
  <c r="F29" i="14"/>
  <c r="C25" i="10"/>
  <c r="C27" i="10" s="1"/>
  <c r="E48" i="10"/>
  <c r="E42" i="10" s="1"/>
  <c r="E59" i="10"/>
  <c r="E61" i="10" s="1"/>
  <c r="E57" i="10" s="1"/>
  <c r="C31" i="11"/>
  <c r="H17" i="11"/>
  <c r="E193" i="14"/>
  <c r="E137" i="14"/>
  <c r="F137" i="14" s="1"/>
  <c r="C138" i="14"/>
  <c r="F138" i="14" s="1"/>
  <c r="C52" i="3"/>
  <c r="C207" i="6"/>
  <c r="D41" i="1"/>
  <c r="E41" i="1" s="1"/>
  <c r="E57" i="5"/>
  <c r="E62" i="5"/>
  <c r="E198" i="6"/>
  <c r="F198" i="6"/>
  <c r="F96" i="7"/>
  <c r="E112" i="7"/>
  <c r="F112" i="7" s="1"/>
  <c r="E120" i="7"/>
  <c r="F120" i="7" s="1"/>
  <c r="C41" i="8"/>
  <c r="C43" i="8" s="1"/>
  <c r="G33" i="11"/>
  <c r="F16" i="12"/>
  <c r="E30" i="12"/>
  <c r="F30" i="12" s="1"/>
  <c r="F45" i="12"/>
  <c r="F65" i="12"/>
  <c r="E75" i="12"/>
  <c r="F75" i="12" s="1"/>
  <c r="F84" i="12"/>
  <c r="F14" i="13"/>
  <c r="E19" i="13"/>
  <c r="F19" i="13" s="1"/>
  <c r="F24" i="14"/>
  <c r="F30" i="14"/>
  <c r="C37" i="14"/>
  <c r="C55" i="15"/>
  <c r="C284" i="15" s="1"/>
  <c r="C283" i="15"/>
  <c r="C144" i="15"/>
  <c r="C145" i="15" s="1"/>
  <c r="C163" i="15"/>
  <c r="E233" i="15"/>
  <c r="D104" i="14"/>
  <c r="D174" i="14"/>
  <c r="F85" i="14"/>
  <c r="F94" i="14"/>
  <c r="C199" i="14"/>
  <c r="C206" i="14"/>
  <c r="C215" i="14"/>
  <c r="C262" i="14"/>
  <c r="E278" i="14"/>
  <c r="F278" i="14" s="1"/>
  <c r="C306" i="14"/>
  <c r="C222" i="15"/>
  <c r="C71" i="15"/>
  <c r="C76" i="15" s="1"/>
  <c r="C65" i="15"/>
  <c r="C66" i="15" s="1"/>
  <c r="C295" i="15" s="1"/>
  <c r="C289" i="15"/>
  <c r="E289" i="15" s="1"/>
  <c r="D145" i="15"/>
  <c r="D242" i="15"/>
  <c r="E242" i="15"/>
  <c r="E218" i="15"/>
  <c r="D217" i="15"/>
  <c r="E217" i="15" s="1"/>
  <c r="C46" i="19"/>
  <c r="C40" i="19"/>
  <c r="C36" i="19"/>
  <c r="C30" i="19"/>
  <c r="C56" i="19" s="1"/>
  <c r="C111" i="19"/>
  <c r="C54" i="19"/>
  <c r="C108" i="19"/>
  <c r="C109" i="19"/>
  <c r="D90" i="14"/>
  <c r="D195" i="14"/>
  <c r="D160" i="14"/>
  <c r="D207" i="14"/>
  <c r="D138" i="14"/>
  <c r="E138" i="14"/>
  <c r="D291" i="14"/>
  <c r="D289" i="14"/>
  <c r="E48" i="14"/>
  <c r="F48" i="14"/>
  <c r="E59" i="14"/>
  <c r="F59" i="14"/>
  <c r="C68" i="14"/>
  <c r="C111" i="14"/>
  <c r="E111" i="14" s="1"/>
  <c r="F111" i="14" s="1"/>
  <c r="C124" i="14"/>
  <c r="C125" i="14"/>
  <c r="E136" i="14"/>
  <c r="F136" i="14"/>
  <c r="F145" i="14"/>
  <c r="F158" i="14"/>
  <c r="C192" i="14"/>
  <c r="E192" i="14" s="1"/>
  <c r="F192" i="14" s="1"/>
  <c r="C255" i="14"/>
  <c r="C267" i="14"/>
  <c r="F267" i="14" s="1"/>
  <c r="C283" i="14"/>
  <c r="F294" i="14"/>
  <c r="F307" i="14"/>
  <c r="E69" i="15"/>
  <c r="D71" i="15"/>
  <c r="E161" i="15"/>
  <c r="E165" i="15"/>
  <c r="C175" i="15"/>
  <c r="E195" i="15"/>
  <c r="C234" i="15"/>
  <c r="C223" i="15"/>
  <c r="E221" i="15"/>
  <c r="C253" i="15"/>
  <c r="C254" i="15" s="1"/>
  <c r="E262" i="15"/>
  <c r="C214" i="14"/>
  <c r="C216" i="14" s="1"/>
  <c r="C190" i="14"/>
  <c r="F188" i="14"/>
  <c r="C239" i="14"/>
  <c r="F237" i="14"/>
  <c r="D22" i="15"/>
  <c r="D283" i="15"/>
  <c r="E283" i="15" s="1"/>
  <c r="E251" i="15"/>
  <c r="D320" i="15"/>
  <c r="E320" i="15"/>
  <c r="E316" i="15"/>
  <c r="D41" i="17"/>
  <c r="E108" i="19"/>
  <c r="F44" i="14"/>
  <c r="F53" i="14"/>
  <c r="F67" i="14"/>
  <c r="F100" i="14"/>
  <c r="F110" i="14"/>
  <c r="F130" i="14"/>
  <c r="F165" i="14"/>
  <c r="F170" i="14"/>
  <c r="F203" i="14"/>
  <c r="C205" i="14"/>
  <c r="F238" i="14"/>
  <c r="C261" i="14"/>
  <c r="F311" i="14"/>
  <c r="E54" i="15"/>
  <c r="D65" i="15"/>
  <c r="D66" i="15" s="1"/>
  <c r="C181" i="14"/>
  <c r="E181" i="14" s="1"/>
  <c r="F181" i="14" s="1"/>
  <c r="C264" i="14"/>
  <c r="F264" i="14" s="1"/>
  <c r="E191" i="14"/>
  <c r="F191" i="14"/>
  <c r="C33" i="15"/>
  <c r="C294" i="15"/>
  <c r="D163" i="15"/>
  <c r="E163" i="15" s="1"/>
  <c r="D175" i="15"/>
  <c r="E175" i="15" s="1"/>
  <c r="D261" i="15"/>
  <c r="E188" i="15"/>
  <c r="D254" i="14"/>
  <c r="D286" i="14"/>
  <c r="E283" i="14"/>
  <c r="C282" i="14"/>
  <c r="F35" i="14"/>
  <c r="E123" i="14"/>
  <c r="F123" i="14" s="1"/>
  <c r="C146" i="14"/>
  <c r="C159" i="14"/>
  <c r="C160" i="14" s="1"/>
  <c r="E160" i="14" s="1"/>
  <c r="F160" i="14" s="1"/>
  <c r="F164" i="14"/>
  <c r="E189" i="14"/>
  <c r="F189" i="14" s="1"/>
  <c r="F230" i="14"/>
  <c r="E250" i="14"/>
  <c r="F250" i="14" s="1"/>
  <c r="C254" i="14"/>
  <c r="E254" i="14" s="1"/>
  <c r="F254" i="14" s="1"/>
  <c r="C277" i="14"/>
  <c r="C284" i="14" s="1"/>
  <c r="F298" i="14"/>
  <c r="C43" i="15"/>
  <c r="C44" i="15" s="1"/>
  <c r="E41" i="15"/>
  <c r="D43" i="15"/>
  <c r="D44" i="15" s="1"/>
  <c r="D100" i="15" s="1"/>
  <c r="E60" i="15"/>
  <c r="D76" i="15"/>
  <c r="E76" i="15" s="1"/>
  <c r="E73" i="15"/>
  <c r="E164" i="15"/>
  <c r="E176" i="15"/>
  <c r="E179" i="15"/>
  <c r="C211" i="15"/>
  <c r="E215" i="15"/>
  <c r="C217" i="15"/>
  <c r="C241" i="15"/>
  <c r="E243" i="15"/>
  <c r="D222" i="15"/>
  <c r="D246" i="15" s="1"/>
  <c r="C261" i="15"/>
  <c r="F36" i="17"/>
  <c r="D282" i="14"/>
  <c r="E282" i="14"/>
  <c r="D302" i="15"/>
  <c r="C22" i="16"/>
  <c r="C20" i="17"/>
  <c r="E20" i="17" s="1"/>
  <c r="E25" i="17"/>
  <c r="F25" i="17" s="1"/>
  <c r="C39" i="17"/>
  <c r="C40" i="17"/>
  <c r="E40" i="17" s="1"/>
  <c r="E41" i="17" s="1"/>
  <c r="C46" i="17"/>
  <c r="E29" i="19"/>
  <c r="C33" i="19"/>
  <c r="E35" i="19"/>
  <c r="E39" i="19"/>
  <c r="E45" i="19"/>
  <c r="D54" i="19"/>
  <c r="D267" i="14"/>
  <c r="D306" i="14"/>
  <c r="E306" i="14" s="1"/>
  <c r="E314" i="15"/>
  <c r="C49" i="16"/>
  <c r="E23" i="19"/>
  <c r="E54" i="19" s="1"/>
  <c r="C34" i="19"/>
  <c r="D111" i="19"/>
  <c r="D105" i="14"/>
  <c r="D124" i="14"/>
  <c r="D125" i="14" s="1"/>
  <c r="E125" i="14" s="1"/>
  <c r="D200" i="14"/>
  <c r="D206" i="14"/>
  <c r="E206" i="14"/>
  <c r="D262" i="14"/>
  <c r="D266" i="14"/>
  <c r="D274" i="14"/>
  <c r="D280" i="14"/>
  <c r="D284" i="14"/>
  <c r="C22" i="19"/>
  <c r="C45" i="19" s="1"/>
  <c r="D30" i="19"/>
  <c r="E33" i="19"/>
  <c r="D36" i="19"/>
  <c r="D40" i="19"/>
  <c r="E53" i="19"/>
  <c r="E101" i="19"/>
  <c r="D108" i="19"/>
  <c r="D62" i="14"/>
  <c r="D140" i="14"/>
  <c r="D199" i="14"/>
  <c r="D205" i="14"/>
  <c r="E205" i="14" s="1"/>
  <c r="F205" i="14" s="1"/>
  <c r="D215" i="14"/>
  <c r="D261" i="14"/>
  <c r="D268" i="14" s="1"/>
  <c r="D279" i="14"/>
  <c r="D21" i="14"/>
  <c r="D91" i="14" s="1"/>
  <c r="D92" i="14" s="1"/>
  <c r="D190" i="14"/>
  <c r="E190" i="14" s="1"/>
  <c r="D56" i="19"/>
  <c r="D38" i="19"/>
  <c r="C41" i="17"/>
  <c r="F41" i="17" s="1"/>
  <c r="E146" i="14"/>
  <c r="F146" i="14" s="1"/>
  <c r="E215" i="14"/>
  <c r="D255" i="14"/>
  <c r="E255" i="14" s="1"/>
  <c r="F255" i="14" s="1"/>
  <c r="D63" i="14"/>
  <c r="C39" i="19"/>
  <c r="C29" i="19"/>
  <c r="C55" i="19" s="1"/>
  <c r="C53" i="19"/>
  <c r="E47" i="19"/>
  <c r="E37" i="19"/>
  <c r="E55" i="19"/>
  <c r="E239" i="14"/>
  <c r="F239" i="14" s="1"/>
  <c r="C48" i="19"/>
  <c r="C113" i="19"/>
  <c r="D241" i="15"/>
  <c r="E241" i="15" s="1"/>
  <c r="C21" i="5"/>
  <c r="C20" i="5"/>
  <c r="E31" i="14"/>
  <c r="F31" i="14" s="1"/>
  <c r="C32" i="14"/>
  <c r="E261" i="15"/>
  <c r="D77" i="15"/>
  <c r="D127" i="15" s="1"/>
  <c r="F215" i="14"/>
  <c r="D141" i="14"/>
  <c r="E214" i="14"/>
  <c r="F214" i="14" s="1"/>
  <c r="D96" i="15"/>
  <c r="D102" i="15" s="1"/>
  <c r="D85" i="15"/>
  <c r="D83" i="15"/>
  <c r="D97" i="15"/>
  <c r="D101" i="15"/>
  <c r="D258" i="15"/>
  <c r="D88" i="15"/>
  <c r="D208" i="14"/>
  <c r="D210" i="14" s="1"/>
  <c r="D211" i="14" s="1"/>
  <c r="C41" i="9"/>
  <c r="C48" i="9" s="1"/>
  <c r="E39" i="17"/>
  <c r="E261" i="14"/>
  <c r="F261" i="14" s="1"/>
  <c r="D263" i="14"/>
  <c r="E222" i="15"/>
  <c r="C279" i="14"/>
  <c r="F279" i="14" s="1"/>
  <c r="C287" i="14"/>
  <c r="E287" i="14" s="1"/>
  <c r="F287" i="14" s="1"/>
  <c r="E65" i="15"/>
  <c r="E43" i="15"/>
  <c r="F159" i="14"/>
  <c r="E264" i="14"/>
  <c r="E22" i="15"/>
  <c r="F283" i="14"/>
  <c r="E68" i="14"/>
  <c r="F68" i="14" s="1"/>
  <c r="D305" i="14"/>
  <c r="G36" i="11"/>
  <c r="G38" i="11" s="1"/>
  <c r="G40" i="11" s="1"/>
  <c r="I33" i="11"/>
  <c r="I36" i="11" s="1"/>
  <c r="I38" i="11" s="1"/>
  <c r="I40" i="11" s="1"/>
  <c r="E279" i="14"/>
  <c r="F282" i="14"/>
  <c r="F190" i="14"/>
  <c r="E83" i="4"/>
  <c r="E302" i="15"/>
  <c r="D303" i="15"/>
  <c r="D281" i="14"/>
  <c r="D106" i="14"/>
  <c r="D126" i="14"/>
  <c r="D49" i="14"/>
  <c r="D50" i="14" s="1"/>
  <c r="D70" i="14" s="1"/>
  <c r="D161" i="14"/>
  <c r="E262" i="14"/>
  <c r="F262" i="14" s="1"/>
  <c r="E46" i="19"/>
  <c r="E36" i="19"/>
  <c r="E111" i="19"/>
  <c r="E267" i="14"/>
  <c r="C263" i="14"/>
  <c r="C271" i="14"/>
  <c r="C180" i="15"/>
  <c r="E144" i="15"/>
  <c r="E37" i="14"/>
  <c r="F37" i="14" s="1"/>
  <c r="C21" i="10"/>
  <c r="C28" i="5"/>
  <c r="C99" i="5" s="1"/>
  <c r="C101" i="5" s="1"/>
  <c r="C98" i="5" s="1"/>
  <c r="C112" i="5"/>
  <c r="C111" i="5" s="1"/>
  <c r="E124" i="14"/>
  <c r="F124" i="14" s="1"/>
  <c r="F20" i="17"/>
  <c r="E33" i="15"/>
  <c r="D216" i="14"/>
  <c r="E216" i="14" s="1"/>
  <c r="D223" i="15"/>
  <c r="C247" i="15"/>
  <c r="D300" i="14"/>
  <c r="C246" i="15"/>
  <c r="F206" i="14"/>
  <c r="D139" i="14"/>
  <c r="D322" i="14"/>
  <c r="D162" i="14"/>
  <c r="E263" i="14"/>
  <c r="D306" i="15"/>
  <c r="E303" i="15"/>
  <c r="D115" i="15"/>
  <c r="D122" i="15"/>
  <c r="D126" i="15"/>
  <c r="D114" i="15"/>
  <c r="D111" i="15"/>
  <c r="F263" i="14"/>
  <c r="C22" i="5"/>
  <c r="F39" i="17"/>
  <c r="D127" i="14"/>
  <c r="D209" i="14"/>
  <c r="E32" i="14"/>
  <c r="C140" i="14"/>
  <c r="C141" i="14" s="1"/>
  <c r="C112" i="19"/>
  <c r="C47" i="19"/>
  <c r="D148" i="14"/>
  <c r="D310" i="15"/>
  <c r="E310" i="15"/>
  <c r="E306" i="15"/>
  <c r="E284" i="14" l="1"/>
  <c r="F284" i="14" s="1"/>
  <c r="D247" i="15"/>
  <c r="E247" i="15" s="1"/>
  <c r="F216" i="14"/>
  <c r="F125" i="14"/>
  <c r="C24" i="10"/>
  <c r="C20" i="10" s="1"/>
  <c r="C17" i="10"/>
  <c r="C28" i="10" s="1"/>
  <c r="F195" i="14"/>
  <c r="E195" i="14"/>
  <c r="D113" i="14"/>
  <c r="D324" i="14"/>
  <c r="C99" i="15"/>
  <c r="C88" i="15"/>
  <c r="E88" i="15" s="1"/>
  <c r="C97" i="15"/>
  <c r="E97" i="15" s="1"/>
  <c r="C85" i="15"/>
  <c r="E85" i="15" s="1"/>
  <c r="C89" i="15"/>
  <c r="C98" i="15"/>
  <c r="C86" i="15"/>
  <c r="C83" i="15"/>
  <c r="C101" i="15"/>
  <c r="E101" i="15" s="1"/>
  <c r="C96" i="15"/>
  <c r="E44" i="15"/>
  <c r="C95" i="15"/>
  <c r="C84" i="15"/>
  <c r="C90" i="15" s="1"/>
  <c r="C87" i="15"/>
  <c r="C258" i="15"/>
  <c r="E258" i="15" s="1"/>
  <c r="C100" i="15"/>
  <c r="E100" i="15" s="1"/>
  <c r="D295" i="15"/>
  <c r="E295" i="15" s="1"/>
  <c r="E66" i="15"/>
  <c r="C77" i="15"/>
  <c r="C259" i="15"/>
  <c r="C263" i="15" s="1"/>
  <c r="E145" i="15"/>
  <c r="C181" i="15"/>
  <c r="C169" i="15"/>
  <c r="E246" i="15"/>
  <c r="E180" i="15"/>
  <c r="E206" i="6"/>
  <c r="F206" i="6"/>
  <c r="D19" i="9"/>
  <c r="E16" i="9"/>
  <c r="F16" i="9" s="1"/>
  <c r="E25" i="10"/>
  <c r="E27" i="10" s="1"/>
  <c r="E15" i="10"/>
  <c r="E60" i="14"/>
  <c r="C61" i="14"/>
  <c r="C37" i="19"/>
  <c r="F32" i="14"/>
  <c r="C62" i="14"/>
  <c r="D109" i="15"/>
  <c r="D121" i="15"/>
  <c r="D124" i="15"/>
  <c r="D110" i="15"/>
  <c r="D116" i="15" s="1"/>
  <c r="D113" i="15"/>
  <c r="D125" i="15"/>
  <c r="D112" i="15"/>
  <c r="D123" i="15"/>
  <c r="D309" i="14"/>
  <c r="E223" i="15"/>
  <c r="E71" i="15"/>
  <c r="D294" i="15"/>
  <c r="E294" i="15" s="1"/>
  <c r="E41" i="8"/>
  <c r="F41" i="8" s="1"/>
  <c r="C168" i="15"/>
  <c r="C268" i="14"/>
  <c r="D270" i="14"/>
  <c r="E30" i="19"/>
  <c r="E40" i="19"/>
  <c r="D196" i="14"/>
  <c r="D197" i="14" s="1"/>
  <c r="D43" i="1"/>
  <c r="F40" i="17"/>
  <c r="E159" i="14"/>
  <c r="D259" i="15"/>
  <c r="E277" i="14"/>
  <c r="F277" i="14" s="1"/>
  <c r="D271" i="14"/>
  <c r="C304" i="14"/>
  <c r="D86" i="15"/>
  <c r="E86" i="15" s="1"/>
  <c r="D98" i="15"/>
  <c r="E98" i="15" s="1"/>
  <c r="D84" i="15"/>
  <c r="D87" i="15"/>
  <c r="E87" i="15" s="1"/>
  <c r="D99" i="15"/>
  <c r="E99" i="15" s="1"/>
  <c r="D95" i="15"/>
  <c r="D89" i="15"/>
  <c r="E89" i="15" s="1"/>
  <c r="D265" i="14"/>
  <c r="C38" i="19"/>
  <c r="E112" i="19"/>
  <c r="C110" i="19"/>
  <c r="C35" i="19"/>
  <c r="E199" i="14"/>
  <c r="F199" i="14" s="1"/>
  <c r="C235" i="15"/>
  <c r="C266" i="14"/>
  <c r="E199" i="6"/>
  <c r="F199" i="6" s="1"/>
  <c r="F193" i="14"/>
  <c r="E46" i="9"/>
  <c r="F60" i="14"/>
  <c r="E95" i="3"/>
  <c r="F95" i="3" s="1"/>
  <c r="E41" i="3"/>
  <c r="D52" i="3"/>
  <c r="E52" i="3" s="1"/>
  <c r="F52" i="3" s="1"/>
  <c r="F47" i="3"/>
  <c r="E86" i="3"/>
  <c r="F86" i="3" s="1"/>
  <c r="E87" i="3"/>
  <c r="F87" i="3" s="1"/>
  <c r="E109" i="4"/>
  <c r="F109" i="4" s="1"/>
  <c r="E155" i="4"/>
  <c r="F155" i="4" s="1"/>
  <c r="D176" i="4"/>
  <c r="E176" i="4" s="1"/>
  <c r="F176" i="4" s="1"/>
  <c r="D71" i="5"/>
  <c r="C149" i="5"/>
  <c r="D153" i="5"/>
  <c r="D152" i="5"/>
  <c r="D154" i="5"/>
  <c r="C166" i="5"/>
  <c r="E166" i="5"/>
  <c r="F200" i="6"/>
  <c r="D43" i="8"/>
  <c r="E22" i="1"/>
  <c r="F22" i="1" s="1"/>
  <c r="E29" i="1"/>
  <c r="F29" i="1" s="1"/>
  <c r="E38" i="1"/>
  <c r="F38" i="1" s="1"/>
  <c r="E61" i="1"/>
  <c r="F61" i="1" s="1"/>
  <c r="E16" i="2"/>
  <c r="F16" i="2" s="1"/>
  <c r="E39" i="2"/>
  <c r="F39" i="2" s="1"/>
  <c r="E25" i="3"/>
  <c r="F25" i="3" s="1"/>
  <c r="E44" i="3"/>
  <c r="F44" i="3" s="1"/>
  <c r="E45" i="3"/>
  <c r="F45" i="3" s="1"/>
  <c r="E84" i="3"/>
  <c r="F84" i="3" s="1"/>
  <c r="E85" i="3"/>
  <c r="F85" i="3" s="1"/>
  <c r="E92" i="3"/>
  <c r="F92" i="3" s="1"/>
  <c r="E93" i="3"/>
  <c r="F93" i="3" s="1"/>
  <c r="E94" i="3"/>
  <c r="E124" i="3"/>
  <c r="F124" i="3" s="1"/>
  <c r="E153" i="3"/>
  <c r="F153" i="3" s="1"/>
  <c r="E18" i="4"/>
  <c r="F18" i="4" s="1"/>
  <c r="E35" i="4"/>
  <c r="F35" i="4" s="1"/>
  <c r="E41" i="4"/>
  <c r="F41" i="4" s="1"/>
  <c r="E59" i="4"/>
  <c r="F59" i="4" s="1"/>
  <c r="E78" i="4"/>
  <c r="F78" i="4" s="1"/>
  <c r="E171" i="4"/>
  <c r="F171" i="4" s="1"/>
  <c r="D53" i="5"/>
  <c r="D109" i="5"/>
  <c r="D106" i="5" s="1"/>
  <c r="E149" i="5"/>
  <c r="E24" i="6"/>
  <c r="E50" i="6"/>
  <c r="E76" i="6"/>
  <c r="F76" i="6" s="1"/>
  <c r="D207" i="6"/>
  <c r="E207" i="6" s="1"/>
  <c r="F207" i="6" s="1"/>
  <c r="E205" i="6"/>
  <c r="F205" i="6" s="1"/>
  <c r="F36" i="7"/>
  <c r="E47" i="7"/>
  <c r="E48" i="7"/>
  <c r="E107" i="7"/>
  <c r="F107" i="7" s="1"/>
  <c r="E114" i="7"/>
  <c r="F114" i="7" s="1"/>
  <c r="E118" i="7"/>
  <c r="F118" i="7" s="1"/>
  <c r="E38" i="8"/>
  <c r="F38" i="8" s="1"/>
  <c r="E56" i="8"/>
  <c r="F56" i="8" s="1"/>
  <c r="E189" i="15"/>
  <c r="E227" i="15"/>
  <c r="E276" i="15"/>
  <c r="E278" i="15"/>
  <c r="E280" i="15"/>
  <c r="E282" i="15"/>
  <c r="D326" i="15"/>
  <c r="E110" i="19"/>
  <c r="D102" i="19"/>
  <c r="D27" i="10"/>
  <c r="D21" i="10" s="1"/>
  <c r="I17" i="11"/>
  <c r="E23" i="12"/>
  <c r="F23" i="12" s="1"/>
  <c r="E25" i="13"/>
  <c r="F25" i="13" s="1"/>
  <c r="C172" i="14"/>
  <c r="C200" i="14"/>
  <c r="E200" i="14" s="1"/>
  <c r="F200" i="14" s="1"/>
  <c r="E32" i="15"/>
  <c r="E36" i="15"/>
  <c r="E37" i="15"/>
  <c r="E39" i="15"/>
  <c r="E42" i="15"/>
  <c r="E139" i="15"/>
  <c r="E162" i="15"/>
  <c r="E167" i="15"/>
  <c r="E173" i="15"/>
  <c r="E174" i="15"/>
  <c r="E178" i="15"/>
  <c r="E219" i="15"/>
  <c r="C37" i="16"/>
  <c r="C38" i="16" s="1"/>
  <c r="C127" i="16" s="1"/>
  <c r="C129" i="16" s="1"/>
  <c r="C133" i="16" s="1"/>
  <c r="E16" i="17"/>
  <c r="F16" i="17" s="1"/>
  <c r="E44" i="17"/>
  <c r="F44" i="17" s="1"/>
  <c r="C101" i="19"/>
  <c r="C103" i="19" s="1"/>
  <c r="E102" i="19"/>
  <c r="E103" i="19" s="1"/>
  <c r="D88" i="19"/>
  <c r="D93" i="19"/>
  <c r="D98" i="19"/>
  <c r="C322" i="14"/>
  <c r="E141" i="14"/>
  <c r="F141" i="14"/>
  <c r="C70" i="10"/>
  <c r="C72" i="10" s="1"/>
  <c r="C69" i="10" s="1"/>
  <c r="C22" i="10"/>
  <c r="C264" i="15"/>
  <c r="E140" i="14"/>
  <c r="F140" i="14" s="1"/>
  <c r="C126" i="15"/>
  <c r="E126" i="15" s="1"/>
  <c r="C111" i="15"/>
  <c r="E111" i="15" s="1"/>
  <c r="C110" i="15"/>
  <c r="C124" i="15"/>
  <c r="E124" i="15" s="1"/>
  <c r="C112" i="15"/>
  <c r="E112" i="15" s="1"/>
  <c r="C125" i="15"/>
  <c r="E125" i="15" s="1"/>
  <c r="C113" i="15"/>
  <c r="E113" i="15" s="1"/>
  <c r="C43" i="1"/>
  <c r="F41" i="1"/>
  <c r="D24" i="5"/>
  <c r="D17" i="5"/>
  <c r="D136" i="5"/>
  <c r="D135" i="5"/>
  <c r="D137" i="5"/>
  <c r="D140" i="5"/>
  <c r="D139" i="5"/>
  <c r="D138" i="5"/>
  <c r="C139" i="5"/>
  <c r="C138" i="5"/>
  <c r="C140" i="5"/>
  <c r="C135" i="5"/>
  <c r="C137" i="5"/>
  <c r="C136" i="5"/>
  <c r="C152" i="5"/>
  <c r="C157" i="5"/>
  <c r="C154" i="5"/>
  <c r="C156" i="5"/>
  <c r="C155" i="5"/>
  <c r="C153" i="5"/>
  <c r="E157" i="5"/>
  <c r="E156" i="5"/>
  <c r="E154" i="5"/>
  <c r="E153" i="5"/>
  <c r="E152" i="5"/>
  <c r="E155" i="5"/>
  <c r="E43" i="8"/>
  <c r="F43" i="8" s="1"/>
  <c r="D113" i="19"/>
  <c r="D48" i="19"/>
  <c r="F56" i="1"/>
  <c r="F73" i="1"/>
  <c r="F41" i="3"/>
  <c r="F49" i="3"/>
  <c r="F68" i="3"/>
  <c r="F89" i="3"/>
  <c r="F111" i="3"/>
  <c r="F137" i="3"/>
  <c r="F166" i="3"/>
  <c r="F30" i="4"/>
  <c r="E20" i="5"/>
  <c r="E21" i="5"/>
  <c r="E137" i="5"/>
  <c r="E136" i="5"/>
  <c r="E138" i="5"/>
  <c r="E140" i="5"/>
  <c r="E135" i="5"/>
  <c r="E141" i="5" s="1"/>
  <c r="E139" i="5"/>
  <c r="C65" i="1"/>
  <c r="D65" i="1"/>
  <c r="C19" i="2"/>
  <c r="D19" i="2"/>
  <c r="F46" i="2"/>
  <c r="D25" i="5"/>
  <c r="D27" i="5" s="1"/>
  <c r="E17" i="5"/>
  <c r="C53" i="5"/>
  <c r="E49" i="5"/>
  <c r="E77" i="5"/>
  <c r="E71" i="5" s="1"/>
  <c r="F62" i="6"/>
  <c r="E75" i="6"/>
  <c r="F75" i="6" s="1"/>
  <c r="E102" i="6"/>
  <c r="E128" i="6"/>
  <c r="E154" i="6"/>
  <c r="E180" i="6"/>
  <c r="E71" i="7"/>
  <c r="E84" i="7"/>
  <c r="C75" i="8"/>
  <c r="E101" i="6"/>
  <c r="E127" i="6"/>
  <c r="E153" i="6"/>
  <c r="E179" i="6"/>
  <c r="E201" i="6"/>
  <c r="F201" i="6" s="1"/>
  <c r="E202" i="6"/>
  <c r="F202" i="6" s="1"/>
  <c r="F35" i="7"/>
  <c r="E83" i="7"/>
  <c r="E113" i="7"/>
  <c r="F113" i="7" s="1"/>
  <c r="D122" i="7"/>
  <c r="E122" i="7" s="1"/>
  <c r="F122" i="7" s="1"/>
  <c r="E61" i="8"/>
  <c r="F61" i="8" s="1"/>
  <c r="D65" i="8"/>
  <c r="D15" i="10"/>
  <c r="D48" i="10"/>
  <c r="D42" i="10" s="1"/>
  <c r="G31" i="11"/>
  <c r="I31" i="11" s="1"/>
  <c r="F31" i="11"/>
  <c r="H31" i="11" s="1"/>
  <c r="F50" i="12"/>
  <c r="F55" i="12"/>
  <c r="F20" i="14"/>
  <c r="C21" i="14"/>
  <c r="F23" i="14"/>
  <c r="F66" i="14"/>
  <c r="F88" i="14"/>
  <c r="C89" i="14"/>
  <c r="F129" i="14"/>
  <c r="E180" i="14"/>
  <c r="F180" i="14"/>
  <c r="C274" i="14"/>
  <c r="F198" i="14"/>
  <c r="C290" i="14"/>
  <c r="C285" i="14"/>
  <c r="F204" i="14"/>
  <c r="E223" i="14"/>
  <c r="F223" i="14" s="1"/>
  <c r="C269" i="14"/>
  <c r="F295" i="14"/>
  <c r="F296" i="14"/>
  <c r="E21" i="15"/>
  <c r="E75" i="15"/>
  <c r="E151" i="15"/>
  <c r="D156" i="15"/>
  <c r="C90" i="14"/>
  <c r="C102" i="14"/>
  <c r="E101" i="14"/>
  <c r="F101" i="14" s="1"/>
  <c r="F109" i="14"/>
  <c r="C227" i="14"/>
  <c r="F226" i="14"/>
  <c r="F229" i="14"/>
  <c r="C280" i="14"/>
  <c r="D55" i="15"/>
  <c r="D234" i="15"/>
  <c r="E234" i="15" s="1"/>
  <c r="E76" i="14"/>
  <c r="F76" i="14" s="1"/>
  <c r="D211" i="15"/>
  <c r="E210" i="15"/>
  <c r="E239" i="15"/>
  <c r="D175" i="14"/>
  <c r="E205" i="15"/>
  <c r="C229" i="15"/>
  <c r="D229" i="15"/>
  <c r="D240" i="15"/>
  <c r="D244" i="15"/>
  <c r="E244" i="15" s="1"/>
  <c r="D252" i="15"/>
  <c r="D34" i="19"/>
  <c r="E19" i="17"/>
  <c r="F19" i="17" s="1"/>
  <c r="E43" i="17"/>
  <c r="D33" i="19"/>
  <c r="E34" i="19"/>
  <c r="D22" i="19"/>
  <c r="D101" i="19"/>
  <c r="D103" i="19" s="1"/>
  <c r="C173" i="14" l="1"/>
  <c r="E172" i="14"/>
  <c r="F172" i="14" s="1"/>
  <c r="C207" i="14"/>
  <c r="D158" i="5"/>
  <c r="C265" i="14"/>
  <c r="E84" i="15"/>
  <c r="D90" i="15"/>
  <c r="D304" i="14"/>
  <c r="E271" i="14"/>
  <c r="F271" i="14" s="1"/>
  <c r="D273" i="14"/>
  <c r="E259" i="15"/>
  <c r="D263" i="15"/>
  <c r="E38" i="19"/>
  <c r="E56" i="19"/>
  <c r="E48" i="19"/>
  <c r="E113" i="19"/>
  <c r="D117" i="15"/>
  <c r="E61" i="14"/>
  <c r="F61" i="14"/>
  <c r="C174" i="14"/>
  <c r="C139" i="14"/>
  <c r="E17" i="10"/>
  <c r="E28" i="10" s="1"/>
  <c r="E24" i="10"/>
  <c r="C115" i="15"/>
  <c r="E115" i="15" s="1"/>
  <c r="C114" i="15"/>
  <c r="E114" i="15" s="1"/>
  <c r="C109" i="15"/>
  <c r="E109" i="15" s="1"/>
  <c r="C122" i="15"/>
  <c r="C121" i="15"/>
  <c r="E121" i="15" s="1"/>
  <c r="E77" i="15"/>
  <c r="C127" i="15"/>
  <c r="E127" i="15" s="1"/>
  <c r="C123" i="15"/>
  <c r="E326" i="15"/>
  <c r="D330" i="15"/>
  <c r="E330" i="15" s="1"/>
  <c r="E265" i="14"/>
  <c r="F265" i="14" s="1"/>
  <c r="D103" i="15"/>
  <c r="E95" i="15"/>
  <c r="E123" i="15"/>
  <c r="D128" i="15"/>
  <c r="D129" i="15"/>
  <c r="E62" i="14"/>
  <c r="F62" i="14" s="1"/>
  <c r="C63" i="14"/>
  <c r="E20" i="10"/>
  <c r="E21" i="10"/>
  <c r="D33" i="9"/>
  <c r="E19" i="9"/>
  <c r="F19" i="9" s="1"/>
  <c r="E266" i="14"/>
  <c r="F266" i="14" s="1"/>
  <c r="C102" i="15"/>
  <c r="E96" i="15"/>
  <c r="E83" i="15"/>
  <c r="C91" i="15"/>
  <c r="E268" i="14"/>
  <c r="F268" i="14" s="1"/>
  <c r="E252" i="15"/>
  <c r="E240" i="15"/>
  <c r="D253" i="15"/>
  <c r="E253" i="15" s="1"/>
  <c r="D176" i="14"/>
  <c r="E55" i="15"/>
  <c r="D284" i="15"/>
  <c r="E284" i="15" s="1"/>
  <c r="E227" i="14"/>
  <c r="F227" i="14" s="1"/>
  <c r="E90" i="14"/>
  <c r="F90" i="14" s="1"/>
  <c r="E290" i="14"/>
  <c r="F290" i="14" s="1"/>
  <c r="C300" i="14"/>
  <c r="E89" i="14"/>
  <c r="F89" i="14"/>
  <c r="C49" i="14"/>
  <c r="C161" i="14"/>
  <c r="C91" i="14"/>
  <c r="E21" i="14"/>
  <c r="C196" i="14"/>
  <c r="F21" i="14"/>
  <c r="C126" i="14"/>
  <c r="E65" i="8"/>
  <c r="F65" i="8" s="1"/>
  <c r="D75" i="8"/>
  <c r="E75" i="8" s="1"/>
  <c r="F75" i="8"/>
  <c r="D20" i="5"/>
  <c r="D21" i="5"/>
  <c r="E19" i="2"/>
  <c r="D33" i="2"/>
  <c r="E65" i="1"/>
  <c r="D75" i="1"/>
  <c r="E158" i="5"/>
  <c r="C158" i="5"/>
  <c r="E274" i="14"/>
  <c r="F274" i="14" s="1"/>
  <c r="E43" i="1"/>
  <c r="F43" i="1" s="1"/>
  <c r="D53" i="19"/>
  <c r="D29" i="19"/>
  <c r="D35" i="19"/>
  <c r="D45" i="19"/>
  <c r="D110" i="19"/>
  <c r="D39" i="19"/>
  <c r="E46" i="17"/>
  <c r="F46" i="17" s="1"/>
  <c r="F43" i="17"/>
  <c r="E229" i="15"/>
  <c r="D235" i="15"/>
  <c r="E235" i="15" s="1"/>
  <c r="D181" i="15"/>
  <c r="E181" i="15" s="1"/>
  <c r="E211" i="15"/>
  <c r="C281" i="14"/>
  <c r="E280" i="14"/>
  <c r="F280" i="14" s="1"/>
  <c r="C103" i="14"/>
  <c r="E102" i="14"/>
  <c r="F102" i="14" s="1"/>
  <c r="E156" i="15"/>
  <c r="D157" i="15"/>
  <c r="D168" i="15"/>
  <c r="E168" i="15" s="1"/>
  <c r="E269" i="14"/>
  <c r="F269" i="14"/>
  <c r="C270" i="14"/>
  <c r="C272" i="14"/>
  <c r="E285" i="14"/>
  <c r="F285" i="14"/>
  <c r="C288" i="14"/>
  <c r="C286" i="14"/>
  <c r="D24" i="10"/>
  <c r="D20" i="10" s="1"/>
  <c r="D17" i="10"/>
  <c r="D28" i="10" s="1"/>
  <c r="E112" i="5"/>
  <c r="E111" i="5" s="1"/>
  <c r="E28" i="5"/>
  <c r="F19" i="2"/>
  <c r="C33" i="2"/>
  <c r="F65" i="1"/>
  <c r="C75" i="1"/>
  <c r="C141" i="5"/>
  <c r="D141" i="5"/>
  <c r="D112" i="5"/>
  <c r="D111" i="5" s="1"/>
  <c r="D28" i="5"/>
  <c r="D99" i="5" s="1"/>
  <c r="D101" i="5" s="1"/>
  <c r="D98" i="5" s="1"/>
  <c r="E110" i="15"/>
  <c r="C116" i="15"/>
  <c r="C266" i="15"/>
  <c r="E322" i="14"/>
  <c r="F322" i="14" s="1"/>
  <c r="D41" i="9" l="1"/>
  <c r="E33" i="9"/>
  <c r="F33" i="9" s="1"/>
  <c r="E122" i="15"/>
  <c r="C128" i="15"/>
  <c r="E139" i="14"/>
  <c r="F139" i="14"/>
  <c r="D264" i="15"/>
  <c r="E263" i="15"/>
  <c r="D310" i="14"/>
  <c r="D312" i="14" s="1"/>
  <c r="E304" i="14"/>
  <c r="F304" i="14" s="1"/>
  <c r="D313" i="14"/>
  <c r="C208" i="14"/>
  <c r="E207" i="14"/>
  <c r="F207" i="14" s="1"/>
  <c r="C103" i="15"/>
  <c r="E103" i="15" s="1"/>
  <c r="E102" i="15"/>
  <c r="F63" i="14"/>
  <c r="E63" i="14"/>
  <c r="E70" i="10"/>
  <c r="E72" i="10" s="1"/>
  <c r="E69" i="10" s="1"/>
  <c r="E22" i="10"/>
  <c r="F174" i="14"/>
  <c r="E174" i="14"/>
  <c r="D131" i="15"/>
  <c r="E90" i="15"/>
  <c r="D91" i="15"/>
  <c r="E173" i="14"/>
  <c r="F173" i="14"/>
  <c r="C175" i="14"/>
  <c r="E116" i="15"/>
  <c r="C117" i="15"/>
  <c r="C41" i="2"/>
  <c r="E99" i="5"/>
  <c r="E101" i="5" s="1"/>
  <c r="E98" i="5" s="1"/>
  <c r="E22" i="5"/>
  <c r="D70" i="10"/>
  <c r="D72" i="10" s="1"/>
  <c r="D69" i="10" s="1"/>
  <c r="D22" i="10"/>
  <c r="E286" i="14"/>
  <c r="F286" i="14" s="1"/>
  <c r="C273" i="14"/>
  <c r="E272" i="14"/>
  <c r="F272" i="14" s="1"/>
  <c r="E281" i="14"/>
  <c r="F281" i="14" s="1"/>
  <c r="C162" i="14"/>
  <c r="E161" i="14"/>
  <c r="F161" i="14" s="1"/>
  <c r="E300" i="14"/>
  <c r="F300" i="14" s="1"/>
  <c r="D254" i="15"/>
  <c r="E254" i="15" s="1"/>
  <c r="C267" i="15"/>
  <c r="E288" i="14"/>
  <c r="F288" i="14" s="1"/>
  <c r="C289" i="14"/>
  <c r="C291" i="14"/>
  <c r="E270" i="14"/>
  <c r="F270" i="14"/>
  <c r="E157" i="15"/>
  <c r="D169" i="15"/>
  <c r="E169" i="15" s="1"/>
  <c r="E103" i="14"/>
  <c r="F103" i="14"/>
  <c r="C105" i="14"/>
  <c r="C104" i="14"/>
  <c r="D47" i="19"/>
  <c r="D112" i="19"/>
  <c r="D37" i="19"/>
  <c r="D55" i="19"/>
  <c r="E75" i="1"/>
  <c r="F75" i="1" s="1"/>
  <c r="D41" i="2"/>
  <c r="E33" i="2"/>
  <c r="F33" i="2" s="1"/>
  <c r="D22" i="5"/>
  <c r="C127" i="14"/>
  <c r="E126" i="14"/>
  <c r="F126" i="14" s="1"/>
  <c r="E196" i="14"/>
  <c r="F196" i="14" s="1"/>
  <c r="C92" i="14"/>
  <c r="E91" i="14"/>
  <c r="F91" i="14" s="1"/>
  <c r="C50" i="14"/>
  <c r="E49" i="14"/>
  <c r="F49" i="14" s="1"/>
  <c r="D183" i="14"/>
  <c r="D323" i="14"/>
  <c r="C176" i="14" l="1"/>
  <c r="E175" i="14"/>
  <c r="F175" i="14" s="1"/>
  <c r="D315" i="14"/>
  <c r="D314" i="14"/>
  <c r="D256" i="14"/>
  <c r="D257" i="14" s="1"/>
  <c r="D251" i="14"/>
  <c r="D266" i="15"/>
  <c r="E264" i="15"/>
  <c r="E41" i="9"/>
  <c r="F41" i="9" s="1"/>
  <c r="D48" i="9"/>
  <c r="E48" i="9" s="1"/>
  <c r="F48" i="9" s="1"/>
  <c r="D105" i="15"/>
  <c r="E91" i="15"/>
  <c r="E208" i="14"/>
  <c r="F208" i="14" s="1"/>
  <c r="C210" i="14"/>
  <c r="E210" i="14" s="1"/>
  <c r="F210" i="14" s="1"/>
  <c r="C209" i="14"/>
  <c r="C129" i="15"/>
  <c r="E129" i="15" s="1"/>
  <c r="E128" i="15"/>
  <c r="C105" i="15"/>
  <c r="E127" i="14"/>
  <c r="F127" i="14" s="1"/>
  <c r="C197" i="14"/>
  <c r="C148" i="14"/>
  <c r="D48" i="2"/>
  <c r="E41" i="2"/>
  <c r="E104" i="14"/>
  <c r="F104" i="14"/>
  <c r="E291" i="14"/>
  <c r="C305" i="14"/>
  <c r="F291" i="14"/>
  <c r="E162" i="14"/>
  <c r="F162" i="14" s="1"/>
  <c r="C323" i="14"/>
  <c r="C183" i="14"/>
  <c r="C131" i="15"/>
  <c r="E131" i="15" s="1"/>
  <c r="E117" i="15"/>
  <c r="E323" i="14"/>
  <c r="D325" i="14"/>
  <c r="E50" i="14"/>
  <c r="F50" i="14" s="1"/>
  <c r="C70" i="14"/>
  <c r="E92" i="14"/>
  <c r="F92" i="14" s="1"/>
  <c r="C324" i="14"/>
  <c r="C106" i="14"/>
  <c r="F105" i="14"/>
  <c r="E105" i="14"/>
  <c r="E289" i="14"/>
  <c r="F289" i="14" s="1"/>
  <c r="C269" i="15"/>
  <c r="C268" i="15"/>
  <c r="E273" i="14"/>
  <c r="F273" i="14" s="1"/>
  <c r="F41" i="2"/>
  <c r="C48" i="2"/>
  <c r="D318" i="14" l="1"/>
  <c r="F209" i="14"/>
  <c r="E209" i="14"/>
  <c r="E105" i="15"/>
  <c r="D267" i="15"/>
  <c r="E266" i="15"/>
  <c r="C211" i="14"/>
  <c r="E211" i="14" s="1"/>
  <c r="F211" i="14" s="1"/>
  <c r="E176" i="14"/>
  <c r="F176" i="14" s="1"/>
  <c r="C271" i="15"/>
  <c r="E106" i="14"/>
  <c r="F106" i="14" s="1"/>
  <c r="C113" i="14"/>
  <c r="E48" i="2"/>
  <c r="F48" i="2" s="1"/>
  <c r="E197" i="14"/>
  <c r="F197" i="14" s="1"/>
  <c r="E324" i="14"/>
  <c r="C325" i="14"/>
  <c r="F324" i="14"/>
  <c r="E70" i="14"/>
  <c r="F70" i="14" s="1"/>
  <c r="F323" i="14"/>
  <c r="C309" i="14"/>
  <c r="F305" i="14"/>
  <c r="E305" i="14"/>
  <c r="E148" i="14"/>
  <c r="F148" i="14" s="1"/>
  <c r="E183" i="14"/>
  <c r="F183" i="14" s="1"/>
  <c r="D269" i="15" l="1"/>
  <c r="E269" i="15" s="1"/>
  <c r="D268" i="15"/>
  <c r="E267" i="15"/>
  <c r="E309" i="14"/>
  <c r="C310" i="14"/>
  <c r="F309" i="14"/>
  <c r="E113" i="14"/>
  <c r="F113" i="14" s="1"/>
  <c r="E325" i="14"/>
  <c r="F325" i="14" s="1"/>
  <c r="D271" i="15" l="1"/>
  <c r="E271" i="15" s="1"/>
  <c r="E268" i="15"/>
  <c r="C312" i="14"/>
  <c r="E310" i="14"/>
  <c r="F310" i="14"/>
  <c r="C313" i="14" l="1"/>
  <c r="E312" i="14"/>
  <c r="F312" i="14" s="1"/>
  <c r="C315" i="14" l="1"/>
  <c r="C314" i="14"/>
  <c r="C256" i="14"/>
  <c r="C251" i="14"/>
  <c r="E313" i="14"/>
  <c r="F313" i="14" s="1"/>
  <c r="F251" i="14" l="1"/>
  <c r="E251" i="14"/>
  <c r="C318" i="14"/>
  <c r="E314" i="14"/>
  <c r="F314" i="14" s="1"/>
  <c r="C257" i="14"/>
  <c r="E256" i="14"/>
  <c r="F256" i="14" s="1"/>
  <c r="E315" i="14"/>
  <c r="F315" i="14" s="1"/>
  <c r="E318" i="14" l="1"/>
  <c r="F318" i="14" s="1"/>
  <c r="F257" i="14"/>
  <c r="E257" i="14"/>
</calcChain>
</file>

<file path=xl/sharedStrings.xml><?xml version="1.0" encoding="utf-8"?>
<sst xmlns="http://schemas.openxmlformats.org/spreadsheetml/2006/main" count="2311" uniqueCount="988">
  <si>
    <t>MIDDLESEX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</si>
  <si>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</si>
  <si>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</si>
  <si>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</si>
  <si>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</si>
  <si>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</si>
  <si>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</si>
  <si>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</si>
  <si>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</si>
  <si>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</si>
  <si>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</si>
  <si>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</si>
  <si>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</si>
  <si>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</si>
  <si>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</si>
  <si>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</si>
  <si>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</si>
  <si>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</si>
  <si>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</si>
  <si>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</si>
  <si>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</si>
  <si>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</si>
  <si>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</si>
  <si>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</si>
  <si>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</si>
  <si>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</si>
  <si>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</si>
  <si>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</si>
  <si>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</si>
  <si>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</si>
  <si>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</si>
  <si>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</si>
  <si>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</si>
  <si>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</si>
  <si>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</si>
  <si>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</si>
  <si>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</si>
  <si>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</si>
  <si>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</si>
  <si>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</si>
  <si>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</si>
  <si>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</si>
  <si>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</si>
  <si>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</si>
  <si>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</si>
  <si>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</si>
  <si>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</si>
  <si>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</si>
  <si>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</si>
  <si>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</si>
  <si>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</si>
  <si>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</si>
  <si>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</si>
  <si>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</si>
  <si>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</si>
  <si>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</si>
  <si>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</si>
  <si>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</si>
  <si>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</si>
  <si>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</si>
  <si>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</si>
  <si>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</si>
  <si>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</si>
  <si>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</si>
  <si>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</si>
  <si>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</si>
  <si>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</si>
  <si>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</si>
  <si>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</si>
  <si>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</si>
  <si>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</si>
  <si>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</si>
  <si>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</si>
  <si>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</si>
  <si>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</si>
  <si>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</si>
  <si>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</si>
  <si>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</si>
  <si>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</si>
  <si>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</si>
  <si>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</si>
  <si>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</si>
  <si>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</si>
  <si>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</si>
  <si>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</si>
  <si>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</si>
  <si>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</si>
  <si>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</si>
  <si>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</si>
  <si>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</si>
  <si>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</si>
  <si>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</si>
  <si>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</si>
  <si>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</si>
  <si>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</si>
  <si>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</si>
  <si>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</si>
  <si>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</si>
  <si>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</si>
  <si>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</si>
  <si>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</si>
  <si>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</si>
  <si>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</si>
  <si>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</si>
  <si>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</si>
  <si>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</si>
  <si>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</si>
  <si>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</si>
  <si>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</si>
  <si>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</si>
  <si>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</si>
  <si>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</si>
  <si>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</si>
  <si>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</si>
  <si>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</si>
  <si>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</si>
  <si>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</si>
  <si>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</si>
  <si>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</si>
  <si>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</si>
  <si>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</si>
  <si>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</si>
  <si>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</si>
  <si>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</si>
  <si>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</si>
  <si>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</si>
  <si>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</si>
  <si>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</si>
  <si>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</si>
  <si>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</si>
  <si>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</si>
  <si>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</si>
  <si>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</si>
  <si>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</si>
  <si>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</si>
  <si>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</si>
  <si>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</si>
  <si>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</si>
  <si>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</si>
  <si>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</si>
  <si>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</si>
  <si>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</si>
  <si>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</si>
  <si>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</si>
  <si>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</si>
  <si>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</si>
  <si>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</si>
  <si>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</si>
  <si>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</si>
  <si>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</si>
  <si>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</si>
  <si>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</si>
  <si>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</si>
  <si>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</si>
  <si>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</si>
  <si>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</si>
  <si>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</si>
  <si>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</si>
  <si>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</si>
  <si>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</si>
  <si>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</si>
  <si>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</si>
  <si>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</si>
  <si>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</si>
  <si>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</si>
  <si>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</si>
  <si>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</si>
  <si>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</si>
  <si>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</si>
  <si>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</si>
  <si>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</si>
  <si>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</si>
  <si>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</si>
  <si>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</si>
  <si>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</si>
  <si>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</si>
  <si>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</si>
  <si>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</si>
  <si>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</si>
  <si>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</si>
  <si>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</si>
  <si>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</si>
  <si>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</si>
  <si>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</si>
  <si>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</si>
  <si>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</si>
  <si>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</si>
  <si>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</si>
  <si>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</si>
  <si>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</si>
  <si>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</si>
  <si>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</si>
  <si>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</si>
  <si>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</si>
  <si>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</si>
  <si>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</si>
  <si>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</si>
  <si>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</si>
  <si>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</si>
  <si>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</si>
  <si>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</si>
  <si>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</si>
  <si>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</si>
  <si>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</si>
  <si>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</si>
  <si>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</si>
  <si>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</si>
  <si>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</si>
  <si>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</si>
  <si>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</si>
  <si>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</si>
  <si>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</si>
  <si>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</si>
  <si>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</si>
  <si>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</si>
  <si>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</si>
  <si>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</si>
  <si>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</si>
  <si>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</si>
  <si>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</si>
  <si>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</si>
  <si>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</si>
  <si>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</si>
  <si>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</si>
  <si>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</si>
  <si>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</si>
  <si>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</si>
  <si>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</si>
  <si>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</si>
  <si>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</si>
  <si>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</si>
  <si>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</si>
  <si>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</si>
  <si>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</si>
  <si>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</si>
  <si>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</si>
  <si>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</si>
  <si>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</si>
  <si>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</si>
  <si>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</si>
  <si>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</si>
  <si>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</si>
  <si>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</si>
  <si>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</si>
  <si>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</si>
  <si>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</si>
  <si>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</si>
  <si>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</si>
  <si>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</si>
  <si>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</si>
  <si>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</si>
  <si>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</si>
  <si>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</si>
  <si>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</si>
  <si>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</si>
  <si>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</si>
  <si>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</si>
  <si>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</si>
  <si>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</si>
  <si>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</si>
  <si>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</si>
  <si>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</si>
  <si>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</si>
  <si>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</si>
  <si>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</si>
  <si>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</si>
  <si>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</si>
  <si>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</si>
  <si>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</si>
  <si>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</si>
  <si>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</si>
  <si>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</si>
  <si>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</si>
  <si>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</si>
  <si>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</si>
  <si>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</si>
  <si>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</si>
  <si>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</si>
  <si>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</si>
  <si>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</si>
  <si>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</si>
  <si>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</si>
  <si>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</si>
  <si>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</si>
  <si>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</si>
  <si>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</si>
  <si>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</si>
  <si>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</si>
  <si>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</si>
  <si>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</si>
  <si>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</si>
  <si>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</si>
  <si>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</si>
  <si>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</si>
  <si>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</si>
  <si>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</si>
  <si>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</si>
  <si>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</si>
  <si>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</si>
  <si>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</si>
  <si>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</si>
  <si>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</si>
  <si>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</si>
  <si>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</si>
  <si>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</si>
  <si>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</si>
  <si>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</si>
  <si>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</si>
  <si>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</si>
  <si>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</si>
  <si>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</si>
  <si>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</si>
  <si>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</si>
  <si>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</si>
  <si>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</si>
  <si>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</si>
  <si>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</si>
  <si>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</si>
  <si>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</si>
  <si>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</si>
  <si>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</si>
  <si>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</si>
  <si>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</si>
  <si>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</si>
  <si>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</si>
  <si>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</si>
  <si>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</si>
  <si>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</si>
  <si>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</si>
  <si>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</si>
  <si>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</si>
  <si>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</si>
  <si>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</si>
  <si>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</si>
  <si>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</si>
  <si>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</si>
  <si>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</si>
  <si>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</si>
  <si>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</si>
  <si>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</si>
  <si>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</si>
  <si>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</si>
  <si>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</si>
  <si>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</si>
  <si>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</si>
  <si>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</si>
  <si>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</si>
  <si>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</si>
  <si>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</si>
  <si>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</si>
  <si>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</si>
  <si>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</si>
  <si>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</si>
  <si>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</si>
  <si>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</si>
  <si>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</si>
  <si>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</si>
  <si>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</si>
  <si>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</si>
  <si>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</si>
  <si>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</si>
  <si>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</si>
  <si>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</si>
  <si>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</si>
  <si>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</si>
  <si>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</si>
  <si>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</si>
  <si>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</si>
  <si>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</si>
  <si>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</si>
  <si>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</si>
  <si>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</si>
  <si>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</si>
  <si>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</si>
  <si>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</si>
  <si>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</si>
  <si>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</si>
  <si>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</si>
  <si>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</si>
  <si>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</si>
  <si>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</si>
  <si>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</si>
  <si>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</si>
  <si>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</si>
  <si>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</si>
  <si>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</si>
  <si>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</si>
  <si>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</si>
  <si>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</si>
  <si>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</si>
  <si>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</si>
  <si>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</si>
  <si>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</si>
  <si>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</si>
  <si>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</si>
  <si>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</si>
  <si>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</si>
  <si>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</si>
  <si>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</si>
  <si>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</si>
  <si>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</si>
  <si>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</si>
  <si>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</si>
  <si>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</si>
  <si>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</si>
  <si>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</si>
  <si>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</si>
  <si>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</si>
  <si>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</si>
  <si>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</si>
  <si>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</si>
  <si>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</si>
  <si>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</si>
  <si>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</si>
  <si>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</si>
  <si>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</si>
  <si>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</si>
  <si>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</si>
  <si>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</si>
  <si>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</si>
  <si>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</si>
  <si>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</si>
  <si>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</si>
  <si>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</si>
  <si>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</si>
  <si>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</si>
  <si>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</si>
  <si>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</si>
  <si>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</si>
  <si>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</si>
  <si>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</si>
  <si>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</si>
  <si>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</si>
  <si>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</si>
  <si>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</si>
  <si>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</si>
  <si>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</si>
  <si>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</si>
  <si>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</si>
  <si>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</si>
  <si>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</si>
  <si>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</si>
  <si>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</si>
  <si>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</si>
  <si>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</si>
  <si>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</si>
  <si>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</si>
  <si>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</si>
  <si>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</si>
  <si>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</si>
  <si>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</si>
  <si>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</si>
  <si>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</si>
  <si>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</si>
  <si>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</si>
  <si>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</si>
  <si>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</si>
  <si>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</si>
  <si>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</si>
  <si>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</si>
  <si>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</si>
  <si>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</si>
  <si>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</si>
  <si>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</si>
  <si>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</si>
  <si>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</si>
  <si>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</si>
  <si>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</si>
  <si>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</si>
  <si>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</si>
  <si>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</si>
  <si>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</si>
  <si>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</si>
  <si>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</si>
  <si>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</si>
  <si>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</si>
  <si>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</si>
  <si>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</si>
  <si>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</si>
  <si>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MIDDLESEX HEALTH SYSTEM,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</si>
  <si>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</si>
  <si>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</si>
  <si>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</si>
  <si>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</si>
  <si>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</si>
  <si>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</si>
  <si>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</si>
  <si>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</si>
  <si>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</si>
  <si>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</si>
  <si>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</si>
  <si>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</si>
  <si>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</si>
  <si>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</si>
  <si>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</si>
  <si>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</si>
  <si>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</si>
  <si>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</si>
  <si>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</si>
  <si>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</si>
  <si>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</si>
  <si>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</si>
  <si>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</si>
  <si>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</si>
  <si>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</si>
  <si>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</si>
  <si>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</si>
  <si>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</si>
  <si>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</si>
  <si>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</si>
  <si>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</si>
  <si>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</si>
  <si>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</si>
  <si>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</si>
  <si>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</si>
  <si>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</si>
  <si>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</si>
  <si>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</si>
  <si>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</si>
  <si>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</si>
  <si>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</si>
  <si>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</si>
  <si>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</si>
  <si>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</si>
  <si>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</si>
  <si>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</si>
  <si>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</si>
  <si>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</si>
  <si>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</si>
  <si>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</si>
  <si>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</si>
  <si>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</si>
  <si>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</si>
  <si>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</si>
  <si>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</si>
  <si>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</si>
  <si>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</si>
  <si>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</si>
  <si>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</si>
  <si>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</si>
  <si>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</si>
  <si>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</si>
  <si>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</si>
  <si>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</si>
  <si>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</si>
  <si>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</si>
  <si>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</si>
  <si>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</si>
  <si>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</si>
  <si>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</si>
  <si>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</si>
  <si>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</si>
  <si>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</si>
  <si>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</si>
  <si>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</si>
  <si>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</si>
  <si>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</si>
  <si>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</si>
  <si>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</si>
  <si>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</si>
  <si>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</si>
  <si>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</si>
  <si>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</si>
  <si>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</si>
  <si>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</si>
  <si>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</si>
  <si>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</si>
  <si>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</si>
  <si>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</si>
  <si>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</si>
  <si>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</si>
  <si>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</si>
  <si>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</si>
  <si>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</si>
  <si>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</si>
  <si>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</si>
  <si>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</si>
  <si>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</si>
  <si>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</si>
  <si>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</si>
  <si>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</si>
  <si>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</si>
  <si>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</si>
  <si>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</si>
  <si>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</si>
  <si>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</si>
  <si>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</si>
  <si>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</si>
  <si>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MH OP Center Saybrook Road</t>
  </si>
  <si>
    <t>Middlesex Hospital</t>
  </si>
  <si>
    <t xml:space="preserve">      Total Outpatient Surgical Procedures(A)     </t>
  </si>
  <si>
    <t>MH Shoreline Oscopy Room</t>
  </si>
  <si>
    <t xml:space="preserve">      Total Outpatient Endoscopy Procedures(B)     </t>
  </si>
  <si>
    <t>Outpatient Hospital Emergency Room Visits</t>
  </si>
  <si>
    <t>MH Marlborough ED</t>
  </si>
  <si>
    <t>MH Shoreline ED</t>
  </si>
  <si>
    <t>Middlesex Hospital ED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</si>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</sst>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50099000</v>
      </c>
      <c r="D13" s="23">
        <v>56459000</v>
      </c>
      <c r="E13" s="23">
        <f t="shared" ref="E13:E22" si="0">D13-C13</f>
        <v>6360000</v>
      </c>
      <c r="F13" s="24">
        <f t="shared" ref="F13:F22" si="1">IF(C13=0,0,E13/C13)</f>
        <v>0.12694864168945488</v>
      </c>
    </row>
    <row r="14" spans="1:8" ht="24" customHeight="1" x14ac:dyDescent="0.2">
      <c r="A14" s="21">
        <v>2</v>
      </c>
      <c r="B14" s="22" t="s">
        <v>17</v>
      </c>
      <c r="C14" s="23">
        <v>27573000</v>
      </c>
      <c r="D14" s="23">
        <v>10647000</v>
      </c>
      <c r="E14" s="23">
        <f t="shared" si="0"/>
        <v>-16926000</v>
      </c>
      <c r="F14" s="24">
        <f t="shared" si="1"/>
        <v>-0.61386138613861385</v>
      </c>
    </row>
    <row r="15" spans="1:8" ht="32.25" customHeight="1" x14ac:dyDescent="0.2">
      <c r="A15" s="21">
        <v>3</v>
      </c>
      <c r="B15" s="22" t="s">
        <v>18</v>
      </c>
      <c r="C15" s="23">
        <v>38248000</v>
      </c>
      <c r="D15" s="23">
        <v>42961000</v>
      </c>
      <c r="E15" s="23">
        <f t="shared" si="0"/>
        <v>4713000</v>
      </c>
      <c r="F15" s="24">
        <f t="shared" si="1"/>
        <v>0.12322212926166073</v>
      </c>
    </row>
    <row r="16" spans="1:8" ht="24" customHeight="1" x14ac:dyDescent="0.2">
      <c r="A16" s="21">
        <v>4</v>
      </c>
      <c r="B16" s="22" t="s">
        <v>19</v>
      </c>
      <c r="C16" s="23">
        <v>4213000</v>
      </c>
      <c r="D16" s="23">
        <v>4082000</v>
      </c>
      <c r="E16" s="23">
        <f t="shared" si="0"/>
        <v>-131000</v>
      </c>
      <c r="F16" s="24">
        <f t="shared" si="1"/>
        <v>-3.1094232138618561E-2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334000</v>
      </c>
      <c r="D18" s="23">
        <v>0</v>
      </c>
      <c r="E18" s="23">
        <f t="shared" si="0"/>
        <v>-334000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970000</v>
      </c>
      <c r="D19" s="23">
        <v>1436000</v>
      </c>
      <c r="E19" s="23">
        <f t="shared" si="0"/>
        <v>466000</v>
      </c>
      <c r="F19" s="24">
        <f t="shared" si="1"/>
        <v>0.48041237113402063</v>
      </c>
    </row>
    <row r="20" spans="1:11" ht="24" customHeight="1" x14ac:dyDescent="0.2">
      <c r="A20" s="21">
        <v>8</v>
      </c>
      <c r="B20" s="22" t="s">
        <v>23</v>
      </c>
      <c r="C20" s="23">
        <v>1439000</v>
      </c>
      <c r="D20" s="23">
        <v>2029000</v>
      </c>
      <c r="E20" s="23">
        <f t="shared" si="0"/>
        <v>590000</v>
      </c>
      <c r="F20" s="24">
        <f t="shared" si="1"/>
        <v>0.4100069492703266</v>
      </c>
    </row>
    <row r="21" spans="1:11" ht="24" customHeight="1" x14ac:dyDescent="0.2">
      <c r="A21" s="21">
        <v>9</v>
      </c>
      <c r="B21" s="22" t="s">
        <v>24</v>
      </c>
      <c r="C21" s="23">
        <v>1462000</v>
      </c>
      <c r="D21" s="23">
        <v>2852000</v>
      </c>
      <c r="E21" s="23">
        <f t="shared" si="0"/>
        <v>1390000</v>
      </c>
      <c r="F21" s="24">
        <f t="shared" si="1"/>
        <v>0.9507523939808481</v>
      </c>
    </row>
    <row r="22" spans="1:11" ht="24" customHeight="1" x14ac:dyDescent="0.25">
      <c r="A22" s="25"/>
      <c r="B22" s="26" t="s">
        <v>25</v>
      </c>
      <c r="C22" s="27">
        <f>SUM(C13:C21)</f>
        <v>124338000</v>
      </c>
      <c r="D22" s="27">
        <f>SUM(D13:D21)</f>
        <v>120466000</v>
      </c>
      <c r="E22" s="27">
        <f t="shared" si="0"/>
        <v>-3872000</v>
      </c>
      <c r="F22" s="28">
        <f t="shared" si="1"/>
        <v>-3.1140922324631247E-2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8694000</v>
      </c>
      <c r="D25" s="23">
        <v>8120000</v>
      </c>
      <c r="E25" s="23">
        <f>D25-C25</f>
        <v>-574000</v>
      </c>
      <c r="F25" s="24">
        <f>IF(C25=0,0,E25/C25)</f>
        <v>-6.602254428341385E-2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79978000</v>
      </c>
      <c r="D26" s="23">
        <v>80737000</v>
      </c>
      <c r="E26" s="23">
        <f>D26-C26</f>
        <v>759000</v>
      </c>
      <c r="F26" s="24">
        <f>IF(C26=0,0,E26/C26)</f>
        <v>9.4901097801895519E-3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13377000</v>
      </c>
      <c r="D28" s="23">
        <v>13547000</v>
      </c>
      <c r="E28" s="23">
        <f>D28-C28</f>
        <v>170000</v>
      </c>
      <c r="F28" s="24">
        <f>IF(C28=0,0,E28/C28)</f>
        <v>1.2708380055318831E-2</v>
      </c>
    </row>
    <row r="29" spans="1:11" ht="24" customHeight="1" x14ac:dyDescent="0.25">
      <c r="A29" s="25"/>
      <c r="B29" s="26" t="s">
        <v>32</v>
      </c>
      <c r="C29" s="27">
        <f>SUM(C25:C28)</f>
        <v>102049000</v>
      </c>
      <c r="D29" s="27">
        <f>SUM(D25:D28)</f>
        <v>102404000</v>
      </c>
      <c r="E29" s="27">
        <f>D29-C29</f>
        <v>355000</v>
      </c>
      <c r="F29" s="28">
        <f>IF(C29=0,0,E29/C29)</f>
        <v>3.4787210065752726E-3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3640000</v>
      </c>
      <c r="D32" s="23">
        <v>2019000</v>
      </c>
      <c r="E32" s="23">
        <f>D32-C32</f>
        <v>-1621000</v>
      </c>
      <c r="F32" s="24">
        <f>IF(C32=0,0,E32/C32)</f>
        <v>-0.44532967032967036</v>
      </c>
    </row>
    <row r="33" spans="1:8" ht="24" customHeight="1" x14ac:dyDescent="0.2">
      <c r="A33" s="21">
        <v>7</v>
      </c>
      <c r="B33" s="22" t="s">
        <v>35</v>
      </c>
      <c r="C33" s="23">
        <v>3563000</v>
      </c>
      <c r="D33" s="23">
        <v>2995000</v>
      </c>
      <c r="E33" s="23">
        <f>D33-C33</f>
        <v>-568000</v>
      </c>
      <c r="F33" s="24">
        <f>IF(C33=0,0,E33/C33)</f>
        <v>-0.15941622228459162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391481000</v>
      </c>
      <c r="D36" s="23">
        <v>411695000</v>
      </c>
      <c r="E36" s="23">
        <f>D36-C36</f>
        <v>20214000</v>
      </c>
      <c r="F36" s="24">
        <f>IF(C36=0,0,E36/C36)</f>
        <v>5.1634689806146404E-2</v>
      </c>
    </row>
    <row r="37" spans="1:8" ht="24" customHeight="1" x14ac:dyDescent="0.2">
      <c r="A37" s="21">
        <v>2</v>
      </c>
      <c r="B37" s="22" t="s">
        <v>39</v>
      </c>
      <c r="C37" s="23">
        <v>236911000</v>
      </c>
      <c r="D37" s="23">
        <v>258275000</v>
      </c>
      <c r="E37" s="23">
        <f>D37-C37</f>
        <v>21364000</v>
      </c>
      <c r="F37" s="24">
        <f>IF(C37=0,0,E37/C37)</f>
        <v>9.0177323973981788E-2</v>
      </c>
    </row>
    <row r="38" spans="1:8" ht="24" customHeight="1" x14ac:dyDescent="0.25">
      <c r="A38" s="25"/>
      <c r="B38" s="26" t="s">
        <v>40</v>
      </c>
      <c r="C38" s="27">
        <f>C36-C37</f>
        <v>154570000</v>
      </c>
      <c r="D38" s="27">
        <f>D36-D37</f>
        <v>153420000</v>
      </c>
      <c r="E38" s="27">
        <f>D38-C38</f>
        <v>-1150000</v>
      </c>
      <c r="F38" s="28">
        <f>IF(C38=0,0,E38/C38)</f>
        <v>-7.4399948243514267E-3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4148000</v>
      </c>
      <c r="D40" s="23">
        <v>21322000</v>
      </c>
      <c r="E40" s="23">
        <f>D40-C40</f>
        <v>17174000</v>
      </c>
      <c r="F40" s="24">
        <f>IF(C40=0,0,E40/C40)</f>
        <v>4.1403085824493733</v>
      </c>
    </row>
    <row r="41" spans="1:8" ht="24" customHeight="1" x14ac:dyDescent="0.25">
      <c r="A41" s="25"/>
      <c r="B41" s="26" t="s">
        <v>42</v>
      </c>
      <c r="C41" s="27">
        <f>+C38+C40</f>
        <v>158718000</v>
      </c>
      <c r="D41" s="27">
        <f>+D38+D40</f>
        <v>174742000</v>
      </c>
      <c r="E41" s="27">
        <f>D41-C41</f>
        <v>16024000</v>
      </c>
      <c r="F41" s="28">
        <f>IF(C41=0,0,E41/C41)</f>
        <v>0.1009589334543026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392308000</v>
      </c>
      <c r="D43" s="27">
        <f>D22+D29+D31+D32+D33+D41</f>
        <v>402626000</v>
      </c>
      <c r="E43" s="27">
        <f>D43-C43</f>
        <v>10318000</v>
      </c>
      <c r="F43" s="28">
        <f>IF(C43=0,0,E43/C43)</f>
        <v>2.6300763685675542E-2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12669000</v>
      </c>
      <c r="D49" s="23">
        <v>18782000</v>
      </c>
      <c r="E49" s="23">
        <f t="shared" ref="E49:E56" si="2">D49-C49</f>
        <v>6113000</v>
      </c>
      <c r="F49" s="24">
        <f t="shared" ref="F49:F56" si="3">IF(C49=0,0,E49/C49)</f>
        <v>0.48251637856184387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27456000</v>
      </c>
      <c r="D50" s="23">
        <v>29606000</v>
      </c>
      <c r="E50" s="23">
        <f t="shared" si="2"/>
        <v>2150000</v>
      </c>
      <c r="F50" s="24">
        <f t="shared" si="3"/>
        <v>7.8307109557109553E-2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207000</v>
      </c>
      <c r="E51" s="23">
        <f t="shared" si="2"/>
        <v>207000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2785000</v>
      </c>
      <c r="D53" s="23">
        <v>3060000</v>
      </c>
      <c r="E53" s="23">
        <f t="shared" si="2"/>
        <v>275000</v>
      </c>
      <c r="F53" s="24">
        <f t="shared" si="3"/>
        <v>9.8743267504488336E-2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42000</v>
      </c>
      <c r="D54" s="23">
        <v>63000</v>
      </c>
      <c r="E54" s="23">
        <f t="shared" si="2"/>
        <v>21000</v>
      </c>
      <c r="F54" s="24">
        <f t="shared" si="3"/>
        <v>0.5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13195000</v>
      </c>
      <c r="D55" s="23">
        <v>9399000</v>
      </c>
      <c r="E55" s="23">
        <f t="shared" si="2"/>
        <v>-3796000</v>
      </c>
      <c r="F55" s="24">
        <f t="shared" si="3"/>
        <v>-0.28768472906403941</v>
      </c>
    </row>
    <row r="56" spans="1:6" ht="24" customHeight="1" x14ac:dyDescent="0.25">
      <c r="A56" s="25"/>
      <c r="B56" s="26" t="s">
        <v>54</v>
      </c>
      <c r="C56" s="27">
        <f>SUM(C49:C55)</f>
        <v>56147000</v>
      </c>
      <c r="D56" s="27">
        <f>SUM(D49:D55)</f>
        <v>61117000</v>
      </c>
      <c r="E56" s="27">
        <f t="shared" si="2"/>
        <v>4970000</v>
      </c>
      <c r="F56" s="28">
        <f t="shared" si="3"/>
        <v>8.8517641191871332E-2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68327000</v>
      </c>
      <c r="D59" s="23">
        <v>66442000</v>
      </c>
      <c r="E59" s="23">
        <f>D59-C59</f>
        <v>-1885000</v>
      </c>
      <c r="F59" s="24">
        <f>IF(C59=0,0,E59/C59)</f>
        <v>-2.7587922783087214E-2</v>
      </c>
    </row>
    <row r="60" spans="1:6" ht="24" customHeight="1" x14ac:dyDescent="0.2">
      <c r="A60" s="21">
        <v>2</v>
      </c>
      <c r="B60" s="22" t="s">
        <v>57</v>
      </c>
      <c r="C60" s="23">
        <v>775000</v>
      </c>
      <c r="D60" s="23">
        <v>89000</v>
      </c>
      <c r="E60" s="23">
        <f>D60-C60</f>
        <v>-686000</v>
      </c>
      <c r="F60" s="24">
        <f>IF(C60=0,0,E60/C60)</f>
        <v>-0.88516129032258062</v>
      </c>
    </row>
    <row r="61" spans="1:6" ht="24" customHeight="1" x14ac:dyDescent="0.25">
      <c r="A61" s="25"/>
      <c r="B61" s="26" t="s">
        <v>58</v>
      </c>
      <c r="C61" s="27">
        <f>SUM(C59:C60)</f>
        <v>69102000</v>
      </c>
      <c r="D61" s="27">
        <f>SUM(D59:D60)</f>
        <v>66531000</v>
      </c>
      <c r="E61" s="27">
        <f>D61-C61</f>
        <v>-2571000</v>
      </c>
      <c r="F61" s="28">
        <f>IF(C61=0,0,E61/C61)</f>
        <v>-3.7205869584093082E-2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103987000</v>
      </c>
      <c r="D63" s="23">
        <v>117232000</v>
      </c>
      <c r="E63" s="23">
        <f>D63-C63</f>
        <v>13245000</v>
      </c>
      <c r="F63" s="24">
        <f>IF(C63=0,0,E63/C63)</f>
        <v>0.12737169069210574</v>
      </c>
    </row>
    <row r="64" spans="1:6" ht="24" customHeight="1" x14ac:dyDescent="0.2">
      <c r="A64" s="21">
        <v>4</v>
      </c>
      <c r="B64" s="22" t="s">
        <v>60</v>
      </c>
      <c r="C64" s="23">
        <v>18262000</v>
      </c>
      <c r="D64" s="23">
        <v>19674000</v>
      </c>
      <c r="E64" s="23">
        <f>D64-C64</f>
        <v>1412000</v>
      </c>
      <c r="F64" s="24">
        <f>IF(C64=0,0,E64/C64)</f>
        <v>7.7319023108093313E-2</v>
      </c>
    </row>
    <row r="65" spans="1:6" ht="24" customHeight="1" x14ac:dyDescent="0.25">
      <c r="A65" s="25"/>
      <c r="B65" s="26" t="s">
        <v>61</v>
      </c>
      <c r="C65" s="27">
        <f>SUM(C61:C64)</f>
        <v>191351000</v>
      </c>
      <c r="D65" s="27">
        <f>SUM(D61:D64)</f>
        <v>203437000</v>
      </c>
      <c r="E65" s="27">
        <f>D65-C65</f>
        <v>12086000</v>
      </c>
      <c r="F65" s="28">
        <f>IF(C65=0,0,E65/C65)</f>
        <v>6.3161415409378571E-2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131224000</v>
      </c>
      <c r="D70" s="23">
        <v>124933000</v>
      </c>
      <c r="E70" s="23">
        <f>D70-C70</f>
        <v>-6291000</v>
      </c>
      <c r="F70" s="24">
        <f>IF(C70=0,0,E70/C70)</f>
        <v>-4.7940925440468206E-2</v>
      </c>
    </row>
    <row r="71" spans="1:6" ht="24" customHeight="1" x14ac:dyDescent="0.2">
      <c r="A71" s="21">
        <v>2</v>
      </c>
      <c r="B71" s="22" t="s">
        <v>65</v>
      </c>
      <c r="C71" s="23">
        <v>6782000</v>
      </c>
      <c r="D71" s="23">
        <v>6259000</v>
      </c>
      <c r="E71" s="23">
        <f>D71-C71</f>
        <v>-523000</v>
      </c>
      <c r="F71" s="24">
        <f>IF(C71=0,0,E71/C71)</f>
        <v>-7.7115895016219405E-2</v>
      </c>
    </row>
    <row r="72" spans="1:6" ht="24" customHeight="1" x14ac:dyDescent="0.2">
      <c r="A72" s="21">
        <v>3</v>
      </c>
      <c r="B72" s="22" t="s">
        <v>66</v>
      </c>
      <c r="C72" s="23">
        <v>6804000</v>
      </c>
      <c r="D72" s="23">
        <v>6880000</v>
      </c>
      <c r="E72" s="23">
        <f>D72-C72</f>
        <v>76000</v>
      </c>
      <c r="F72" s="24">
        <f>IF(C72=0,0,E72/C72)</f>
        <v>1.1169900058788948E-2</v>
      </c>
    </row>
    <row r="73" spans="1:6" ht="24" customHeight="1" x14ac:dyDescent="0.25">
      <c r="A73" s="21"/>
      <c r="B73" s="26" t="s">
        <v>67</v>
      </c>
      <c r="C73" s="27">
        <f>SUM(C70:C72)</f>
        <v>144810000</v>
      </c>
      <c r="D73" s="27">
        <f>SUM(D70:D72)</f>
        <v>138072000</v>
      </c>
      <c r="E73" s="27">
        <f>D73-C73</f>
        <v>-6738000</v>
      </c>
      <c r="F73" s="28">
        <f>IF(C73=0,0,E73/C73)</f>
        <v>-4.6529935777915893E-2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392308000</v>
      </c>
      <c r="D75" s="27">
        <f>D56+D65+D67+D73</f>
        <v>402626000</v>
      </c>
      <c r="E75" s="27">
        <f>D75-C75</f>
        <v>10318000</v>
      </c>
      <c r="F75" s="28">
        <f>IF(C75=0,0,E75/C75)</f>
        <v>2.6300763685675542E-2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330980000</v>
      </c>
      <c r="D11" s="51">
        <v>337751000</v>
      </c>
      <c r="E11" s="51">
        <v>345032000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9513000</v>
      </c>
      <c r="D12" s="49">
        <v>9955000</v>
      </c>
      <c r="E12" s="49">
        <v>14403000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340493000</v>
      </c>
      <c r="D13" s="51">
        <f>+D11+D12</f>
        <v>347706000</v>
      </c>
      <c r="E13" s="51">
        <f>+E11+E12</f>
        <v>359435000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321164000</v>
      </c>
      <c r="D14" s="49">
        <v>328329000</v>
      </c>
      <c r="E14" s="49">
        <v>344623000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19329000</v>
      </c>
      <c r="D15" s="51">
        <f>+D13-D14</f>
        <v>19377000</v>
      </c>
      <c r="E15" s="51">
        <f>+E13-E14</f>
        <v>14812000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-2239000</v>
      </c>
      <c r="D16" s="49">
        <v>2815000</v>
      </c>
      <c r="E16" s="49">
        <v>5151000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17090000</v>
      </c>
      <c r="D17" s="51">
        <f>D15+D16</f>
        <v>22192000</v>
      </c>
      <c r="E17" s="51">
        <f>E15+E16</f>
        <v>19963000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5.7143448414505076E-2</v>
      </c>
      <c r="D20" s="169">
        <f>IF(+D27=0,0,+D24/+D27)</f>
        <v>5.5280568068674915E-2</v>
      </c>
      <c r="E20" s="169">
        <f>IF(+E27=0,0,+E24/+E27)</f>
        <v>4.062690284322492E-2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-6.6192860986122853E-3</v>
      </c>
      <c r="D21" s="169">
        <f>IF(+D27=0,0,+D26/+D27)</f>
        <v>8.0309025707446923E-3</v>
      </c>
      <c r="E21" s="169">
        <f>IF(+E27=0,0,+E26/+E27)</f>
        <v>1.4128353804040747E-2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5.0524162315892789E-2</v>
      </c>
      <c r="D22" s="169">
        <f>IF(+D27=0,0,+D28/+D27)</f>
        <v>6.3311470639419609E-2</v>
      </c>
      <c r="E22" s="169">
        <f>IF(+E27=0,0,+E28/+E27)</f>
        <v>5.4755256647265667E-2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19329000</v>
      </c>
      <c r="D24" s="51">
        <f>+D15</f>
        <v>19377000</v>
      </c>
      <c r="E24" s="51">
        <f>+E15</f>
        <v>14812000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340493000</v>
      </c>
      <c r="D25" s="51">
        <f>+D13</f>
        <v>347706000</v>
      </c>
      <c r="E25" s="51">
        <f>+E13</f>
        <v>359435000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-2239000</v>
      </c>
      <c r="D26" s="51">
        <f>+D16</f>
        <v>2815000</v>
      </c>
      <c r="E26" s="51">
        <f>+E16</f>
        <v>5151000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338254000</v>
      </c>
      <c r="D27" s="51">
        <f>SUM(D25:D26)</f>
        <v>350521000</v>
      </c>
      <c r="E27" s="51">
        <f>SUM(E25:E26)</f>
        <v>364586000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17090000</v>
      </c>
      <c r="D28" s="51">
        <f>+D17</f>
        <v>22192000</v>
      </c>
      <c r="E28" s="51">
        <f>+E17</f>
        <v>19963000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128787000</v>
      </c>
      <c r="D31" s="51">
        <v>134810000</v>
      </c>
      <c r="E31" s="52">
        <v>130362000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141981000</v>
      </c>
      <c r="D32" s="51">
        <v>148452000</v>
      </c>
      <c r="E32" s="51">
        <v>143545000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-37435000</v>
      </c>
      <c r="D33" s="51">
        <f>+D32-C32</f>
        <v>6471000</v>
      </c>
      <c r="E33" s="51">
        <f>+E32-D32</f>
        <v>-4907000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0.7913</v>
      </c>
      <c r="D34" s="171">
        <f>IF(C32=0,0,+D33/C32)</f>
        <v>4.5576520802079148E-2</v>
      </c>
      <c r="E34" s="171">
        <f>IF(D32=0,0,+E33/D32)</f>
        <v>-3.3054455312154771E-2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2.1565374837683122</v>
      </c>
      <c r="D38" s="269">
        <f>IF(+D40=0,0,+D39/+D40)</f>
        <v>2.2053039281358959</v>
      </c>
      <c r="E38" s="269">
        <f>IF(+E40=0,0,+E39/+E40)</f>
        <v>1.9734092166627144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117913000</v>
      </c>
      <c r="D39" s="270">
        <v>128395000</v>
      </c>
      <c r="E39" s="270">
        <v>124828000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54677000</v>
      </c>
      <c r="D40" s="270">
        <v>58221000</v>
      </c>
      <c r="E40" s="270">
        <v>63255000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84.26453880624365</v>
      </c>
      <c r="D42" s="271">
        <f>IF((D48/365)=0,0,+D45/(D48/365))</f>
        <v>95.832498359970899</v>
      </c>
      <c r="E42" s="271">
        <f>IF((E48/365)=0,0,+E45/(E48/365))</f>
        <v>79.521462338089634</v>
      </c>
    </row>
    <row r="43" spans="1:14" ht="24" customHeight="1" x14ac:dyDescent="0.2">
      <c r="A43" s="17">
        <v>5</v>
      </c>
      <c r="B43" s="188" t="s">
        <v>16</v>
      </c>
      <c r="C43" s="272">
        <v>50111000</v>
      </c>
      <c r="D43" s="272">
        <v>52873000</v>
      </c>
      <c r="E43" s="272">
        <v>59543000</v>
      </c>
    </row>
    <row r="44" spans="1:14" ht="24" customHeight="1" x14ac:dyDescent="0.2">
      <c r="A44" s="17">
        <v>6</v>
      </c>
      <c r="B44" s="273" t="s">
        <v>17</v>
      </c>
      <c r="C44" s="274">
        <v>19181000</v>
      </c>
      <c r="D44" s="274">
        <v>27573000</v>
      </c>
      <c r="E44" s="274">
        <v>10647000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69292000</v>
      </c>
      <c r="D45" s="270">
        <f>+D43+D44</f>
        <v>80446000</v>
      </c>
      <c r="E45" s="270">
        <f>+E43+E44</f>
        <v>70190000</v>
      </c>
    </row>
    <row r="46" spans="1:14" ht="24" customHeight="1" x14ac:dyDescent="0.2">
      <c r="A46" s="17">
        <v>8</v>
      </c>
      <c r="B46" s="45" t="s">
        <v>324</v>
      </c>
      <c r="C46" s="270">
        <f>+C14</f>
        <v>321164000</v>
      </c>
      <c r="D46" s="270">
        <f>+D14</f>
        <v>328329000</v>
      </c>
      <c r="E46" s="270">
        <f>+E14</f>
        <v>344623000</v>
      </c>
    </row>
    <row r="47" spans="1:14" ht="24" customHeight="1" x14ac:dyDescent="0.2">
      <c r="A47" s="17">
        <v>9</v>
      </c>
      <c r="B47" s="45" t="s">
        <v>347</v>
      </c>
      <c r="C47" s="270">
        <v>21019000</v>
      </c>
      <c r="D47" s="270">
        <v>21932000</v>
      </c>
      <c r="E47" s="270">
        <v>22454000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300145000</v>
      </c>
      <c r="D48" s="270">
        <f>+D46-D47</f>
        <v>306397000</v>
      </c>
      <c r="E48" s="270">
        <f>+E46-E47</f>
        <v>322169000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43.877636110943264</v>
      </c>
      <c r="D50" s="278">
        <f>IF((D55/365)=0,0,+D54/(D55/365))</f>
        <v>42.691094919037994</v>
      </c>
      <c r="E50" s="278">
        <f>IF((E55/365)=0,0,+E54/(E55/365))</f>
        <v>46.156052192260425</v>
      </c>
    </row>
    <row r="51" spans="1:5" ht="24" customHeight="1" x14ac:dyDescent="0.2">
      <c r="A51" s="17">
        <v>12</v>
      </c>
      <c r="B51" s="188" t="s">
        <v>350</v>
      </c>
      <c r="C51" s="279">
        <v>39854000</v>
      </c>
      <c r="D51" s="279">
        <v>39170000</v>
      </c>
      <c r="E51" s="279">
        <v>43838000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334000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66000</v>
      </c>
      <c r="D53" s="270">
        <v>0</v>
      </c>
      <c r="E53" s="270">
        <v>207000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39788000</v>
      </c>
      <c r="D54" s="280">
        <f>+D51+D52-D53</f>
        <v>39504000</v>
      </c>
      <c r="E54" s="280">
        <f>+E51+E52-E53</f>
        <v>43631000</v>
      </c>
    </row>
    <row r="55" spans="1:5" ht="24" customHeight="1" x14ac:dyDescent="0.2">
      <c r="A55" s="17">
        <v>16</v>
      </c>
      <c r="B55" s="45" t="s">
        <v>75</v>
      </c>
      <c r="C55" s="270">
        <f>+C11</f>
        <v>330980000</v>
      </c>
      <c r="D55" s="270">
        <f>+D11</f>
        <v>337751000</v>
      </c>
      <c r="E55" s="270">
        <f>+E11</f>
        <v>345032000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66.491545752886111</v>
      </c>
      <c r="D57" s="283">
        <f>IF((D61/365)=0,0,+D58/(D61/365))</f>
        <v>69.356635345646339</v>
      </c>
      <c r="E57" s="283">
        <f>IF((E61/365)=0,0,+E58/(E61/365))</f>
        <v>71.664483547454907</v>
      </c>
    </row>
    <row r="58" spans="1:5" ht="24" customHeight="1" x14ac:dyDescent="0.2">
      <c r="A58" s="17">
        <v>18</v>
      </c>
      <c r="B58" s="45" t="s">
        <v>54</v>
      </c>
      <c r="C58" s="281">
        <f>+C40</f>
        <v>54677000</v>
      </c>
      <c r="D58" s="281">
        <f>+D40</f>
        <v>58221000</v>
      </c>
      <c r="E58" s="281">
        <f>+E40</f>
        <v>63255000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321164000</v>
      </c>
      <c r="D59" s="281">
        <f t="shared" si="0"/>
        <v>328329000</v>
      </c>
      <c r="E59" s="281">
        <f t="shared" si="0"/>
        <v>344623000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21019000</v>
      </c>
      <c r="D60" s="176">
        <f t="shared" si="0"/>
        <v>21932000</v>
      </c>
      <c r="E60" s="176">
        <f t="shared" si="0"/>
        <v>22454000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300145000</v>
      </c>
      <c r="D61" s="281">
        <f>+D59-D60</f>
        <v>306397000</v>
      </c>
      <c r="E61" s="281">
        <f>+E59-E60</f>
        <v>322169000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36.631182984344527</v>
      </c>
      <c r="D65" s="284">
        <f>IF(D67=0,0,(D66/D67)*100)</f>
        <v>36.56831494883707</v>
      </c>
      <c r="E65" s="284">
        <f>IF(E67=0,0,(E66/E67)*100)</f>
        <v>34.445894904565591</v>
      </c>
    </row>
    <row r="66" spans="1:5" ht="24" customHeight="1" x14ac:dyDescent="0.2">
      <c r="A66" s="17">
        <v>2</v>
      </c>
      <c r="B66" s="45" t="s">
        <v>67</v>
      </c>
      <c r="C66" s="281">
        <f>+C32</f>
        <v>141981000</v>
      </c>
      <c r="D66" s="281">
        <f>+D32</f>
        <v>148452000</v>
      </c>
      <c r="E66" s="281">
        <f>+E32</f>
        <v>143545000</v>
      </c>
    </row>
    <row r="67" spans="1:5" ht="24" customHeight="1" x14ac:dyDescent="0.2">
      <c r="A67" s="17">
        <v>3</v>
      </c>
      <c r="B67" s="45" t="s">
        <v>43</v>
      </c>
      <c r="C67" s="281">
        <v>387596000</v>
      </c>
      <c r="D67" s="281">
        <v>405958000</v>
      </c>
      <c r="E67" s="281">
        <v>416726000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27.787986174913591</v>
      </c>
      <c r="D69" s="284">
        <f>IF(D75=0,0,(D72/D75)*100)</f>
        <v>32.821809796555954</v>
      </c>
      <c r="E69" s="284">
        <f>IF(E75=0,0,(E72/E75)*100)</f>
        <v>31.19149342961563</v>
      </c>
    </row>
    <row r="70" spans="1:5" ht="24" customHeight="1" x14ac:dyDescent="0.2">
      <c r="A70" s="17">
        <v>5</v>
      </c>
      <c r="B70" s="45" t="s">
        <v>358</v>
      </c>
      <c r="C70" s="281">
        <f>+C28</f>
        <v>17090000</v>
      </c>
      <c r="D70" s="281">
        <f>+D28</f>
        <v>22192000</v>
      </c>
      <c r="E70" s="281">
        <f>+E28</f>
        <v>19963000</v>
      </c>
    </row>
    <row r="71" spans="1:5" ht="24" customHeight="1" x14ac:dyDescent="0.2">
      <c r="A71" s="17">
        <v>6</v>
      </c>
      <c r="B71" s="45" t="s">
        <v>347</v>
      </c>
      <c r="C71" s="176">
        <f>+C47</f>
        <v>21019000</v>
      </c>
      <c r="D71" s="176">
        <f>+D47</f>
        <v>21932000</v>
      </c>
      <c r="E71" s="176">
        <f>+E47</f>
        <v>22454000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38109000</v>
      </c>
      <c r="D72" s="281">
        <f>+D70+D71</f>
        <v>44124000</v>
      </c>
      <c r="E72" s="281">
        <f>+E70+E71</f>
        <v>42417000</v>
      </c>
    </row>
    <row r="73" spans="1:5" ht="24" customHeight="1" x14ac:dyDescent="0.2">
      <c r="A73" s="17">
        <v>8</v>
      </c>
      <c r="B73" s="45" t="s">
        <v>54</v>
      </c>
      <c r="C73" s="270">
        <f>+C40</f>
        <v>54677000</v>
      </c>
      <c r="D73" s="270">
        <f>+D40</f>
        <v>58221000</v>
      </c>
      <c r="E73" s="270">
        <f>+E40</f>
        <v>63255000</v>
      </c>
    </row>
    <row r="74" spans="1:5" ht="24" customHeight="1" x14ac:dyDescent="0.2">
      <c r="A74" s="17">
        <v>9</v>
      </c>
      <c r="B74" s="45" t="s">
        <v>58</v>
      </c>
      <c r="C74" s="281">
        <v>82465000</v>
      </c>
      <c r="D74" s="281">
        <v>76214000</v>
      </c>
      <c r="E74" s="281">
        <v>72734000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137142000</v>
      </c>
      <c r="D75" s="270">
        <f>+D73+D74</f>
        <v>134435000</v>
      </c>
      <c r="E75" s="270">
        <f>+E73+E74</f>
        <v>135989000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36.741577038574981</v>
      </c>
      <c r="D77" s="286">
        <f>IF(D80=0,0,(D78/D80)*100)</f>
        <v>33.923246063044701</v>
      </c>
      <c r="E77" s="286">
        <f>IF(E80=0,0,(E78/E80)*100)</f>
        <v>33.629709773024658</v>
      </c>
    </row>
    <row r="78" spans="1:5" ht="24" customHeight="1" x14ac:dyDescent="0.2">
      <c r="A78" s="17">
        <v>12</v>
      </c>
      <c r="B78" s="45" t="s">
        <v>58</v>
      </c>
      <c r="C78" s="270">
        <f>+C74</f>
        <v>82465000</v>
      </c>
      <c r="D78" s="270">
        <f>+D74</f>
        <v>76214000</v>
      </c>
      <c r="E78" s="270">
        <f>+E74</f>
        <v>72734000</v>
      </c>
    </row>
    <row r="79" spans="1:5" ht="24" customHeight="1" x14ac:dyDescent="0.2">
      <c r="A79" s="17">
        <v>13</v>
      </c>
      <c r="B79" s="45" t="s">
        <v>67</v>
      </c>
      <c r="C79" s="270">
        <f>+C32</f>
        <v>141981000</v>
      </c>
      <c r="D79" s="270">
        <f>+D32</f>
        <v>148452000</v>
      </c>
      <c r="E79" s="270">
        <f>+E32</f>
        <v>143545000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224446000</v>
      </c>
      <c r="D80" s="270">
        <f>+D78+D79</f>
        <v>224666000</v>
      </c>
      <c r="E80" s="270">
        <f>+E78+E79</f>
        <v>216279000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FILING&amp;R&amp;8MIDDLESEX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Normal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36471</v>
      </c>
      <c r="D11" s="296">
        <v>10908</v>
      </c>
      <c r="E11" s="296">
        <v>10722</v>
      </c>
      <c r="F11" s="297">
        <v>110</v>
      </c>
      <c r="G11" s="297">
        <v>138</v>
      </c>
      <c r="H11" s="298">
        <f>IF(F11=0,0,$C11/(F11*365))</f>
        <v>0.90836861768368615</v>
      </c>
      <c r="I11" s="298">
        <f>IF(G11=0,0,$C11/(G11*365))</f>
        <v>0.72406194163192372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11469</v>
      </c>
      <c r="D13" s="296">
        <v>1024</v>
      </c>
      <c r="E13" s="296">
        <v>0</v>
      </c>
      <c r="F13" s="297">
        <v>37</v>
      </c>
      <c r="G13" s="297">
        <v>44</v>
      </c>
      <c r="H13" s="298">
        <f>IF(F13=0,0,$C13/(F13*365))</f>
        <v>0.8492410218437616</v>
      </c>
      <c r="I13" s="298">
        <f>IF(G13=0,0,$C13/(G13*365))</f>
        <v>0.7141344956413449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6026</v>
      </c>
      <c r="D16" s="296">
        <v>733</v>
      </c>
      <c r="E16" s="296">
        <v>732</v>
      </c>
      <c r="F16" s="297">
        <v>17</v>
      </c>
      <c r="G16" s="297">
        <v>20</v>
      </c>
      <c r="H16" s="298">
        <f t="shared" si="0"/>
        <v>0.97115229653505242</v>
      </c>
      <c r="I16" s="298">
        <f t="shared" si="0"/>
        <v>0.82547945205479456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6026</v>
      </c>
      <c r="D17" s="300">
        <f>SUM(D15:D16)</f>
        <v>733</v>
      </c>
      <c r="E17" s="300">
        <f>SUM(E15:E16)</f>
        <v>732</v>
      </c>
      <c r="F17" s="300">
        <f>SUM(F15:F16)</f>
        <v>17</v>
      </c>
      <c r="G17" s="300">
        <f>SUM(G15:G16)</f>
        <v>20</v>
      </c>
      <c r="H17" s="301">
        <f t="shared" si="0"/>
        <v>0.97115229653505242</v>
      </c>
      <c r="I17" s="301">
        <f t="shared" si="0"/>
        <v>0.82547945205479456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3001</v>
      </c>
      <c r="D21" s="296">
        <v>1121</v>
      </c>
      <c r="E21" s="296">
        <v>1260</v>
      </c>
      <c r="F21" s="297">
        <v>10</v>
      </c>
      <c r="G21" s="297">
        <v>23</v>
      </c>
      <c r="H21" s="298">
        <f>IF(F21=0,0,$C21/(F21*365))</f>
        <v>0.82219178082191779</v>
      </c>
      <c r="I21" s="298">
        <f>IF(G21=0,0,$C21/(G21*365))</f>
        <v>0.35747468731387733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2968</v>
      </c>
      <c r="D23" s="296">
        <v>1093</v>
      </c>
      <c r="E23" s="296">
        <v>1086</v>
      </c>
      <c r="F23" s="297">
        <v>9</v>
      </c>
      <c r="G23" s="297">
        <v>23</v>
      </c>
      <c r="H23" s="298">
        <f>IF(F23=0,0,$C23/(F23*365))</f>
        <v>0.90350076103500765</v>
      </c>
      <c r="I23" s="298">
        <f>IF(G23=0,0,$C23/(G23*365))</f>
        <v>0.35354377605717691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56967</v>
      </c>
      <c r="D31" s="300">
        <f>SUM(D10:D29)-D13-D17-D23</f>
        <v>12762</v>
      </c>
      <c r="E31" s="300">
        <f>SUM(E10:E29)-E17-E23</f>
        <v>12714</v>
      </c>
      <c r="F31" s="300">
        <f>SUM(F10:F29)-F17-F23</f>
        <v>174</v>
      </c>
      <c r="G31" s="300">
        <f>SUM(G10:G29)-G17-G23</f>
        <v>225</v>
      </c>
      <c r="H31" s="301">
        <f>IF(F31=0,0,$C31/(F31*365))</f>
        <v>0.89697685403873406</v>
      </c>
      <c r="I31" s="301">
        <f>IF(G31=0,0,$C31/(G31*365))</f>
        <v>0.69366210045662102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59935</v>
      </c>
      <c r="D33" s="300">
        <f>SUM(D10:D29)-D13-D17</f>
        <v>13855</v>
      </c>
      <c r="E33" s="300">
        <f>SUM(E10:E29)-E17</f>
        <v>13800</v>
      </c>
      <c r="F33" s="300">
        <f>SUM(F10:F29)-F17</f>
        <v>183</v>
      </c>
      <c r="G33" s="300">
        <f>SUM(G10:G29)-G17</f>
        <v>248</v>
      </c>
      <c r="H33" s="301">
        <f>IF(F33=0,0,$C33/(F33*365))</f>
        <v>0.89729770192379665</v>
      </c>
      <c r="I33" s="301">
        <f>IF(G33=0,0,$C33/(G33*365))</f>
        <v>0.66211886875828552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59935</v>
      </c>
      <c r="D36" s="300">
        <f t="shared" si="1"/>
        <v>13855</v>
      </c>
      <c r="E36" s="300">
        <f t="shared" si="1"/>
        <v>13800</v>
      </c>
      <c r="F36" s="300">
        <f t="shared" si="1"/>
        <v>183</v>
      </c>
      <c r="G36" s="300">
        <f t="shared" si="1"/>
        <v>248</v>
      </c>
      <c r="H36" s="301">
        <f t="shared" si="1"/>
        <v>0.89729770192379665</v>
      </c>
      <c r="I36" s="301">
        <f t="shared" si="1"/>
        <v>0.66211886875828552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57829</v>
      </c>
      <c r="D37" s="300">
        <v>0</v>
      </c>
      <c r="E37" s="300">
        <v>0</v>
      </c>
      <c r="F37" s="302">
        <v>178</v>
      </c>
      <c r="G37" s="302">
        <v>214</v>
      </c>
      <c r="H37" s="301">
        <f>IF(F37=0,0,$C37/(F37*365))</f>
        <v>0.89008773279975373</v>
      </c>
      <c r="I37" s="301">
        <f>IF(G37=0,0,$C37/(G37*365))</f>
        <v>0.74035334784278584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2106</v>
      </c>
      <c r="D38" s="300">
        <f t="shared" si="2"/>
        <v>13855</v>
      </c>
      <c r="E38" s="300">
        <f t="shared" si="2"/>
        <v>13800</v>
      </c>
      <c r="F38" s="300">
        <f t="shared" si="2"/>
        <v>5</v>
      </c>
      <c r="G38" s="300">
        <f t="shared" si="2"/>
        <v>34</v>
      </c>
      <c r="H38" s="301">
        <f t="shared" si="2"/>
        <v>7.2099691240429253E-3</v>
      </c>
      <c r="I38" s="301">
        <f t="shared" si="2"/>
        <v>-7.8234479084500319E-2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3.6417714295595635E-2</v>
      </c>
      <c r="D40" s="148">
        <f t="shared" si="3"/>
        <v>0</v>
      </c>
      <c r="E40" s="148">
        <f t="shared" si="3"/>
        <v>0</v>
      </c>
      <c r="F40" s="148">
        <f t="shared" si="3"/>
        <v>2.8089887640449437E-2</v>
      </c>
      <c r="G40" s="148">
        <f t="shared" si="3"/>
        <v>0.15887850467289719</v>
      </c>
      <c r="H40" s="148">
        <f t="shared" si="3"/>
        <v>8.1002904077377928E-3</v>
      </c>
      <c r="I40" s="148">
        <f t="shared" si="3"/>
        <v>-0.10567181105138114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297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FILING&amp;RMIDDLESEX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8665</v>
      </c>
      <c r="D12" s="296">
        <v>7256</v>
      </c>
      <c r="E12" s="296">
        <f>+D12-C12</f>
        <v>-1409</v>
      </c>
      <c r="F12" s="316">
        <f>IF(C12=0,0,+E12/C12)</f>
        <v>-0.16260819388343911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13023</v>
      </c>
      <c r="D13" s="296">
        <v>11270</v>
      </c>
      <c r="E13" s="296">
        <f>+D13-C13</f>
        <v>-1753</v>
      </c>
      <c r="F13" s="316">
        <f>IF(C13=0,0,+E13/C13)</f>
        <v>-0.13460800122859556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12544</v>
      </c>
      <c r="D14" s="296">
        <v>11427</v>
      </c>
      <c r="E14" s="296">
        <f>+D14-C14</f>
        <v>-1117</v>
      </c>
      <c r="F14" s="316">
        <f>IF(C14=0,0,+E14/C14)</f>
        <v>-8.904655612244898E-2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34232</v>
      </c>
      <c r="D16" s="300">
        <f>SUM(D12:D15)</f>
        <v>29953</v>
      </c>
      <c r="E16" s="300">
        <f>+D16-C16</f>
        <v>-4279</v>
      </c>
      <c r="F16" s="309">
        <f>IF(C16=0,0,+E16/C16)</f>
        <v>-0.125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1237</v>
      </c>
      <c r="D19" s="296">
        <v>1446</v>
      </c>
      <c r="E19" s="296">
        <f>+D19-C19</f>
        <v>209</v>
      </c>
      <c r="F19" s="316">
        <f>IF(C19=0,0,+E19/C19)</f>
        <v>0.16895715440582054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9506</v>
      </c>
      <c r="D20" s="296">
        <v>9068</v>
      </c>
      <c r="E20" s="296">
        <f>+D20-C20</f>
        <v>-438</v>
      </c>
      <c r="F20" s="316">
        <f>IF(C20=0,0,+E20/C20)</f>
        <v>-4.6076162423732379E-2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60</v>
      </c>
      <c r="D21" s="296">
        <v>65</v>
      </c>
      <c r="E21" s="296">
        <f>+D21-C21</f>
        <v>5</v>
      </c>
      <c r="F21" s="316">
        <f>IF(C21=0,0,+E21/C21)</f>
        <v>8.3333333333333329E-2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10803</v>
      </c>
      <c r="D23" s="300">
        <f>SUM(D19:D22)</f>
        <v>10579</v>
      </c>
      <c r="E23" s="300">
        <f>+D23-C23</f>
        <v>-224</v>
      </c>
      <c r="F23" s="309">
        <f>IF(C23=0,0,+E23/C23)</f>
        <v>-2.0734981023789689E-2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12</v>
      </c>
      <c r="D27" s="296">
        <v>7</v>
      </c>
      <c r="E27" s="296">
        <f>+D27-C27</f>
        <v>-5</v>
      </c>
      <c r="F27" s="316">
        <f>IF(C27=0,0,+E27/C27)</f>
        <v>-0.41666666666666669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12</v>
      </c>
      <c r="D30" s="300">
        <f>SUM(D26:D29)</f>
        <v>7</v>
      </c>
      <c r="E30" s="300">
        <f>+D30-C30</f>
        <v>-5</v>
      </c>
      <c r="F30" s="309">
        <f>IF(C30=0,0,+E30/C30)</f>
        <v>-0.41666666666666669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3</v>
      </c>
      <c r="D33" s="296">
        <v>8</v>
      </c>
      <c r="E33" s="296">
        <f>+D33-C33</f>
        <v>5</v>
      </c>
      <c r="F33" s="316">
        <f>IF(C33=0,0,+E33/C33)</f>
        <v>1.6666666666666667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460</v>
      </c>
      <c r="D34" s="296">
        <v>479</v>
      </c>
      <c r="E34" s="296">
        <f>+D34-C34</f>
        <v>19</v>
      </c>
      <c r="F34" s="316">
        <f>IF(C34=0,0,+E34/C34)</f>
        <v>4.1304347826086954E-2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463</v>
      </c>
      <c r="D37" s="300">
        <f>SUM(D33:D36)</f>
        <v>487</v>
      </c>
      <c r="E37" s="300">
        <f>+D37-C37</f>
        <v>24</v>
      </c>
      <c r="F37" s="309">
        <f>IF(C37=0,0,+E37/C37)</f>
        <v>5.183585313174946E-2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159</v>
      </c>
      <c r="D43" s="296">
        <v>183</v>
      </c>
      <c r="E43" s="296">
        <f>+D43-C43</f>
        <v>24</v>
      </c>
      <c r="F43" s="316">
        <f>IF(C43=0,0,+E43/C43)</f>
        <v>0.15094339622641509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9929</v>
      </c>
      <c r="D44" s="296">
        <v>10431</v>
      </c>
      <c r="E44" s="296">
        <f>+D44-C44</f>
        <v>502</v>
      </c>
      <c r="F44" s="316">
        <f>IF(C44=0,0,+E44/C44)</f>
        <v>5.0558968677611039E-2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10088</v>
      </c>
      <c r="D45" s="300">
        <f>SUM(D43:D44)</f>
        <v>10614</v>
      </c>
      <c r="E45" s="300">
        <f>+D45-C45</f>
        <v>526</v>
      </c>
      <c r="F45" s="309">
        <f>IF(C45=0,0,+E45/C45)</f>
        <v>5.2141157811260906E-2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138</v>
      </c>
      <c r="D48" s="296">
        <v>115</v>
      </c>
      <c r="E48" s="296">
        <f>+D48-C48</f>
        <v>-23</v>
      </c>
      <c r="F48" s="316">
        <f>IF(C48=0,0,+E48/C48)</f>
        <v>-0.16666666666666666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304</v>
      </c>
      <c r="D49" s="296">
        <v>219</v>
      </c>
      <c r="E49" s="296">
        <f>+D49-C49</f>
        <v>-85</v>
      </c>
      <c r="F49" s="316">
        <f>IF(C49=0,0,+E49/C49)</f>
        <v>-0.27960526315789475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442</v>
      </c>
      <c r="D50" s="300">
        <f>SUM(D48:D49)</f>
        <v>334</v>
      </c>
      <c r="E50" s="300">
        <f>+D50-C50</f>
        <v>-108</v>
      </c>
      <c r="F50" s="309">
        <f>IF(C50=0,0,+E50/C50)</f>
        <v>-0.24434389140271492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3429</v>
      </c>
      <c r="D63" s="296">
        <v>3110</v>
      </c>
      <c r="E63" s="296">
        <f>+D63-C63</f>
        <v>-319</v>
      </c>
      <c r="F63" s="316">
        <f>IF(C63=0,0,+E63/C63)</f>
        <v>-9.3030037911927682E-2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7161</v>
      </c>
      <c r="D64" s="296">
        <v>4934</v>
      </c>
      <c r="E64" s="296">
        <f>+D64-C64</f>
        <v>-2227</v>
      </c>
      <c r="F64" s="316">
        <f>IF(C64=0,0,+E64/C64)</f>
        <v>-0.31099008518363358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10590</v>
      </c>
      <c r="D65" s="300">
        <f>SUM(D63:D64)</f>
        <v>8044</v>
      </c>
      <c r="E65" s="300">
        <f>+D65-C65</f>
        <v>-2546</v>
      </c>
      <c r="F65" s="309">
        <f>IF(C65=0,0,+E65/C65)</f>
        <v>-0.24041548630783757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830</v>
      </c>
      <c r="D68" s="296">
        <v>782</v>
      </c>
      <c r="E68" s="296">
        <f>+D68-C68</f>
        <v>-48</v>
      </c>
      <c r="F68" s="316">
        <f>IF(C68=0,0,+E68/C68)</f>
        <v>-5.7831325301204821E-2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1915</v>
      </c>
      <c r="D69" s="296">
        <v>1851</v>
      </c>
      <c r="E69" s="296">
        <f>+D69-C69</f>
        <v>-64</v>
      </c>
      <c r="F69" s="318">
        <f>IF(C69=0,0,+E69/C69)</f>
        <v>-3.3420365535248041E-2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2745</v>
      </c>
      <c r="D70" s="300">
        <f>SUM(D68:D69)</f>
        <v>2633</v>
      </c>
      <c r="E70" s="300">
        <f>+D70-C70</f>
        <v>-112</v>
      </c>
      <c r="F70" s="309">
        <f>IF(C70=0,0,+E70/C70)</f>
        <v>-4.0801457194899818E-2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8487</v>
      </c>
      <c r="D73" s="319">
        <v>8487</v>
      </c>
      <c r="E73" s="296">
        <f>+D73-C73</f>
        <v>0</v>
      </c>
      <c r="F73" s="316">
        <f>IF(C73=0,0,+E73/C73)</f>
        <v>0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85981</v>
      </c>
      <c r="D74" s="319">
        <v>86806</v>
      </c>
      <c r="E74" s="296">
        <f>+D74-C74</f>
        <v>825</v>
      </c>
      <c r="F74" s="316">
        <f>IF(C74=0,0,+E74/C74)</f>
        <v>9.5951431130133404E-3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94468</v>
      </c>
      <c r="D75" s="300">
        <f>SUM(D73:D74)</f>
        <v>95293</v>
      </c>
      <c r="E75" s="300">
        <f>SUM(E73:E74)</f>
        <v>825</v>
      </c>
      <c r="F75" s="309">
        <f>IF(C75=0,0,+E75/C75)</f>
        <v>8.7331159757801577E-3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30286</v>
      </c>
      <c r="D81" s="319">
        <v>29833</v>
      </c>
      <c r="E81" s="296">
        <f t="shared" si="0"/>
        <v>-453</v>
      </c>
      <c r="F81" s="316">
        <f t="shared" si="1"/>
        <v>-1.495740606220696E-2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51839</v>
      </c>
      <c r="D82" s="319">
        <v>53691</v>
      </c>
      <c r="E82" s="296">
        <f t="shared" si="0"/>
        <v>1852</v>
      </c>
      <c r="F82" s="316">
        <f t="shared" si="1"/>
        <v>3.5725997800883508E-2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8515</v>
      </c>
      <c r="D83" s="319">
        <v>7454</v>
      </c>
      <c r="E83" s="296">
        <f t="shared" si="0"/>
        <v>-1061</v>
      </c>
      <c r="F83" s="316">
        <f t="shared" si="1"/>
        <v>-0.12460364063417499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90640</v>
      </c>
      <c r="D84" s="320">
        <f>SUM(D79:D83)</f>
        <v>90978</v>
      </c>
      <c r="E84" s="300">
        <f t="shared" si="0"/>
        <v>338</v>
      </c>
      <c r="F84" s="309">
        <f t="shared" si="1"/>
        <v>3.7290379523389231E-3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44395</v>
      </c>
      <c r="D87" s="322">
        <v>44360</v>
      </c>
      <c r="E87" s="323">
        <f t="shared" ref="E87:E92" si="2">+D87-C87</f>
        <v>-35</v>
      </c>
      <c r="F87" s="318">
        <f t="shared" ref="F87:F92" si="3">IF(C87=0,0,+E87/C87)</f>
        <v>-7.883770694898074E-4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3568</v>
      </c>
      <c r="D88" s="322">
        <v>3620</v>
      </c>
      <c r="E88" s="296">
        <f t="shared" si="2"/>
        <v>52</v>
      </c>
      <c r="F88" s="316">
        <f t="shared" si="3"/>
        <v>1.4573991031390135E-2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254</v>
      </c>
      <c r="D89" s="322">
        <v>459</v>
      </c>
      <c r="E89" s="296">
        <f t="shared" si="2"/>
        <v>205</v>
      </c>
      <c r="F89" s="316">
        <f t="shared" si="3"/>
        <v>0.80708661417322836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425637</v>
      </c>
      <c r="D91" s="322">
        <v>412543</v>
      </c>
      <c r="E91" s="296">
        <f t="shared" si="2"/>
        <v>-13094</v>
      </c>
      <c r="F91" s="316">
        <f t="shared" si="3"/>
        <v>-3.0763303002323578E-2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473854</v>
      </c>
      <c r="D92" s="320">
        <f>SUM(D87:D91)</f>
        <v>460982</v>
      </c>
      <c r="E92" s="300">
        <f t="shared" si="2"/>
        <v>-12872</v>
      </c>
      <c r="F92" s="309">
        <f t="shared" si="3"/>
        <v>-2.7164485263393365E-2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505</v>
      </c>
      <c r="D96" s="325">
        <v>497.2</v>
      </c>
      <c r="E96" s="326">
        <f>+D96-C96</f>
        <v>-7.8000000000000114</v>
      </c>
      <c r="F96" s="316">
        <f>IF(C96=0,0,+E96/C96)</f>
        <v>-1.5445544554455468E-2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124</v>
      </c>
      <c r="D97" s="325">
        <v>130.30000000000001</v>
      </c>
      <c r="E97" s="326">
        <f>+D97-C97</f>
        <v>6.3000000000000114</v>
      </c>
      <c r="F97" s="316">
        <f>IF(C97=0,0,+E97/C97)</f>
        <v>5.0806451612903321E-2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1392</v>
      </c>
      <c r="D98" s="325">
        <v>1429.1</v>
      </c>
      <c r="E98" s="326">
        <f>+D98-C98</f>
        <v>37.099999999999909</v>
      </c>
      <c r="F98" s="316">
        <f>IF(C98=0,0,+E98/C98)</f>
        <v>2.6652298850574647E-2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2021</v>
      </c>
      <c r="D99" s="327">
        <f>SUM(D96:D98)</f>
        <v>2056.6</v>
      </c>
      <c r="E99" s="327">
        <f>+D99-C99</f>
        <v>35.599999999999909</v>
      </c>
      <c r="F99" s="309">
        <f>IF(C99=0,0,+E99/C99)</f>
        <v>1.7615042058386893E-2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FILING&amp;RMIDDLESEX HOSPITAL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3225</v>
      </c>
      <c r="D12" s="296">
        <v>1184</v>
      </c>
      <c r="E12" s="296">
        <f>+D12-C12</f>
        <v>-2041</v>
      </c>
      <c r="F12" s="316">
        <f>IF(C12=0,0,+E12/C12)</f>
        <v>-0.63286821705426355</v>
      </c>
    </row>
    <row r="13" spans="1:16" ht="15.75" customHeight="1" x14ac:dyDescent="0.2">
      <c r="A13" s="294">
        <v>2</v>
      </c>
      <c r="B13" s="295" t="s">
        <v>589</v>
      </c>
      <c r="C13" s="296">
        <v>3936</v>
      </c>
      <c r="D13" s="296">
        <v>3750</v>
      </c>
      <c r="E13" s="296">
        <f>+D13-C13</f>
        <v>-186</v>
      </c>
      <c r="F13" s="316">
        <f>IF(C13=0,0,+E13/C13)</f>
        <v>-4.725609756097561E-2</v>
      </c>
    </row>
    <row r="14" spans="1:16" ht="15.75" customHeight="1" x14ac:dyDescent="0.25">
      <c r="A14" s="294"/>
      <c r="B14" s="135" t="s">
        <v>590</v>
      </c>
      <c r="C14" s="300">
        <f>SUM(C11:C13)</f>
        <v>7161</v>
      </c>
      <c r="D14" s="300">
        <f>SUM(D11:D13)</f>
        <v>4934</v>
      </c>
      <c r="E14" s="300">
        <f>+D14-C14</f>
        <v>-2227</v>
      </c>
      <c r="F14" s="309">
        <f>IF(C14=0,0,+E14/C14)</f>
        <v>-0.31099008518363358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563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591</v>
      </c>
      <c r="C17" s="296">
        <v>0</v>
      </c>
      <c r="D17" s="296">
        <v>0</v>
      </c>
      <c r="E17" s="296">
        <f>+D17-C17</f>
        <v>0</v>
      </c>
      <c r="F17" s="316">
        <f>IF(C17=0,0,+E17/C17)</f>
        <v>0</v>
      </c>
    </row>
    <row r="18" spans="1:6" ht="15.75" customHeight="1" x14ac:dyDescent="0.2">
      <c r="A18" s="294">
        <v>2</v>
      </c>
      <c r="B18" s="295" t="s">
        <v>589</v>
      </c>
      <c r="C18" s="296">
        <v>1915</v>
      </c>
      <c r="D18" s="296">
        <v>1851</v>
      </c>
      <c r="E18" s="296">
        <f>+D18-C18</f>
        <v>-64</v>
      </c>
      <c r="F18" s="316">
        <f>IF(C18=0,0,+E18/C18)</f>
        <v>-3.3420365535248041E-2</v>
      </c>
    </row>
    <row r="19" spans="1:6" ht="15.75" customHeight="1" x14ac:dyDescent="0.25">
      <c r="A19" s="294"/>
      <c r="B19" s="135" t="s">
        <v>592</v>
      </c>
      <c r="C19" s="300">
        <f>SUM(C16:C18)</f>
        <v>1915</v>
      </c>
      <c r="D19" s="300">
        <f>SUM(D16:D18)</f>
        <v>1851</v>
      </c>
      <c r="E19" s="300">
        <f>+D19-C19</f>
        <v>-64</v>
      </c>
      <c r="F19" s="309">
        <f>IF(C19=0,0,+E19/C19)</f>
        <v>-3.3420365535248041E-2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593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594</v>
      </c>
      <c r="C22" s="296">
        <v>23826</v>
      </c>
      <c r="D22" s="296">
        <v>24175</v>
      </c>
      <c r="E22" s="296">
        <f>+D22-C22</f>
        <v>349</v>
      </c>
      <c r="F22" s="316">
        <f>IF(C22=0,0,+E22/C22)</f>
        <v>1.4647863678334592E-2</v>
      </c>
    </row>
    <row r="23" spans="1:6" ht="15.75" customHeight="1" x14ac:dyDescent="0.2">
      <c r="A23" s="294">
        <v>2</v>
      </c>
      <c r="B23" s="295" t="s">
        <v>595</v>
      </c>
      <c r="C23" s="296">
        <v>21733</v>
      </c>
      <c r="D23" s="296">
        <v>21592</v>
      </c>
      <c r="E23" s="296">
        <f>+D23-C23</f>
        <v>-141</v>
      </c>
      <c r="F23" s="316">
        <f>IF(C23=0,0,+E23/C23)</f>
        <v>-6.4878295679381588E-3</v>
      </c>
    </row>
    <row r="24" spans="1:6" ht="15.75" customHeight="1" x14ac:dyDescent="0.2">
      <c r="A24" s="294">
        <v>3</v>
      </c>
      <c r="B24" s="295" t="s">
        <v>596</v>
      </c>
      <c r="C24" s="296">
        <v>40422</v>
      </c>
      <c r="D24" s="296">
        <v>41039</v>
      </c>
      <c r="E24" s="296">
        <f>+D24-C24</f>
        <v>617</v>
      </c>
      <c r="F24" s="316">
        <f>IF(C24=0,0,+E24/C24)</f>
        <v>1.5263965167483054E-2</v>
      </c>
    </row>
    <row r="25" spans="1:6" ht="15.75" customHeight="1" x14ac:dyDescent="0.25">
      <c r="A25" s="294"/>
      <c r="B25" s="135" t="s">
        <v>597</v>
      </c>
      <c r="C25" s="300">
        <f>SUM(C21:C24)</f>
        <v>85981</v>
      </c>
      <c r="D25" s="300">
        <f>SUM(D21:D24)</f>
        <v>86806</v>
      </c>
      <c r="E25" s="300">
        <f>+D25-C25</f>
        <v>825</v>
      </c>
      <c r="F25" s="309">
        <f>IF(C25=0,0,+E25/C25)</f>
        <v>9.5951431130133404E-3</v>
      </c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599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  <row r="31" spans="1:6" ht="15.75" customHeight="1" x14ac:dyDescent="0.25">
      <c r="B31" s="699" t="s">
        <v>600</v>
      </c>
      <c r="C31" s="700"/>
      <c r="D31" s="700"/>
      <c r="E31" s="700"/>
      <c r="F31" s="701"/>
    </row>
    <row r="32" spans="1:6" ht="15.75" customHeight="1" x14ac:dyDescent="0.25">
      <c r="A32" s="293"/>
      <c r="B32" s="135"/>
      <c r="C32" s="300"/>
      <c r="D32" s="300"/>
      <c r="E32" s="300"/>
      <c r="F32" s="309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FILING&amp;RMIDDLESEX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602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603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605</v>
      </c>
      <c r="D7" s="341" t="s">
        <v>605</v>
      </c>
      <c r="E7" s="341" t="s">
        <v>606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607</v>
      </c>
      <c r="D8" s="344" t="s">
        <v>608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612</v>
      </c>
      <c r="C15" s="361">
        <v>237936712</v>
      </c>
      <c r="D15" s="361">
        <v>274740403</v>
      </c>
      <c r="E15" s="361">
        <f t="shared" ref="E15:E24" si="0">D15-C15</f>
        <v>36803691</v>
      </c>
      <c r="F15" s="362">
        <f t="shared" ref="F15:F24" si="1">IF(C15=0,0,E15/C15)</f>
        <v>0.15467848862263844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613</v>
      </c>
      <c r="C16" s="361">
        <v>68309563</v>
      </c>
      <c r="D16" s="361">
        <v>68628846</v>
      </c>
      <c r="E16" s="361">
        <f t="shared" si="0"/>
        <v>319283</v>
      </c>
      <c r="F16" s="362">
        <f t="shared" si="1"/>
        <v>4.6740600580331632E-3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614</v>
      </c>
      <c r="C17" s="366">
        <f>IF(C15=0,0,C16/C15)</f>
        <v>0.28709131275210698</v>
      </c>
      <c r="D17" s="366">
        <f>IF(LN_IA1=0,0,LN_IA2/LN_IA1)</f>
        <v>0.24979524398528308</v>
      </c>
      <c r="E17" s="367">
        <f t="shared" si="0"/>
        <v>-3.7296068766823898E-2</v>
      </c>
      <c r="F17" s="362">
        <f t="shared" si="1"/>
        <v>-0.12991012653534281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7204</v>
      </c>
      <c r="D18" s="369">
        <v>7373</v>
      </c>
      <c r="E18" s="369">
        <f t="shared" si="0"/>
        <v>169</v>
      </c>
      <c r="F18" s="362">
        <f t="shared" si="1"/>
        <v>2.3459189339255969E-2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615</v>
      </c>
      <c r="C19" s="372">
        <v>1.3468100000000001</v>
      </c>
      <c r="D19" s="372">
        <v>1.3360000000000001</v>
      </c>
      <c r="E19" s="373">
        <f t="shared" si="0"/>
        <v>-1.0809999999999986E-2</v>
      </c>
      <c r="F19" s="362">
        <f t="shared" si="1"/>
        <v>-8.0263734305506974E-3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616</v>
      </c>
      <c r="C20" s="376">
        <f>C18*C19</f>
        <v>9702.4192400000011</v>
      </c>
      <c r="D20" s="376">
        <f>LN_IA4*LN_IA5</f>
        <v>9850.3280000000013</v>
      </c>
      <c r="E20" s="376">
        <f t="shared" si="0"/>
        <v>147.90876000000026</v>
      </c>
      <c r="F20" s="362">
        <f t="shared" si="1"/>
        <v>1.5244523694690423E-2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617</v>
      </c>
      <c r="C21" s="378">
        <f>IF(C20=0,0,C16/C20)</f>
        <v>7040.467053658258</v>
      </c>
      <c r="D21" s="378">
        <f>IF(LN_IA6=0,0,LN_IA2/LN_IA6)</f>
        <v>6967.1635299860054</v>
      </c>
      <c r="E21" s="378">
        <f t="shared" si="0"/>
        <v>-73.303523672252595</v>
      </c>
      <c r="F21" s="362">
        <f t="shared" si="1"/>
        <v>-1.0411741595206209E-2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33550</v>
      </c>
      <c r="D22" s="369">
        <v>35194</v>
      </c>
      <c r="E22" s="369">
        <f t="shared" si="0"/>
        <v>1644</v>
      </c>
      <c r="F22" s="362">
        <f t="shared" si="1"/>
        <v>4.9001490312965724E-2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618</v>
      </c>
      <c r="C23" s="378">
        <f>IF(C22=0,0,C16/C22)</f>
        <v>2036.0525484351713</v>
      </c>
      <c r="D23" s="378">
        <f>IF(LN_IA8=0,0,LN_IA2/LN_IA8)</f>
        <v>1950.0155140080697</v>
      </c>
      <c r="E23" s="378">
        <f t="shared" si="0"/>
        <v>-86.037034427101617</v>
      </c>
      <c r="F23" s="362">
        <f t="shared" si="1"/>
        <v>-4.2256784822781834E-2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619</v>
      </c>
      <c r="C24" s="379">
        <f>IF(C18=0,0,C22/C18)</f>
        <v>4.6571349250416434</v>
      </c>
      <c r="D24" s="379">
        <f>IF(LN_IA4=0,0,LN_IA8/LN_IA4)</f>
        <v>4.7733622677336225</v>
      </c>
      <c r="E24" s="379">
        <f t="shared" si="0"/>
        <v>0.1162273426919791</v>
      </c>
      <c r="F24" s="362">
        <f t="shared" si="1"/>
        <v>2.4956833882355214E-2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621</v>
      </c>
      <c r="C27" s="361">
        <v>179328360</v>
      </c>
      <c r="D27" s="361">
        <v>202223329</v>
      </c>
      <c r="E27" s="361">
        <f t="shared" ref="E27:E32" si="2">D27-C27</f>
        <v>22894969</v>
      </c>
      <c r="F27" s="362">
        <f t="shared" ref="F27:F32" si="3">IF(C27=0,0,E27/C27)</f>
        <v>0.12767065398914038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622</v>
      </c>
      <c r="C28" s="361">
        <v>44251358</v>
      </c>
      <c r="D28" s="361">
        <v>45755735</v>
      </c>
      <c r="E28" s="361">
        <f t="shared" si="2"/>
        <v>1504377</v>
      </c>
      <c r="F28" s="362">
        <f t="shared" si="3"/>
        <v>3.399617702127921E-2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623</v>
      </c>
      <c r="C29" s="366">
        <f>IF(C27=0,0,C28/C27)</f>
        <v>0.2467616276644698</v>
      </c>
      <c r="D29" s="366">
        <f>IF(LN_IA11=0,0,LN_IA12/LN_IA11)</f>
        <v>0.22626338526946116</v>
      </c>
      <c r="E29" s="367">
        <f t="shared" si="2"/>
        <v>-2.0498242395008637E-2</v>
      </c>
      <c r="F29" s="362">
        <f t="shared" si="3"/>
        <v>-8.3069003025384461E-2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624</v>
      </c>
      <c r="C30" s="366">
        <f>IF(C15=0,0,C27/C15)</f>
        <v>0.75368091999186737</v>
      </c>
      <c r="D30" s="366">
        <f>IF(LN_IA1=0,0,LN_IA11/LN_IA1)</f>
        <v>0.7360523854221761</v>
      </c>
      <c r="E30" s="367">
        <f t="shared" si="2"/>
        <v>-1.7628534569691268E-2</v>
      </c>
      <c r="F30" s="362">
        <f t="shared" si="3"/>
        <v>-2.3389917539482743E-2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625</v>
      </c>
      <c r="C31" s="376">
        <f>C30*C18</f>
        <v>5429.5173476214122</v>
      </c>
      <c r="D31" s="376">
        <f>LN_IA14*LN_IA4</f>
        <v>5426.9142377177041</v>
      </c>
      <c r="E31" s="376">
        <f t="shared" si="2"/>
        <v>-2.6031099037081731</v>
      </c>
      <c r="F31" s="362">
        <f t="shared" si="3"/>
        <v>-4.7943670441509046E-4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626</v>
      </c>
      <c r="C32" s="378">
        <f>IF(C31=0,0,C28/C31)</f>
        <v>8150.1457987579388</v>
      </c>
      <c r="D32" s="378">
        <f>IF(LN_IA15=0,0,LN_IA12/LN_IA15)</f>
        <v>8431.2618544793204</v>
      </c>
      <c r="E32" s="378">
        <f t="shared" si="2"/>
        <v>281.1160557213816</v>
      </c>
      <c r="F32" s="362">
        <f t="shared" si="3"/>
        <v>3.449215052867189E-2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628</v>
      </c>
      <c r="C35" s="361">
        <f>C15+C27</f>
        <v>417265072</v>
      </c>
      <c r="D35" s="361">
        <f>LN_IA1+LN_IA11</f>
        <v>476963732</v>
      </c>
      <c r="E35" s="361">
        <f>D35-C35</f>
        <v>59698660</v>
      </c>
      <c r="F35" s="362">
        <f>IF(C35=0,0,E35/C35)</f>
        <v>0.1430713088777294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629</v>
      </c>
      <c r="C36" s="361">
        <f>C16+C28</f>
        <v>112560921</v>
      </c>
      <c r="D36" s="361">
        <f>LN_IA2+LN_IA12</f>
        <v>114384581</v>
      </c>
      <c r="E36" s="361">
        <f>D36-C36</f>
        <v>1823660</v>
      </c>
      <c r="F36" s="362">
        <f>IF(C36=0,0,E36/C36)</f>
        <v>1.6201537654440479E-2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630</v>
      </c>
      <c r="C37" s="361">
        <f>C35-C36</f>
        <v>304704151</v>
      </c>
      <c r="D37" s="361">
        <f>LN_IA17-LN_IA18</f>
        <v>362579151</v>
      </c>
      <c r="E37" s="361">
        <f>D37-C37</f>
        <v>57875000</v>
      </c>
      <c r="F37" s="362">
        <f>IF(C37=0,0,E37/C37)</f>
        <v>0.18993833792569501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632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612</v>
      </c>
      <c r="C42" s="361">
        <v>125640834</v>
      </c>
      <c r="D42" s="361">
        <v>142019598</v>
      </c>
      <c r="E42" s="361">
        <f t="shared" ref="E42:E53" si="4">D42-C42</f>
        <v>16378764</v>
      </c>
      <c r="F42" s="362">
        <f t="shared" ref="F42:F53" si="5">IF(C42=0,0,E42/C42)</f>
        <v>0.13036178986204439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613</v>
      </c>
      <c r="C43" s="361">
        <v>57713470</v>
      </c>
      <c r="D43" s="361">
        <v>66126608</v>
      </c>
      <c r="E43" s="361">
        <f t="shared" si="4"/>
        <v>8413138</v>
      </c>
      <c r="F43" s="362">
        <f t="shared" si="5"/>
        <v>0.14577425339353187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614</v>
      </c>
      <c r="C44" s="366">
        <f>IF(C42=0,0,C43/C42)</f>
        <v>0.45935280881691698</v>
      </c>
      <c r="D44" s="366">
        <f>IF(LN_IB1=0,0,LN_IB2/LN_IB1)</f>
        <v>0.46561607645164577</v>
      </c>
      <c r="E44" s="367">
        <f t="shared" si="4"/>
        <v>6.2632676347287863E-3</v>
      </c>
      <c r="F44" s="362">
        <f t="shared" si="5"/>
        <v>1.3634982772523157E-2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4717</v>
      </c>
      <c r="D45" s="369">
        <v>4406</v>
      </c>
      <c r="E45" s="369">
        <f t="shared" si="4"/>
        <v>-311</v>
      </c>
      <c r="F45" s="362">
        <f t="shared" si="5"/>
        <v>-6.5931736273054903E-2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615</v>
      </c>
      <c r="C46" s="372">
        <v>1.06819</v>
      </c>
      <c r="D46" s="372">
        <v>1.1259999999999999</v>
      </c>
      <c r="E46" s="373">
        <f t="shared" si="4"/>
        <v>5.7809999999999917E-2</v>
      </c>
      <c r="F46" s="362">
        <f t="shared" si="5"/>
        <v>5.4119585467004856E-2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616</v>
      </c>
      <c r="C47" s="376">
        <f>C45*C46</f>
        <v>5038.6522299999997</v>
      </c>
      <c r="D47" s="376">
        <f>LN_IB4*LN_IB5</f>
        <v>4961.1559999999999</v>
      </c>
      <c r="E47" s="376">
        <f t="shared" si="4"/>
        <v>-77.496229999999741</v>
      </c>
      <c r="F47" s="362">
        <f t="shared" si="5"/>
        <v>-1.5380349042267549E-2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617</v>
      </c>
      <c r="C48" s="378">
        <f>IF(C47=0,0,C43/C47)</f>
        <v>11454.148324898384</v>
      </c>
      <c r="D48" s="378">
        <f>IF(LN_IB6=0,0,LN_IB2/LN_IB6)</f>
        <v>13328.870932500409</v>
      </c>
      <c r="E48" s="378">
        <f t="shared" si="4"/>
        <v>1874.7226076020252</v>
      </c>
      <c r="F48" s="362">
        <f t="shared" si="5"/>
        <v>0.16367193390772306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633</v>
      </c>
      <c r="C49" s="378">
        <f>C21-C48</f>
        <v>-4413.6812712401261</v>
      </c>
      <c r="D49" s="378">
        <f>LN_IA7-LN_IB7</f>
        <v>-6361.7074025144038</v>
      </c>
      <c r="E49" s="378">
        <f t="shared" si="4"/>
        <v>-1948.0261312742778</v>
      </c>
      <c r="F49" s="362">
        <f t="shared" si="5"/>
        <v>0.44136085311999312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634</v>
      </c>
      <c r="C50" s="391">
        <f>C49*C47</f>
        <v>-22239004.979843296</v>
      </c>
      <c r="D50" s="391">
        <f>LN_IB8*LN_IB6</f>
        <v>-31561422.850228749</v>
      </c>
      <c r="E50" s="391">
        <f t="shared" si="4"/>
        <v>-9322417.8703854531</v>
      </c>
      <c r="F50" s="362">
        <f t="shared" si="5"/>
        <v>0.419192220103147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15959</v>
      </c>
      <c r="D51" s="369">
        <v>15861</v>
      </c>
      <c r="E51" s="369">
        <f t="shared" si="4"/>
        <v>-98</v>
      </c>
      <c r="F51" s="362">
        <f t="shared" si="5"/>
        <v>-6.1407356350648536E-3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618</v>
      </c>
      <c r="C52" s="378">
        <f>IF(C51=0,0,C43/C51)</f>
        <v>3616.3587944106775</v>
      </c>
      <c r="D52" s="378">
        <f>IF(LN_IB10=0,0,LN_IB2/LN_IB10)</f>
        <v>4169.132337179245</v>
      </c>
      <c r="E52" s="378">
        <f t="shared" si="4"/>
        <v>552.77354276856749</v>
      </c>
      <c r="F52" s="362">
        <f t="shared" si="5"/>
        <v>0.15285362271656111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619</v>
      </c>
      <c r="C53" s="379">
        <f>IF(C45=0,0,C51/C45)</f>
        <v>3.3832944668221328</v>
      </c>
      <c r="D53" s="379">
        <f>IF(LN_IB4=0,0,LN_IB10/LN_IB4)</f>
        <v>3.5998638220608261</v>
      </c>
      <c r="E53" s="379">
        <f t="shared" si="4"/>
        <v>0.21656935523869336</v>
      </c>
      <c r="F53" s="362">
        <f t="shared" si="5"/>
        <v>6.4011382208215839E-2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621</v>
      </c>
      <c r="C56" s="361">
        <v>276192622</v>
      </c>
      <c r="D56" s="361">
        <v>274202487</v>
      </c>
      <c r="E56" s="361">
        <f t="shared" ref="E56:E63" si="6">D56-C56</f>
        <v>-1990135</v>
      </c>
      <c r="F56" s="362">
        <f t="shared" ref="F56:F63" si="7">IF(C56=0,0,E56/C56)</f>
        <v>-7.2056052243133417E-3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622</v>
      </c>
      <c r="C57" s="361">
        <v>123788158</v>
      </c>
      <c r="D57" s="361">
        <v>116979335</v>
      </c>
      <c r="E57" s="361">
        <f t="shared" si="6"/>
        <v>-6808823</v>
      </c>
      <c r="F57" s="362">
        <f t="shared" si="7"/>
        <v>-5.5003831626608421E-2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623</v>
      </c>
      <c r="C58" s="366">
        <f>IF(C56=0,0,C57/C56)</f>
        <v>0.44819502093723562</v>
      </c>
      <c r="D58" s="366">
        <f>IF(LN_IB13=0,0,LN_IB14/LN_IB13)</f>
        <v>0.4266166083314919</v>
      </c>
      <c r="E58" s="367">
        <f t="shared" si="6"/>
        <v>-2.1578412605743724E-2</v>
      </c>
      <c r="F58" s="362">
        <f t="shared" si="7"/>
        <v>-4.8145141283855372E-2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624</v>
      </c>
      <c r="C59" s="366">
        <f>IF(C42=0,0,C56/C42)</f>
        <v>2.1982711607915624</v>
      </c>
      <c r="D59" s="366">
        <f>IF(LN_IB1=0,0,LN_IB13/LN_IB1)</f>
        <v>1.9307369606834122</v>
      </c>
      <c r="E59" s="367">
        <f t="shared" si="6"/>
        <v>-0.26753420010815021</v>
      </c>
      <c r="F59" s="362">
        <f t="shared" si="7"/>
        <v>-0.12170209248062711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625</v>
      </c>
      <c r="C60" s="376">
        <f>C59*C45</f>
        <v>10369.245065453799</v>
      </c>
      <c r="D60" s="376">
        <f>LN_IB16*LN_IB4</f>
        <v>8506.8270487711143</v>
      </c>
      <c r="E60" s="376">
        <f t="shared" si="6"/>
        <v>-1862.4180166826845</v>
      </c>
      <c r="F60" s="362">
        <f t="shared" si="7"/>
        <v>-0.17960979848837028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626</v>
      </c>
      <c r="C61" s="378">
        <f>IF(C60=0,0,C57/C60)</f>
        <v>11938.010647700179</v>
      </c>
      <c r="D61" s="378">
        <f>IF(LN_IB17=0,0,LN_IB14/LN_IB17)</f>
        <v>13751.229962633211</v>
      </c>
      <c r="E61" s="378">
        <f t="shared" si="6"/>
        <v>1813.2193149330324</v>
      </c>
      <c r="F61" s="362">
        <f t="shared" si="7"/>
        <v>0.15188622027928442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636</v>
      </c>
      <c r="C62" s="378">
        <f>C32-C61</f>
        <v>-3787.8648489422403</v>
      </c>
      <c r="D62" s="378">
        <f>LN_IA16-LN_IB18</f>
        <v>-5319.9681081538911</v>
      </c>
      <c r="E62" s="378">
        <f t="shared" si="6"/>
        <v>-1532.1032592116508</v>
      </c>
      <c r="F62" s="362">
        <f t="shared" si="7"/>
        <v>0.40447674885747043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637</v>
      </c>
      <c r="C63" s="361">
        <f>C62*C60</f>
        <v>-39277298.893500224</v>
      </c>
      <c r="D63" s="361">
        <f>LN_IB19*LN_IB17</f>
        <v>-45256048.601043217</v>
      </c>
      <c r="E63" s="361">
        <f t="shared" si="6"/>
        <v>-5978749.7075429931</v>
      </c>
      <c r="F63" s="362">
        <f t="shared" si="7"/>
        <v>0.15221896301357887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628</v>
      </c>
      <c r="C66" s="361">
        <f>C42+C56</f>
        <v>401833456</v>
      </c>
      <c r="D66" s="361">
        <f>LN_IB1+LN_IB13</f>
        <v>416222085</v>
      </c>
      <c r="E66" s="361">
        <f>D66-C66</f>
        <v>14388629</v>
      </c>
      <c r="F66" s="362">
        <f>IF(C66=0,0,E66/C66)</f>
        <v>3.5807444067076387E-2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629</v>
      </c>
      <c r="C67" s="361">
        <f>C43+C57</f>
        <v>181501628</v>
      </c>
      <c r="D67" s="361">
        <f>LN_IB2+LN_IB14</f>
        <v>183105943</v>
      </c>
      <c r="E67" s="361">
        <f>D67-C67</f>
        <v>1604315</v>
      </c>
      <c r="F67" s="362">
        <f>IF(C67=0,0,E67/C67)</f>
        <v>8.8391218176841913E-3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630</v>
      </c>
      <c r="C68" s="361">
        <f>C66-C67</f>
        <v>220331828</v>
      </c>
      <c r="D68" s="361">
        <f>LN_IB21-LN_IB22</f>
        <v>233116142</v>
      </c>
      <c r="E68" s="361">
        <f>D68-C68</f>
        <v>12784314</v>
      </c>
      <c r="F68" s="362">
        <f>IF(C68=0,0,E68/C68)</f>
        <v>5.8023001561081769E-2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639</v>
      </c>
      <c r="C70" s="353">
        <f>C50+C63</f>
        <v>-61516303.87334352</v>
      </c>
      <c r="D70" s="353">
        <f>LN_IB9+LN_IB20</f>
        <v>-76817471.451271966</v>
      </c>
      <c r="E70" s="361">
        <f>D70-C70</f>
        <v>-15301167.577928446</v>
      </c>
      <c r="F70" s="362">
        <f>IF(C70=0,0,E70/C70)</f>
        <v>0.24873353264903822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641</v>
      </c>
      <c r="C73" s="400">
        <v>363815764</v>
      </c>
      <c r="D73" s="400">
        <v>377720253</v>
      </c>
      <c r="E73" s="400">
        <f>D73-C73</f>
        <v>13904489</v>
      </c>
      <c r="F73" s="401">
        <f>IF(C73=0,0,E73/C73)</f>
        <v>3.821848961992752E-2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642</v>
      </c>
      <c r="C74" s="400">
        <v>182105996</v>
      </c>
      <c r="D74" s="400">
        <v>184841366</v>
      </c>
      <c r="E74" s="400">
        <f>D74-C74</f>
        <v>2735370</v>
      </c>
      <c r="F74" s="401">
        <f>IF(C74=0,0,E74/C74)</f>
        <v>1.5020757471379471E-2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643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644</v>
      </c>
      <c r="C76" s="353">
        <f>C73-C74</f>
        <v>181709768</v>
      </c>
      <c r="D76" s="353">
        <f>LN_IB32-LN_IB33</f>
        <v>192878887</v>
      </c>
      <c r="E76" s="400">
        <f>D76-C76</f>
        <v>11169119</v>
      </c>
      <c r="F76" s="401">
        <f>IF(C76=0,0,E76/C76)</f>
        <v>6.1466805681024257E-2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645</v>
      </c>
      <c r="C77" s="366">
        <f>IF(C73=0,0,C76/C73)</f>
        <v>0.49945545515174544</v>
      </c>
      <c r="D77" s="366">
        <f>IF(LN_IB1=0,0,LN_IB34/LN_IB32)</f>
        <v>0.51063951553585352</v>
      </c>
      <c r="E77" s="405">
        <f>D77-C77</f>
        <v>1.1184060384108074E-2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612</v>
      </c>
      <c r="C83" s="361">
        <v>7173325</v>
      </c>
      <c r="D83" s="361">
        <v>6310560</v>
      </c>
      <c r="E83" s="361">
        <f t="shared" ref="E83:E95" si="8">D83-C83</f>
        <v>-862765</v>
      </c>
      <c r="F83" s="362">
        <f t="shared" ref="F83:F95" si="9">IF(C83=0,0,E83/C83)</f>
        <v>-0.12027407095036123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613</v>
      </c>
      <c r="C84" s="361">
        <v>2154497</v>
      </c>
      <c r="D84" s="361">
        <v>4381062</v>
      </c>
      <c r="E84" s="361">
        <f t="shared" si="8"/>
        <v>2226565</v>
      </c>
      <c r="F84" s="362">
        <f t="shared" si="9"/>
        <v>1.0334500349733604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614</v>
      </c>
      <c r="C85" s="366">
        <f>IF(C83=0,0,C84/C83)</f>
        <v>0.30034844371334074</v>
      </c>
      <c r="D85" s="366">
        <f>IF(LN_IC1=0,0,LN_IC2/LN_IC1)</f>
        <v>0.69424298319008138</v>
      </c>
      <c r="E85" s="367">
        <f t="shared" si="8"/>
        <v>0.39389453947674063</v>
      </c>
      <c r="F85" s="362">
        <f t="shared" si="9"/>
        <v>1.3114585666129916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242</v>
      </c>
      <c r="D86" s="369">
        <v>201</v>
      </c>
      <c r="E86" s="369">
        <f t="shared" si="8"/>
        <v>-41</v>
      </c>
      <c r="F86" s="362">
        <f t="shared" si="9"/>
        <v>-0.16942148760330578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615</v>
      </c>
      <c r="C87" s="372">
        <v>1.0543800000000001</v>
      </c>
      <c r="D87" s="372">
        <v>1.08</v>
      </c>
      <c r="E87" s="373">
        <f t="shared" si="8"/>
        <v>2.5619999999999976E-2</v>
      </c>
      <c r="F87" s="362">
        <f t="shared" si="9"/>
        <v>2.4298639959028031E-2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616</v>
      </c>
      <c r="C88" s="376">
        <f>C86*C87</f>
        <v>255.15996000000001</v>
      </c>
      <c r="D88" s="376">
        <f>LN_IC4*LN_IC5</f>
        <v>217.08</v>
      </c>
      <c r="E88" s="376">
        <f t="shared" si="8"/>
        <v>-38.07996</v>
      </c>
      <c r="F88" s="362">
        <f t="shared" si="9"/>
        <v>-0.14923955937287339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617</v>
      </c>
      <c r="C89" s="378">
        <f>IF(C88=0,0,C84/C88)</f>
        <v>8443.7111527999914</v>
      </c>
      <c r="D89" s="378">
        <f>IF(LN_IC6=0,0,LN_IC2/LN_IC6)</f>
        <v>20181.785516860142</v>
      </c>
      <c r="E89" s="378">
        <f t="shared" si="8"/>
        <v>11738.07436406015</v>
      </c>
      <c r="F89" s="362">
        <f t="shared" si="9"/>
        <v>1.390155839256501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648</v>
      </c>
      <c r="C90" s="378">
        <f>C48-C89</f>
        <v>3010.4371720983927</v>
      </c>
      <c r="D90" s="378">
        <f>LN_IB7-LN_IC7</f>
        <v>-6852.9145843597325</v>
      </c>
      <c r="E90" s="378">
        <f t="shared" si="8"/>
        <v>-9863.3517564581252</v>
      </c>
      <c r="F90" s="362">
        <f t="shared" si="9"/>
        <v>-3.2763851868009533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649</v>
      </c>
      <c r="C91" s="378">
        <f>C21-C89</f>
        <v>-1403.2440991417334</v>
      </c>
      <c r="D91" s="378">
        <f>LN_IA7-LN_IC7</f>
        <v>-13214.621986874135</v>
      </c>
      <c r="E91" s="378">
        <f t="shared" si="8"/>
        <v>-11811.377887732402</v>
      </c>
      <c r="F91" s="362">
        <f t="shared" si="9"/>
        <v>8.4171940540898049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634</v>
      </c>
      <c r="C92" s="353">
        <f>C91*C88</f>
        <v>-358051.70820724074</v>
      </c>
      <c r="D92" s="353">
        <f>LN_IC9*LN_IC6</f>
        <v>-2868630.1409106376</v>
      </c>
      <c r="E92" s="353">
        <f t="shared" si="8"/>
        <v>-2510578.4327033968</v>
      </c>
      <c r="F92" s="362">
        <f t="shared" si="9"/>
        <v>7.0117761629285988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1126</v>
      </c>
      <c r="D93" s="369">
        <v>867</v>
      </c>
      <c r="E93" s="369">
        <f t="shared" si="8"/>
        <v>-259</v>
      </c>
      <c r="F93" s="362">
        <f t="shared" si="9"/>
        <v>-0.23001776198934282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618</v>
      </c>
      <c r="C94" s="411">
        <f>IF(C93=0,0,C84/C93)</f>
        <v>1913.4076376554174</v>
      </c>
      <c r="D94" s="411">
        <f>IF(LN_IC11=0,0,LN_IC2/LN_IC11)</f>
        <v>5053.1280276816606</v>
      </c>
      <c r="E94" s="411">
        <f t="shared" si="8"/>
        <v>3139.720390026243</v>
      </c>
      <c r="F94" s="362">
        <f t="shared" si="9"/>
        <v>1.640905120392161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619</v>
      </c>
      <c r="C95" s="379">
        <f>IF(C86=0,0,C93/C86)</f>
        <v>4.6528925619834709</v>
      </c>
      <c r="D95" s="379">
        <f>IF(LN_IC4=0,0,LN_IC11/LN_IC4)</f>
        <v>4.3134328358208958</v>
      </c>
      <c r="E95" s="379">
        <f t="shared" si="8"/>
        <v>-0.33945972616257514</v>
      </c>
      <c r="F95" s="362">
        <f t="shared" si="9"/>
        <v>-7.2956708464780806E-2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621</v>
      </c>
      <c r="C98" s="361">
        <v>14092307</v>
      </c>
      <c r="D98" s="361">
        <v>13906189</v>
      </c>
      <c r="E98" s="361">
        <f t="shared" ref="E98:E106" si="10">D98-C98</f>
        <v>-186118</v>
      </c>
      <c r="F98" s="362">
        <f t="shared" ref="F98:F106" si="11">IF(C98=0,0,E98/C98)</f>
        <v>-1.3207063967595937E-2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622</v>
      </c>
      <c r="C99" s="361">
        <v>4402842</v>
      </c>
      <c r="D99" s="361">
        <v>3756191</v>
      </c>
      <c r="E99" s="361">
        <f t="shared" si="10"/>
        <v>-646651</v>
      </c>
      <c r="F99" s="362">
        <f t="shared" si="11"/>
        <v>-0.1468712708745851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623</v>
      </c>
      <c r="C100" s="366">
        <f>IF(C98=0,0,C99/C98)</f>
        <v>0.31242875989005914</v>
      </c>
      <c r="D100" s="366">
        <f>IF(LN_IC14=0,0,LN_IC15/LN_IC14)</f>
        <v>0.27010930169293684</v>
      </c>
      <c r="E100" s="367">
        <f t="shared" si="10"/>
        <v>-4.2319458197122295E-2</v>
      </c>
      <c r="F100" s="362">
        <f t="shared" si="11"/>
        <v>-0.13545314526106408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624</v>
      </c>
      <c r="C101" s="366">
        <f>IF(C83=0,0,C98/C83)</f>
        <v>1.9645432208912883</v>
      </c>
      <c r="D101" s="366">
        <f>IF(LN_IC1=0,0,LN_IC14/LN_IC1)</f>
        <v>2.2036378704900992</v>
      </c>
      <c r="E101" s="367">
        <f t="shared" si="10"/>
        <v>0.23909464959881088</v>
      </c>
      <c r="F101" s="362">
        <f t="shared" si="11"/>
        <v>0.12170495770021118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625</v>
      </c>
      <c r="C102" s="376">
        <f>C101*C86</f>
        <v>475.41945945569177</v>
      </c>
      <c r="D102" s="376">
        <f>LN_IC17*LN_IC4</f>
        <v>442.93121196850996</v>
      </c>
      <c r="E102" s="376">
        <f t="shared" si="10"/>
        <v>-32.488247487181809</v>
      </c>
      <c r="F102" s="362">
        <f t="shared" si="11"/>
        <v>-6.8335964885361727E-2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626</v>
      </c>
      <c r="C103" s="378">
        <f>IF(C102=0,0,C99/C102)</f>
        <v>9260.9629505717294</v>
      </c>
      <c r="D103" s="378">
        <f>IF(LN_IC18=0,0,LN_IC15/LN_IC18)</f>
        <v>8480.3032581660682</v>
      </c>
      <c r="E103" s="378">
        <f t="shared" si="10"/>
        <v>-780.65969240566119</v>
      </c>
      <c r="F103" s="362">
        <f t="shared" si="11"/>
        <v>-8.4295736477108668E-2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651</v>
      </c>
      <c r="C104" s="378">
        <f>C61-C103</f>
        <v>2677.0476971284497</v>
      </c>
      <c r="D104" s="378">
        <f>LN_IB18-LN_IC19</f>
        <v>5270.9267044671433</v>
      </c>
      <c r="E104" s="378">
        <f t="shared" si="10"/>
        <v>2593.8790073386936</v>
      </c>
      <c r="F104" s="362">
        <f t="shared" si="11"/>
        <v>0.96893268286591694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652</v>
      </c>
      <c r="C105" s="378">
        <f>C32-C103</f>
        <v>-1110.8171518137906</v>
      </c>
      <c r="D105" s="378">
        <f>LN_IA16-LN_IC19</f>
        <v>-49.041403686747799</v>
      </c>
      <c r="E105" s="378">
        <f t="shared" si="10"/>
        <v>1061.7757481270428</v>
      </c>
      <c r="F105" s="362">
        <f t="shared" si="11"/>
        <v>-0.95585105648875612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637</v>
      </c>
      <c r="C106" s="361">
        <f>C105*C102</f>
        <v>-528104.08986942342</v>
      </c>
      <c r="D106" s="361">
        <f>LN_IC21*LN_IC18</f>
        <v>-21721.968371608156</v>
      </c>
      <c r="E106" s="361">
        <f t="shared" si="10"/>
        <v>506382.12149781524</v>
      </c>
      <c r="F106" s="362">
        <f t="shared" si="11"/>
        <v>-0.95886801714226633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653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628</v>
      </c>
      <c r="C109" s="361">
        <f>C83+C98</f>
        <v>21265632</v>
      </c>
      <c r="D109" s="361">
        <f>LN_IC1+LN_IC14</f>
        <v>20216749</v>
      </c>
      <c r="E109" s="361">
        <f>D109-C109</f>
        <v>-1048883</v>
      </c>
      <c r="F109" s="362">
        <f>IF(C109=0,0,E109/C109)</f>
        <v>-4.9322916901787826E-2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629</v>
      </c>
      <c r="C110" s="361">
        <f>C84+C99</f>
        <v>6557339</v>
      </c>
      <c r="D110" s="361">
        <f>LN_IC2+LN_IC15</f>
        <v>8137253</v>
      </c>
      <c r="E110" s="361">
        <f>D110-C110</f>
        <v>1579914</v>
      </c>
      <c r="F110" s="362">
        <f>IF(C110=0,0,E110/C110)</f>
        <v>0.24093828304438736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630</v>
      </c>
      <c r="C111" s="361">
        <f>C109-C110</f>
        <v>14708293</v>
      </c>
      <c r="D111" s="361">
        <f>LN_IC23-LN_IC24</f>
        <v>12079496</v>
      </c>
      <c r="E111" s="361">
        <f>D111-C111</f>
        <v>-2628797</v>
      </c>
      <c r="F111" s="362">
        <f>IF(C111=0,0,E111/C111)</f>
        <v>-0.17872889804411701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639</v>
      </c>
      <c r="C113" s="361">
        <f>C92+C106</f>
        <v>-886155.7980766641</v>
      </c>
      <c r="D113" s="361">
        <f>LN_IC10+LN_IC22</f>
        <v>-2890352.1092822459</v>
      </c>
      <c r="E113" s="361">
        <f>D113-C113</f>
        <v>-2004196.3112055818</v>
      </c>
      <c r="F113" s="362">
        <f>IF(C113=0,0,E113/C113)</f>
        <v>2.2616748833055569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612</v>
      </c>
      <c r="C118" s="361">
        <v>39855345</v>
      </c>
      <c r="D118" s="361">
        <v>55732451</v>
      </c>
      <c r="E118" s="361">
        <f t="shared" ref="E118:E130" si="12">D118-C118</f>
        <v>15877106</v>
      </c>
      <c r="F118" s="362">
        <f t="shared" ref="F118:F130" si="13">IF(C118=0,0,E118/C118)</f>
        <v>0.39836829915786703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613</v>
      </c>
      <c r="C119" s="361">
        <v>9978042</v>
      </c>
      <c r="D119" s="361">
        <v>12421651</v>
      </c>
      <c r="E119" s="361">
        <f t="shared" si="12"/>
        <v>2443609</v>
      </c>
      <c r="F119" s="362">
        <f t="shared" si="13"/>
        <v>0.24489864845227149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614</v>
      </c>
      <c r="C120" s="366">
        <f>IF(C118=0,0,C119/C118)</f>
        <v>0.25035643274446628</v>
      </c>
      <c r="D120" s="366">
        <f>IF(LN_ID1=0,0,LN_1D2/LN_ID1)</f>
        <v>0.22288004164754929</v>
      </c>
      <c r="E120" s="367">
        <f t="shared" si="12"/>
        <v>-2.7476391096916991E-2</v>
      </c>
      <c r="F120" s="362">
        <f t="shared" si="13"/>
        <v>-0.10974909170782755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1665</v>
      </c>
      <c r="D121" s="369">
        <v>2028</v>
      </c>
      <c r="E121" s="369">
        <f t="shared" si="12"/>
        <v>363</v>
      </c>
      <c r="F121" s="362">
        <f t="shared" si="13"/>
        <v>0.21801801801801801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615</v>
      </c>
      <c r="C122" s="372">
        <v>0.83089000000000002</v>
      </c>
      <c r="D122" s="372">
        <v>0.96599999999999997</v>
      </c>
      <c r="E122" s="373">
        <f t="shared" si="12"/>
        <v>0.13510999999999995</v>
      </c>
      <c r="F122" s="362">
        <f t="shared" si="13"/>
        <v>0.16260876891044537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616</v>
      </c>
      <c r="C123" s="376">
        <f>C121*C122</f>
        <v>1383.4318499999999</v>
      </c>
      <c r="D123" s="376">
        <f>LN_ID4*LN_ID5</f>
        <v>1959.048</v>
      </c>
      <c r="E123" s="376">
        <f t="shared" si="12"/>
        <v>575.61615000000006</v>
      </c>
      <c r="F123" s="362">
        <f t="shared" si="13"/>
        <v>0.41607842843866871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617</v>
      </c>
      <c r="C124" s="378">
        <f>IF(C123=0,0,C119/C123)</f>
        <v>7212.5287559340204</v>
      </c>
      <c r="D124" s="378">
        <f>IF(LN_ID6=0,0,LN_1D2/LN_ID6)</f>
        <v>6340.656788399263</v>
      </c>
      <c r="E124" s="378">
        <f t="shared" si="12"/>
        <v>-871.87196753475746</v>
      </c>
      <c r="F124" s="362">
        <f t="shared" si="13"/>
        <v>-0.12088297974790539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656</v>
      </c>
      <c r="C125" s="378">
        <f>C48-C124</f>
        <v>4241.6195689643637</v>
      </c>
      <c r="D125" s="378">
        <f>LN_IB7-LN_ID7</f>
        <v>6988.2141441011463</v>
      </c>
      <c r="E125" s="378">
        <f t="shared" si="12"/>
        <v>2746.5945751367826</v>
      </c>
      <c r="F125" s="362">
        <f t="shared" si="13"/>
        <v>0.64753439823633041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657</v>
      </c>
      <c r="C126" s="378">
        <f>C21-C124</f>
        <v>-172.0617022757624</v>
      </c>
      <c r="D126" s="378">
        <f>LN_IA7-LN_ID7</f>
        <v>626.50674158674246</v>
      </c>
      <c r="E126" s="378">
        <f t="shared" si="12"/>
        <v>798.56844386250486</v>
      </c>
      <c r="F126" s="362">
        <f t="shared" si="13"/>
        <v>-4.6411748419334096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634</v>
      </c>
      <c r="C127" s="391">
        <f>C126*C123</f>
        <v>-238035.63909350717</v>
      </c>
      <c r="D127" s="391">
        <f>LN_ID9*LN_ID6</f>
        <v>1227356.7790920245</v>
      </c>
      <c r="E127" s="391">
        <f t="shared" si="12"/>
        <v>1465392.4181855316</v>
      </c>
      <c r="F127" s="362">
        <f t="shared" si="13"/>
        <v>-6.1561891478354793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6568</v>
      </c>
      <c r="D128" s="369">
        <v>8717</v>
      </c>
      <c r="E128" s="369">
        <f t="shared" si="12"/>
        <v>2149</v>
      </c>
      <c r="F128" s="362">
        <f t="shared" si="13"/>
        <v>0.32719244823386112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618</v>
      </c>
      <c r="C129" s="378">
        <f>IF(C128=0,0,C119/C128)</f>
        <v>1519.1903166869672</v>
      </c>
      <c r="D129" s="378">
        <f>IF(LN_ID11=0,0,LN_1D2/LN_ID11)</f>
        <v>1424.9915108408857</v>
      </c>
      <c r="E129" s="378">
        <f t="shared" si="12"/>
        <v>-94.198805846081541</v>
      </c>
      <c r="F129" s="362">
        <f t="shared" si="13"/>
        <v>-6.2005928297061037E-2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619</v>
      </c>
      <c r="C130" s="379">
        <f>IF(C121=0,0,C128/C121)</f>
        <v>3.9447447447447446</v>
      </c>
      <c r="D130" s="379">
        <f>IF(LN_ID4=0,0,LN_ID11/LN_ID4)</f>
        <v>4.2983234714003942</v>
      </c>
      <c r="E130" s="379">
        <f t="shared" si="12"/>
        <v>0.3535787266556496</v>
      </c>
      <c r="F130" s="362">
        <f t="shared" si="13"/>
        <v>8.9632853209752839E-2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621</v>
      </c>
      <c r="C133" s="361">
        <v>59129382</v>
      </c>
      <c r="D133" s="361">
        <v>81366364</v>
      </c>
      <c r="E133" s="361">
        <f t="shared" ref="E133:E141" si="14">D133-C133</f>
        <v>22236982</v>
      </c>
      <c r="F133" s="362">
        <f t="shared" ref="F133:F141" si="15">IF(C133=0,0,E133/C133)</f>
        <v>0.37607330311688358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622</v>
      </c>
      <c r="C134" s="361">
        <v>17543817</v>
      </c>
      <c r="D134" s="361">
        <v>19850395</v>
      </c>
      <c r="E134" s="361">
        <f t="shared" si="14"/>
        <v>2306578</v>
      </c>
      <c r="F134" s="362">
        <f t="shared" si="15"/>
        <v>0.13147526561637071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623</v>
      </c>
      <c r="C135" s="366">
        <f>IF(C133=0,0,C134/C133)</f>
        <v>0.29670218775498108</v>
      </c>
      <c r="D135" s="366">
        <f>IF(LN_ID14=0,0,LN_ID15/LN_ID14)</f>
        <v>0.24396315656921821</v>
      </c>
      <c r="E135" s="367">
        <f t="shared" si="14"/>
        <v>-5.2739031185762869E-2</v>
      </c>
      <c r="F135" s="362">
        <f t="shared" si="15"/>
        <v>-0.17775073242572503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624</v>
      </c>
      <c r="C136" s="366">
        <f>IF(C118=0,0,C133/C118)</f>
        <v>1.4835998032384363</v>
      </c>
      <c r="D136" s="366">
        <f>IF(LN_ID1=0,0,LN_ID14/LN_ID1)</f>
        <v>1.4599459119427567</v>
      </c>
      <c r="E136" s="367">
        <f t="shared" si="14"/>
        <v>-2.365389129567963E-2</v>
      </c>
      <c r="F136" s="362">
        <f t="shared" si="15"/>
        <v>-1.5943579423539529E-2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625</v>
      </c>
      <c r="C137" s="376">
        <f>C136*C121</f>
        <v>2470.1936723919966</v>
      </c>
      <c r="D137" s="376">
        <f>LN_ID17*LN_ID4</f>
        <v>2960.7703094199105</v>
      </c>
      <c r="E137" s="376">
        <f t="shared" si="14"/>
        <v>490.57663702791388</v>
      </c>
      <c r="F137" s="362">
        <f t="shared" si="15"/>
        <v>0.19859845100844545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626</v>
      </c>
      <c r="C138" s="378">
        <f>IF(C137=0,0,C134/C137)</f>
        <v>7102.2030361739025</v>
      </c>
      <c r="D138" s="378">
        <f>IF(LN_ID18=0,0,LN_ID15/LN_ID18)</f>
        <v>6704.4697580371212</v>
      </c>
      <c r="E138" s="378">
        <f t="shared" si="14"/>
        <v>-397.73327813678134</v>
      </c>
      <c r="F138" s="362">
        <f t="shared" si="15"/>
        <v>-5.6001395075724013E-2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659</v>
      </c>
      <c r="C139" s="378">
        <f>C61-C138</f>
        <v>4835.8076115262766</v>
      </c>
      <c r="D139" s="378">
        <f>LN_IB18-LN_ID19</f>
        <v>7046.7602045960903</v>
      </c>
      <c r="E139" s="378">
        <f t="shared" si="14"/>
        <v>2210.9525930698137</v>
      </c>
      <c r="F139" s="362">
        <f t="shared" si="15"/>
        <v>0.45720441561817909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660</v>
      </c>
      <c r="C140" s="378">
        <f>C32-C138</f>
        <v>1047.9427625840362</v>
      </c>
      <c r="D140" s="378">
        <f>LN_IA16-LN_ID19</f>
        <v>1726.7920964421992</v>
      </c>
      <c r="E140" s="378">
        <f t="shared" si="14"/>
        <v>678.84933385816294</v>
      </c>
      <c r="F140" s="362">
        <f t="shared" si="15"/>
        <v>0.64779237769078524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637</v>
      </c>
      <c r="C141" s="353">
        <f>C140*C137</f>
        <v>2588621.5811640746</v>
      </c>
      <c r="D141" s="353">
        <f>LN_ID21*LN_ID18</f>
        <v>5112634.7696870258</v>
      </c>
      <c r="E141" s="353">
        <f t="shared" si="14"/>
        <v>2524013.1885229512</v>
      </c>
      <c r="F141" s="362">
        <f t="shared" si="15"/>
        <v>0.97504139148369851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628</v>
      </c>
      <c r="C144" s="361">
        <f>C118+C133</f>
        <v>98984727</v>
      </c>
      <c r="D144" s="361">
        <f>LN_ID1+LN_ID14</f>
        <v>137098815</v>
      </c>
      <c r="E144" s="361">
        <f>D144-C144</f>
        <v>38114088</v>
      </c>
      <c r="F144" s="362">
        <f>IF(C144=0,0,E144/C144)</f>
        <v>0.38505019062183199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629</v>
      </c>
      <c r="C145" s="361">
        <f>C119+C134</f>
        <v>27521859</v>
      </c>
      <c r="D145" s="361">
        <f>LN_1D2+LN_ID15</f>
        <v>32272046</v>
      </c>
      <c r="E145" s="361">
        <f>D145-C145</f>
        <v>4750187</v>
      </c>
      <c r="F145" s="362">
        <f>IF(C145=0,0,E145/C145)</f>
        <v>0.17259688017440972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630</v>
      </c>
      <c r="C146" s="361">
        <f>C144-C145</f>
        <v>71462868</v>
      </c>
      <c r="D146" s="361">
        <f>LN_ID23-LN_ID24</f>
        <v>104826769</v>
      </c>
      <c r="E146" s="361">
        <f>D146-C146</f>
        <v>33363901</v>
      </c>
      <c r="F146" s="362">
        <f>IF(C146=0,0,E146/C146)</f>
        <v>0.46687044522198579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639</v>
      </c>
      <c r="C148" s="361">
        <f>C127+C141</f>
        <v>2350585.9420705675</v>
      </c>
      <c r="D148" s="361">
        <f>LN_ID10+LN_ID22</f>
        <v>6339991.5487790499</v>
      </c>
      <c r="E148" s="361">
        <f>D148-C148</f>
        <v>3989405.6067084824</v>
      </c>
      <c r="F148" s="415">
        <f>IF(C148=0,0,E148/C148)</f>
        <v>1.6971962332057184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662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663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612</v>
      </c>
      <c r="C153" s="361">
        <v>7948511</v>
      </c>
      <c r="D153" s="361">
        <v>0</v>
      </c>
      <c r="E153" s="361">
        <f t="shared" ref="E153:E165" si="16">D153-C153</f>
        <v>-7948511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613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614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289</v>
      </c>
      <c r="D156" s="419">
        <v>0</v>
      </c>
      <c r="E156" s="419">
        <f t="shared" si="16"/>
        <v>-289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615</v>
      </c>
      <c r="C157" s="372">
        <v>1.0990599999999999</v>
      </c>
      <c r="D157" s="372">
        <v>0</v>
      </c>
      <c r="E157" s="373">
        <f t="shared" si="16"/>
        <v>-1.0990599999999999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616</v>
      </c>
      <c r="C158" s="376">
        <f>C156*C157</f>
        <v>317.62833999999998</v>
      </c>
      <c r="D158" s="376">
        <f>LN_IE4*LN_IE5</f>
        <v>0</v>
      </c>
      <c r="E158" s="376">
        <f t="shared" si="16"/>
        <v>-317.62833999999998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617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664</v>
      </c>
      <c r="C160" s="378">
        <f>C48-C159</f>
        <v>11454.148324898384</v>
      </c>
      <c r="D160" s="378">
        <f>LN_IB7-LN_IE7</f>
        <v>13328.870932500409</v>
      </c>
      <c r="E160" s="378">
        <f t="shared" si="16"/>
        <v>1874.7226076020252</v>
      </c>
      <c r="F160" s="362">
        <f t="shared" si="17"/>
        <v>0.16367193390772306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665</v>
      </c>
      <c r="C161" s="378">
        <f>C21-C159</f>
        <v>7040.467053658258</v>
      </c>
      <c r="D161" s="378">
        <f>LN_IA7-LN_IE7</f>
        <v>6967.1635299860054</v>
      </c>
      <c r="E161" s="378">
        <f t="shared" si="16"/>
        <v>-73.303523672252595</v>
      </c>
      <c r="F161" s="362">
        <f t="shared" si="17"/>
        <v>-1.0411741595206209E-2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634</v>
      </c>
      <c r="C162" s="391">
        <f>C161*C158</f>
        <v>2236251.8630781635</v>
      </c>
      <c r="D162" s="391">
        <f>LN_IE9*LN_IE6</f>
        <v>0</v>
      </c>
      <c r="E162" s="391">
        <f t="shared" si="16"/>
        <v>-2236251.8630781635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1609</v>
      </c>
      <c r="D163" s="369">
        <v>0</v>
      </c>
      <c r="E163" s="419">
        <f t="shared" si="16"/>
        <v>-1609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618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619</v>
      </c>
      <c r="C165" s="379">
        <f>IF(C156=0,0,C163/C156)</f>
        <v>5.5674740484429064</v>
      </c>
      <c r="D165" s="379">
        <f>IF(LN_IE4=0,0,LN_IE11/LN_IE4)</f>
        <v>0</v>
      </c>
      <c r="E165" s="379">
        <f t="shared" si="16"/>
        <v>-5.5674740484429064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621</v>
      </c>
      <c r="C168" s="424">
        <v>9276414</v>
      </c>
      <c r="D168" s="424">
        <v>0</v>
      </c>
      <c r="E168" s="424">
        <f t="shared" ref="E168:E176" si="18">D168-C168</f>
        <v>-9276414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622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623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624</v>
      </c>
      <c r="C171" s="366">
        <f>IF(C153=0,0,C168/C153)</f>
        <v>1.1670631140851413</v>
      </c>
      <c r="D171" s="366">
        <f>IF(LN_IE1=0,0,LN_IE14/LN_IE1)</f>
        <v>0</v>
      </c>
      <c r="E171" s="367">
        <f t="shared" si="18"/>
        <v>-1.1670631140851413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625</v>
      </c>
      <c r="C172" s="376">
        <f>C171*C156</f>
        <v>337.28123997060584</v>
      </c>
      <c r="D172" s="376">
        <f>LN_IE17*LN_IE4</f>
        <v>0</v>
      </c>
      <c r="E172" s="376">
        <f t="shared" si="18"/>
        <v>-337.28123997060584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626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667</v>
      </c>
      <c r="C174" s="378">
        <f>C61-C173</f>
        <v>11938.010647700179</v>
      </c>
      <c r="D174" s="378">
        <f>LN_IB18-LN_IE19</f>
        <v>13751.229962633211</v>
      </c>
      <c r="E174" s="378">
        <f t="shared" si="18"/>
        <v>1813.2193149330324</v>
      </c>
      <c r="F174" s="362">
        <f t="shared" si="19"/>
        <v>0.15188622027928442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668</v>
      </c>
      <c r="C175" s="378">
        <f>C32-C173</f>
        <v>8150.1457987579388</v>
      </c>
      <c r="D175" s="378">
        <f>LN_IA16-LN_IE19</f>
        <v>8431.2618544793204</v>
      </c>
      <c r="E175" s="378">
        <f t="shared" si="18"/>
        <v>281.1160557213816</v>
      </c>
      <c r="F175" s="362">
        <f t="shared" si="19"/>
        <v>3.449215052867189E-2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637</v>
      </c>
      <c r="C176" s="353">
        <f>C175*C172</f>
        <v>2748891.2809463013</v>
      </c>
      <c r="D176" s="353">
        <f>LN_IE21*LN_IE18</f>
        <v>0</v>
      </c>
      <c r="E176" s="353">
        <f t="shared" si="18"/>
        <v>-2748891.2809463013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628</v>
      </c>
      <c r="C179" s="361">
        <f>C153+C168</f>
        <v>17224925</v>
      </c>
      <c r="D179" s="361">
        <f>LN_IE1+LN_IE14</f>
        <v>0</v>
      </c>
      <c r="E179" s="361">
        <f>D179-C179</f>
        <v>-17224925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629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630</v>
      </c>
      <c r="C181" s="361">
        <f>C179-C180</f>
        <v>17224925</v>
      </c>
      <c r="D181" s="361">
        <f>LN_IE23-LN_IE24</f>
        <v>0</v>
      </c>
      <c r="E181" s="361">
        <f>D181-C181</f>
        <v>-17224925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670</v>
      </c>
      <c r="C183" s="361">
        <f>C162+C176</f>
        <v>4985143.1440244652</v>
      </c>
      <c r="D183" s="361">
        <f>LN_IE10+LN_IE22</f>
        <v>0</v>
      </c>
      <c r="E183" s="353">
        <f>D183-C183</f>
        <v>-4985143.1440244652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671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672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612</v>
      </c>
      <c r="C188" s="361">
        <f>C118+C153</f>
        <v>47803856</v>
      </c>
      <c r="D188" s="361">
        <f>LN_ID1+LN_IE1</f>
        <v>55732451</v>
      </c>
      <c r="E188" s="361">
        <f t="shared" ref="E188:E200" si="20">D188-C188</f>
        <v>7928595</v>
      </c>
      <c r="F188" s="362">
        <f t="shared" ref="F188:F200" si="21">IF(C188=0,0,E188/C188)</f>
        <v>0.16585680870597552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613</v>
      </c>
      <c r="C189" s="361">
        <f>C119+C154</f>
        <v>9978042</v>
      </c>
      <c r="D189" s="361">
        <f>LN_1D2+LN_IE2</f>
        <v>12421651</v>
      </c>
      <c r="E189" s="361">
        <f t="shared" si="20"/>
        <v>2443609</v>
      </c>
      <c r="F189" s="362">
        <f t="shared" si="21"/>
        <v>0.24489864845227149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614</v>
      </c>
      <c r="C190" s="366">
        <f>IF(C188=0,0,C189/C188)</f>
        <v>0.20872881049595665</v>
      </c>
      <c r="D190" s="366">
        <f>IF(LN_IF1=0,0,LN_IF2/LN_IF1)</f>
        <v>0.22288004164754929</v>
      </c>
      <c r="E190" s="367">
        <f t="shared" si="20"/>
        <v>1.4151231151592641E-2</v>
      </c>
      <c r="F190" s="362">
        <f t="shared" si="21"/>
        <v>6.7797210734676081E-2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1954</v>
      </c>
      <c r="D191" s="369">
        <f>LN_ID4+LN_IE4</f>
        <v>2028</v>
      </c>
      <c r="E191" s="369">
        <f t="shared" si="20"/>
        <v>74</v>
      </c>
      <c r="F191" s="362">
        <f t="shared" si="21"/>
        <v>3.7871033776867964E-2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615</v>
      </c>
      <c r="C192" s="372">
        <f>IF((C121+C156)=0,0,(C123+C158)/(C121+C156))</f>
        <v>0.87055280962128967</v>
      </c>
      <c r="D192" s="372">
        <f>IF((LN_ID4+LN_IE4)=0,0,(LN_ID6+LN_IE6)/(LN_ID4+LN_IE4))</f>
        <v>0.96599999999999997</v>
      </c>
      <c r="E192" s="373">
        <f t="shared" si="20"/>
        <v>9.54471903787103E-2</v>
      </c>
      <c r="F192" s="362">
        <f t="shared" si="21"/>
        <v>0.10963974766818799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616</v>
      </c>
      <c r="C193" s="376">
        <f>C123+C158</f>
        <v>1701.0601899999999</v>
      </c>
      <c r="D193" s="376">
        <f>LN_IF4*LN_IF5</f>
        <v>1959.048</v>
      </c>
      <c r="E193" s="376">
        <f t="shared" si="20"/>
        <v>257.98781000000008</v>
      </c>
      <c r="F193" s="362">
        <f t="shared" si="21"/>
        <v>0.15166295203228528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617</v>
      </c>
      <c r="C194" s="378">
        <f>IF(C193=0,0,C189/C193)</f>
        <v>5865.7783296897924</v>
      </c>
      <c r="D194" s="378">
        <f>IF(LN_IF6=0,0,LN_IF2/LN_IF6)</f>
        <v>6340.656788399263</v>
      </c>
      <c r="E194" s="378">
        <f t="shared" si="20"/>
        <v>474.87845870947058</v>
      </c>
      <c r="F194" s="362">
        <f t="shared" si="21"/>
        <v>8.0957450489709218E-2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673</v>
      </c>
      <c r="C195" s="378">
        <f>C48-C194</f>
        <v>5588.3699952085917</v>
      </c>
      <c r="D195" s="378">
        <f>LN_IB7-LN_IF7</f>
        <v>6988.2141441011463</v>
      </c>
      <c r="E195" s="378">
        <f t="shared" si="20"/>
        <v>1399.8441488925546</v>
      </c>
      <c r="F195" s="362">
        <f t="shared" si="21"/>
        <v>0.25049238867375745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674</v>
      </c>
      <c r="C196" s="378">
        <f>C21-C194</f>
        <v>1174.6887239684656</v>
      </c>
      <c r="D196" s="378">
        <f>LN_IA7-LN_IF7</f>
        <v>626.50674158674246</v>
      </c>
      <c r="E196" s="378">
        <f t="shared" si="20"/>
        <v>-548.18198238172317</v>
      </c>
      <c r="F196" s="362">
        <f t="shared" si="21"/>
        <v>-0.46666148333304258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634</v>
      </c>
      <c r="C197" s="391">
        <f>C127+C162</f>
        <v>1998216.2239846564</v>
      </c>
      <c r="D197" s="391">
        <f>LN_IF9*LN_IF6</f>
        <v>1227356.7790920245</v>
      </c>
      <c r="E197" s="391">
        <f t="shared" si="20"/>
        <v>-770859.44489263184</v>
      </c>
      <c r="F197" s="362">
        <f t="shared" si="21"/>
        <v>-0.38577378946281193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8177</v>
      </c>
      <c r="D198" s="369">
        <f>LN_ID11+LN_IE11</f>
        <v>8717</v>
      </c>
      <c r="E198" s="369">
        <f t="shared" si="20"/>
        <v>540</v>
      </c>
      <c r="F198" s="362">
        <f t="shared" si="21"/>
        <v>6.603888956830134E-2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618</v>
      </c>
      <c r="C199" s="432">
        <f>IF(C198=0,0,C189/C198)</f>
        <v>1220.2570624923567</v>
      </c>
      <c r="D199" s="432">
        <f>IF(LN_IF11=0,0,LN_IF2/LN_IF11)</f>
        <v>1424.9915108408857</v>
      </c>
      <c r="E199" s="432">
        <f t="shared" si="20"/>
        <v>204.73444834852899</v>
      </c>
      <c r="F199" s="362">
        <f t="shared" si="21"/>
        <v>0.16777976923187149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619</v>
      </c>
      <c r="C200" s="379">
        <f>IF(C191=0,0,C198/C191)</f>
        <v>4.1847492323439095</v>
      </c>
      <c r="D200" s="379">
        <f>IF(LN_IF4=0,0,LN_IF11/LN_IF4)</f>
        <v>4.2983234714003942</v>
      </c>
      <c r="E200" s="379">
        <f t="shared" si="20"/>
        <v>0.11357423905648467</v>
      </c>
      <c r="F200" s="362">
        <f t="shared" si="21"/>
        <v>2.7140034623501414E-2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621</v>
      </c>
      <c r="C203" s="361">
        <f>C133+C168</f>
        <v>68405796</v>
      </c>
      <c r="D203" s="361">
        <f>LN_ID14+LN_IE14</f>
        <v>81366364</v>
      </c>
      <c r="E203" s="361">
        <f t="shared" ref="E203:E211" si="22">D203-C203</f>
        <v>12960568</v>
      </c>
      <c r="F203" s="362">
        <f t="shared" ref="F203:F211" si="23">IF(C203=0,0,E203/C203)</f>
        <v>0.18946593355919725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622</v>
      </c>
      <c r="C204" s="361">
        <f>C134+C169</f>
        <v>17543817</v>
      </c>
      <c r="D204" s="361">
        <f>LN_ID15+LN_IE15</f>
        <v>19850395</v>
      </c>
      <c r="E204" s="361">
        <f t="shared" si="22"/>
        <v>2306578</v>
      </c>
      <c r="F204" s="362">
        <f t="shared" si="23"/>
        <v>0.13147526561637071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623</v>
      </c>
      <c r="C205" s="366">
        <f>IF(C203=0,0,C204/C203)</f>
        <v>0.25646682044310981</v>
      </c>
      <c r="D205" s="366">
        <f>IF(LN_IF14=0,0,LN_IF15/LN_IF14)</f>
        <v>0.24396315656921821</v>
      </c>
      <c r="E205" s="367">
        <f t="shared" si="22"/>
        <v>-1.2503663873891596E-2</v>
      </c>
      <c r="F205" s="362">
        <f t="shared" si="23"/>
        <v>-4.8753534091811282E-2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624</v>
      </c>
      <c r="C206" s="366">
        <f>IF(C188=0,0,C203/C188)</f>
        <v>1.4309681629030093</v>
      </c>
      <c r="D206" s="366">
        <f>IF(LN_IF1=0,0,LN_IF14/LN_IF1)</f>
        <v>1.4599459119427567</v>
      </c>
      <c r="E206" s="367">
        <f t="shared" si="22"/>
        <v>2.8977749039747369E-2</v>
      </c>
      <c r="F206" s="362">
        <f t="shared" si="23"/>
        <v>2.0250449863929973E-2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625</v>
      </c>
      <c r="C207" s="376">
        <f>C137+C172</f>
        <v>2807.4749123626025</v>
      </c>
      <c r="D207" s="376">
        <f>LN_ID18+LN_IE18</f>
        <v>2960.7703094199105</v>
      </c>
      <c r="E207" s="376">
        <f t="shared" si="22"/>
        <v>153.29539705730804</v>
      </c>
      <c r="F207" s="362">
        <f t="shared" si="23"/>
        <v>5.4602588390826913E-2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626</v>
      </c>
      <c r="C208" s="378">
        <f>IF(C207=0,0,C204/C207)</f>
        <v>6248.9666150698304</v>
      </c>
      <c r="D208" s="378">
        <f>IF(LN_IF18=0,0,LN_IF15/LN_IF18)</f>
        <v>6704.4697580371212</v>
      </c>
      <c r="E208" s="378">
        <f t="shared" si="22"/>
        <v>455.50314296729084</v>
      </c>
      <c r="F208" s="362">
        <f t="shared" si="23"/>
        <v>7.2892555045631455E-2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676</v>
      </c>
      <c r="C209" s="378">
        <f>C61-C208</f>
        <v>5689.0440326303487</v>
      </c>
      <c r="D209" s="378">
        <f>LN_IB18-LN_IF19</f>
        <v>7046.7602045960903</v>
      </c>
      <c r="E209" s="378">
        <f t="shared" si="22"/>
        <v>1357.7161719657415</v>
      </c>
      <c r="F209" s="362">
        <f t="shared" si="23"/>
        <v>0.23865453741935566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677</v>
      </c>
      <c r="C210" s="378">
        <f>C32-C208</f>
        <v>1901.1791836881084</v>
      </c>
      <c r="D210" s="378">
        <f>LN_IA16-LN_IF19</f>
        <v>1726.7920964421992</v>
      </c>
      <c r="E210" s="378">
        <f t="shared" si="22"/>
        <v>-174.38708724590924</v>
      </c>
      <c r="F210" s="362">
        <f t="shared" si="23"/>
        <v>-9.1725750388037985E-2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637</v>
      </c>
      <c r="C211" s="391">
        <f>C141+C176</f>
        <v>5337512.8621103764</v>
      </c>
      <c r="D211" s="353">
        <f>LN_IF21*LN_IF18</f>
        <v>5112634.7696870258</v>
      </c>
      <c r="E211" s="353">
        <f t="shared" si="22"/>
        <v>-224878.09242335055</v>
      </c>
      <c r="F211" s="362">
        <f t="shared" si="23"/>
        <v>-4.213162539048889E-2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628</v>
      </c>
      <c r="C214" s="361">
        <f>C188+C203</f>
        <v>116209652</v>
      </c>
      <c r="D214" s="361">
        <f>LN_IF1+LN_IF14</f>
        <v>137098815</v>
      </c>
      <c r="E214" s="361">
        <f>D214-C214</f>
        <v>20889163</v>
      </c>
      <c r="F214" s="362">
        <f>IF(C214=0,0,E214/C214)</f>
        <v>0.17975411371165623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629</v>
      </c>
      <c r="C215" s="361">
        <f>C189+C204</f>
        <v>27521859</v>
      </c>
      <c r="D215" s="361">
        <f>LN_IF2+LN_IF15</f>
        <v>32272046</v>
      </c>
      <c r="E215" s="361">
        <f>D215-C215</f>
        <v>4750187</v>
      </c>
      <c r="F215" s="362">
        <f>IF(C215=0,0,E215/C215)</f>
        <v>0.17259688017440972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630</v>
      </c>
      <c r="C216" s="361">
        <f>C214-C215</f>
        <v>88687793</v>
      </c>
      <c r="D216" s="361">
        <f>LN_IF23-LN_IF24</f>
        <v>104826769</v>
      </c>
      <c r="E216" s="361">
        <f>D216-C216</f>
        <v>16138976</v>
      </c>
      <c r="F216" s="362">
        <f>IF(C216=0,0,E216/C216)</f>
        <v>0.18197516765356875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612</v>
      </c>
      <c r="C221" s="361">
        <v>915983</v>
      </c>
      <c r="D221" s="361">
        <v>1167799</v>
      </c>
      <c r="E221" s="361">
        <f t="shared" ref="E221:E230" si="24">D221-C221</f>
        <v>251816</v>
      </c>
      <c r="F221" s="362">
        <f t="shared" ref="F221:F230" si="25">IF(C221=0,0,E221/C221)</f>
        <v>0.27491339904779893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613</v>
      </c>
      <c r="C222" s="361">
        <v>195944</v>
      </c>
      <c r="D222" s="361">
        <v>222060</v>
      </c>
      <c r="E222" s="361">
        <f t="shared" si="24"/>
        <v>26116</v>
      </c>
      <c r="F222" s="362">
        <f t="shared" si="25"/>
        <v>0.13328297881027232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614</v>
      </c>
      <c r="C223" s="366">
        <f>IF(C221=0,0,C222/C221)</f>
        <v>0.21391663382399018</v>
      </c>
      <c r="D223" s="366">
        <f>IF(LN_IG1=0,0,LN_IG2/LN_IG1)</f>
        <v>0.19015258618991795</v>
      </c>
      <c r="E223" s="367">
        <f t="shared" si="24"/>
        <v>-2.3764047634072222E-2</v>
      </c>
      <c r="F223" s="362">
        <f t="shared" si="25"/>
        <v>-0.1110902280447494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43</v>
      </c>
      <c r="D224" s="369">
        <v>48</v>
      </c>
      <c r="E224" s="369">
        <f t="shared" si="24"/>
        <v>5</v>
      </c>
      <c r="F224" s="362">
        <f t="shared" si="25"/>
        <v>0.11627906976744186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615</v>
      </c>
      <c r="C225" s="372">
        <v>0.81688000000000005</v>
      </c>
      <c r="D225" s="372">
        <v>0.876</v>
      </c>
      <c r="E225" s="373">
        <f t="shared" si="24"/>
        <v>5.911999999999995E-2</v>
      </c>
      <c r="F225" s="362">
        <f t="shared" si="25"/>
        <v>7.2372931152678413E-2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616</v>
      </c>
      <c r="C226" s="376">
        <f>C224*C225</f>
        <v>35.125840000000004</v>
      </c>
      <c r="D226" s="376">
        <f>LN_IG3*LN_IG4</f>
        <v>42.048000000000002</v>
      </c>
      <c r="E226" s="376">
        <f t="shared" si="24"/>
        <v>6.9221599999999981</v>
      </c>
      <c r="F226" s="362">
        <f t="shared" si="25"/>
        <v>0.19706745803089684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617</v>
      </c>
      <c r="C227" s="378">
        <f>IF(C226=0,0,C222/C226)</f>
        <v>5578.3434645263997</v>
      </c>
      <c r="D227" s="378">
        <f>IF(LN_IG5=0,0,LN_IG2/LN_IG5)</f>
        <v>5281.1073059360724</v>
      </c>
      <c r="E227" s="378">
        <f t="shared" si="24"/>
        <v>-297.23615859032725</v>
      </c>
      <c r="F227" s="362">
        <f t="shared" si="25"/>
        <v>-5.3283947193373926E-2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143</v>
      </c>
      <c r="D228" s="369">
        <v>163</v>
      </c>
      <c r="E228" s="369">
        <f t="shared" si="24"/>
        <v>20</v>
      </c>
      <c r="F228" s="362">
        <f t="shared" si="25"/>
        <v>0.13986013986013987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618</v>
      </c>
      <c r="C229" s="378">
        <f>IF(C228=0,0,C222/C228)</f>
        <v>1370.2377622377621</v>
      </c>
      <c r="D229" s="378">
        <f>IF(LN_IG6=0,0,LN_IG2/LN_IG6)</f>
        <v>1362.3312883435583</v>
      </c>
      <c r="E229" s="378">
        <f t="shared" si="24"/>
        <v>-7.9064738942038275</v>
      </c>
      <c r="F229" s="362">
        <f t="shared" si="25"/>
        <v>-5.7701474241168265E-3</v>
      </c>
      <c r="Q229" s="330"/>
      <c r="U229" s="375"/>
    </row>
    <row r="230" spans="1:21" ht="11.25" customHeight="1" x14ac:dyDescent="0.2">
      <c r="A230" s="364">
        <v>10</v>
      </c>
      <c r="B230" s="360" t="s">
        <v>619</v>
      </c>
      <c r="C230" s="379">
        <f>IF(C224=0,0,C228/C224)</f>
        <v>3.3255813953488373</v>
      </c>
      <c r="D230" s="379">
        <f>IF(LN_IG3=0,0,LN_IG6/LN_IG3)</f>
        <v>3.3958333333333335</v>
      </c>
      <c r="E230" s="379">
        <f t="shared" si="24"/>
        <v>7.0251937984496138E-2</v>
      </c>
      <c r="F230" s="362">
        <f t="shared" si="25"/>
        <v>2.1124708624708628E-2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621</v>
      </c>
      <c r="C233" s="361">
        <v>1918950</v>
      </c>
      <c r="D233" s="361">
        <v>2219940</v>
      </c>
      <c r="E233" s="361">
        <f>D233-C233</f>
        <v>300990</v>
      </c>
      <c r="F233" s="362">
        <f>IF(C233=0,0,E233/C233)</f>
        <v>0.15685140311107637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622</v>
      </c>
      <c r="C234" s="361">
        <v>437709</v>
      </c>
      <c r="D234" s="361">
        <v>564855</v>
      </c>
      <c r="E234" s="361">
        <f>D234-C234</f>
        <v>127146</v>
      </c>
      <c r="F234" s="362">
        <f>IF(C234=0,0,E234/C234)</f>
        <v>0.29048066180955839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682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628</v>
      </c>
      <c r="C237" s="361">
        <f>C221+C233</f>
        <v>2834933</v>
      </c>
      <c r="D237" s="361">
        <f>LN_IG1+LN_IG9</f>
        <v>3387739</v>
      </c>
      <c r="E237" s="361">
        <f>D237-C237</f>
        <v>552806</v>
      </c>
      <c r="F237" s="362">
        <f>IF(C237=0,0,E237/C237)</f>
        <v>0.19499790647609661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629</v>
      </c>
      <c r="C238" s="361">
        <f>C222+C234</f>
        <v>633653</v>
      </c>
      <c r="D238" s="361">
        <f>LN_IG2+LN_IG10</f>
        <v>786915</v>
      </c>
      <c r="E238" s="361">
        <f>D238-C238</f>
        <v>153262</v>
      </c>
      <c r="F238" s="362">
        <f>IF(C238=0,0,E238/C238)</f>
        <v>0.24187055060103874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630</v>
      </c>
      <c r="C239" s="361">
        <f>C237-C238</f>
        <v>2201280</v>
      </c>
      <c r="D239" s="361">
        <f>LN_IG13-LN_IG14</f>
        <v>2600824</v>
      </c>
      <c r="E239" s="361">
        <f>D239-C239</f>
        <v>399544</v>
      </c>
      <c r="F239" s="362">
        <f>IF(C239=0,0,E239/C239)</f>
        <v>0.18150530600377962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683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684</v>
      </c>
      <c r="C243" s="361">
        <v>8002619</v>
      </c>
      <c r="D243" s="361">
        <v>9543630</v>
      </c>
      <c r="E243" s="353">
        <f>D243-C243</f>
        <v>1541011</v>
      </c>
      <c r="F243" s="415">
        <f>IF(C243=0,0,E243/C243)</f>
        <v>0.1925633345783424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685</v>
      </c>
      <c r="C244" s="361">
        <v>312521510</v>
      </c>
      <c r="D244" s="361">
        <v>328515648</v>
      </c>
      <c r="E244" s="353">
        <f>D244-C244</f>
        <v>15994138</v>
      </c>
      <c r="F244" s="415">
        <f>IF(C244=0,0,E244/C244)</f>
        <v>5.1177718935250249E-2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686</v>
      </c>
      <c r="C245" s="400">
        <v>1608918</v>
      </c>
      <c r="D245" s="400">
        <v>0</v>
      </c>
      <c r="E245" s="400">
        <f>D245-C245</f>
        <v>-1608918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688</v>
      </c>
      <c r="C248" s="353">
        <v>9520361</v>
      </c>
      <c r="D248" s="353">
        <v>6856094</v>
      </c>
      <c r="E248" s="353">
        <f>D248-C248</f>
        <v>-2664267</v>
      </c>
      <c r="F248" s="362">
        <f>IF(C248=0,0,E248/C248)</f>
        <v>-0.27984936705656432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689</v>
      </c>
      <c r="C249" s="353">
        <v>11858436</v>
      </c>
      <c r="D249" s="353">
        <v>13570742</v>
      </c>
      <c r="E249" s="353">
        <f>D249-C249</f>
        <v>1712306</v>
      </c>
      <c r="F249" s="362">
        <f>IF(C249=0,0,E249/C249)</f>
        <v>0.1443956015784881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690</v>
      </c>
      <c r="C250" s="353">
        <f>C248+C249</f>
        <v>21378797</v>
      </c>
      <c r="D250" s="353">
        <f>LN_IH4+LN_IH5</f>
        <v>20426836</v>
      </c>
      <c r="E250" s="353">
        <f>D250-C250</f>
        <v>-951961</v>
      </c>
      <c r="F250" s="362">
        <f>IF(C250=0,0,E250/C250)</f>
        <v>-4.4528277245908646E-2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691</v>
      </c>
      <c r="C251" s="353">
        <f>C250*C313</f>
        <v>7448172.7339457273</v>
      </c>
      <c r="D251" s="353">
        <f>LN_IH6*LN_III10</f>
        <v>6594775.1711328039</v>
      </c>
      <c r="E251" s="353">
        <f>D251-C251</f>
        <v>-853397.56281292345</v>
      </c>
      <c r="F251" s="362">
        <f>IF(C251=0,0,E251/C251)</f>
        <v>-0.11457811107461111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692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628</v>
      </c>
      <c r="C254" s="353">
        <f>C188+C203</f>
        <v>116209652</v>
      </c>
      <c r="D254" s="353">
        <f>LN_IF23</f>
        <v>137098815</v>
      </c>
      <c r="E254" s="353">
        <f>D254-C254</f>
        <v>20889163</v>
      </c>
      <c r="F254" s="362">
        <f>IF(C254=0,0,E254/C254)</f>
        <v>0.17975411371165623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629</v>
      </c>
      <c r="C255" s="353">
        <f>C189+C204</f>
        <v>27521859</v>
      </c>
      <c r="D255" s="353">
        <f>LN_IF24</f>
        <v>32272046</v>
      </c>
      <c r="E255" s="353">
        <f>D255-C255</f>
        <v>4750187</v>
      </c>
      <c r="F255" s="362">
        <f>IF(C255=0,0,E255/C255)</f>
        <v>0.17259688017440972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693</v>
      </c>
      <c r="C256" s="353">
        <f>C254*C313</f>
        <v>40486354.842497528</v>
      </c>
      <c r="D256" s="353">
        <f>LN_IH8*LN_III10</f>
        <v>44262158.914563648</v>
      </c>
      <c r="E256" s="353">
        <f>D256-C256</f>
        <v>3775804.0720661208</v>
      </c>
      <c r="F256" s="362">
        <f>IF(C256=0,0,E256/C256)</f>
        <v>9.3261151485605029E-2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694</v>
      </c>
      <c r="C257" s="353">
        <f>C256-C255</f>
        <v>12964495.842497528</v>
      </c>
      <c r="D257" s="353">
        <f>LN_IH10-LN_IH9</f>
        <v>11990112.914563648</v>
      </c>
      <c r="E257" s="353">
        <f>D257-C257</f>
        <v>-974382.9279338792</v>
      </c>
      <c r="F257" s="362">
        <f>IF(C257=0,0,E257/C257)</f>
        <v>-7.5157795549585404E-2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697</v>
      </c>
      <c r="C261" s="361">
        <f>C15+C42+C188+C221</f>
        <v>412297385</v>
      </c>
      <c r="D261" s="361">
        <f>LN_IA1+LN_IB1+LN_IF1+LN_IG1</f>
        <v>473660251</v>
      </c>
      <c r="E261" s="361">
        <f t="shared" ref="E261:E274" si="26">D261-C261</f>
        <v>61362866</v>
      </c>
      <c r="F261" s="415">
        <f t="shared" ref="F261:F274" si="27">IF(C261=0,0,E261/C261)</f>
        <v>0.14883156729213792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698</v>
      </c>
      <c r="C262" s="361">
        <f>C16+C43+C189+C222</f>
        <v>136197019</v>
      </c>
      <c r="D262" s="361">
        <f>+LN_IA2+LN_IB2+LN_IF2+LN_IG2</f>
        <v>147399165</v>
      </c>
      <c r="E262" s="361">
        <f t="shared" si="26"/>
        <v>11202146</v>
      </c>
      <c r="F262" s="415">
        <f t="shared" si="27"/>
        <v>8.2249568178874757E-2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699</v>
      </c>
      <c r="C263" s="366">
        <f>IF(C261=0,0,C262/C261)</f>
        <v>0.33033684897128318</v>
      </c>
      <c r="D263" s="366">
        <f>IF(LN_IIA1=0,0,LN_IIA2/LN_IIA1)</f>
        <v>0.31119175545933664</v>
      </c>
      <c r="E263" s="367">
        <f t="shared" si="26"/>
        <v>-1.9145093511946543E-2</v>
      </c>
      <c r="F263" s="371">
        <f t="shared" si="27"/>
        <v>-5.7956275757812481E-2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700</v>
      </c>
      <c r="C264" s="369">
        <f>C18+C45+C191+C224</f>
        <v>13918</v>
      </c>
      <c r="D264" s="369">
        <f>LN_IA4+LN_IB4+LN_IF4+LN_IG3</f>
        <v>13855</v>
      </c>
      <c r="E264" s="369">
        <f t="shared" si="26"/>
        <v>-63</v>
      </c>
      <c r="F264" s="415">
        <f t="shared" si="27"/>
        <v>-4.5265124299468315E-3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701</v>
      </c>
      <c r="C265" s="439">
        <f>IF(C264=0,0,C266/C264)</f>
        <v>1.1838811251616612</v>
      </c>
      <c r="D265" s="439">
        <f>IF(LN_IIA4=0,0,LN_IIA6/LN_IIA4)</f>
        <v>1.21346661854926</v>
      </c>
      <c r="E265" s="439">
        <f t="shared" si="26"/>
        <v>2.9585493387598749E-2</v>
      </c>
      <c r="F265" s="415">
        <f t="shared" si="27"/>
        <v>2.4990256841504077E-2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702</v>
      </c>
      <c r="C266" s="376">
        <f>C20+C47+C193+C226</f>
        <v>16477.2575</v>
      </c>
      <c r="D266" s="376">
        <f>LN_IA6+LN_IB6+LN_IF6+LN_IG5</f>
        <v>16812.579999999998</v>
      </c>
      <c r="E266" s="376">
        <f t="shared" si="26"/>
        <v>335.3224999999984</v>
      </c>
      <c r="F266" s="415">
        <f t="shared" si="27"/>
        <v>2.0350625703336761E-2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703</v>
      </c>
      <c r="C267" s="361">
        <f>C27+C56+C203+C233</f>
        <v>525845728</v>
      </c>
      <c r="D267" s="361">
        <f>LN_IA11+LN_IB13+LN_IF14+LN_IG9</f>
        <v>560012120</v>
      </c>
      <c r="E267" s="361">
        <f t="shared" si="26"/>
        <v>34166392</v>
      </c>
      <c r="F267" s="415">
        <f t="shared" si="27"/>
        <v>6.4974174326657266E-2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624</v>
      </c>
      <c r="C268" s="366">
        <f>IF(C261=0,0,C267/C261)</f>
        <v>1.2754039854024299</v>
      </c>
      <c r="D268" s="366">
        <f>IF(LN_IIA1=0,0,LN_IIA7/LN_IIA1)</f>
        <v>1.1823076114529187</v>
      </c>
      <c r="E268" s="367">
        <f t="shared" si="26"/>
        <v>-9.3096373949511202E-2</v>
      </c>
      <c r="F268" s="371">
        <f t="shared" si="27"/>
        <v>-7.2993635753879488E-2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704</v>
      </c>
      <c r="C269" s="361">
        <f>C28+C57+C204+C234</f>
        <v>186021042</v>
      </c>
      <c r="D269" s="361">
        <f>LN_IA12+LN_IB14+LN_IF15+LN_IG10</f>
        <v>183150320</v>
      </c>
      <c r="E269" s="361">
        <f t="shared" si="26"/>
        <v>-2870722</v>
      </c>
      <c r="F269" s="415">
        <f t="shared" si="27"/>
        <v>-1.5432243412548995E-2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623</v>
      </c>
      <c r="C270" s="366">
        <f>IF(C267=0,0,C269/C267)</f>
        <v>0.35375592515985982</v>
      </c>
      <c r="D270" s="366">
        <f>IF(LN_IIA7=0,0,LN_IIA9/LN_IIA7)</f>
        <v>0.32704706462424421</v>
      </c>
      <c r="E270" s="367">
        <f t="shared" si="26"/>
        <v>-2.6708860535615608E-2</v>
      </c>
      <c r="F270" s="371">
        <f t="shared" si="27"/>
        <v>-7.5500814646556266E-2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705</v>
      </c>
      <c r="C271" s="353">
        <f>C261+C267</f>
        <v>938143113</v>
      </c>
      <c r="D271" s="353">
        <f>LN_IIA1+LN_IIA7</f>
        <v>1033672371</v>
      </c>
      <c r="E271" s="353">
        <f t="shared" si="26"/>
        <v>95529258</v>
      </c>
      <c r="F271" s="415">
        <f t="shared" si="27"/>
        <v>0.10182802247997742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706</v>
      </c>
      <c r="C272" s="353">
        <f>C262+C269</f>
        <v>322218061</v>
      </c>
      <c r="D272" s="353">
        <f>LN_IIA2+LN_IIA9</f>
        <v>330549485</v>
      </c>
      <c r="E272" s="353">
        <f t="shared" si="26"/>
        <v>8331424</v>
      </c>
      <c r="F272" s="415">
        <f t="shared" si="27"/>
        <v>2.5856477362390929E-2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707</v>
      </c>
      <c r="C273" s="366">
        <f>IF(C271=0,0,C272/C271)</f>
        <v>0.34346365339677126</v>
      </c>
      <c r="D273" s="366">
        <f>IF(LN_IIA11=0,0,LN_IIA12/LN_IIA11)</f>
        <v>0.31978167770917426</v>
      </c>
      <c r="E273" s="367">
        <f t="shared" si="26"/>
        <v>-2.3681975687597001E-2</v>
      </c>
      <c r="F273" s="371">
        <f t="shared" si="27"/>
        <v>-6.8950456484661693E-2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57829</v>
      </c>
      <c r="D274" s="421">
        <f>LN_IA8+LN_IB10+LN_IF11+LN_IG6</f>
        <v>59935</v>
      </c>
      <c r="E274" s="442">
        <f t="shared" si="26"/>
        <v>2106</v>
      </c>
      <c r="F274" s="371">
        <f t="shared" si="27"/>
        <v>3.6417714295595635E-2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709</v>
      </c>
      <c r="C277" s="361">
        <f>C15+C188+C221</f>
        <v>286656551</v>
      </c>
      <c r="D277" s="361">
        <f>LN_IA1+LN_IF1+LN_IG1</f>
        <v>331640653</v>
      </c>
      <c r="E277" s="361">
        <f t="shared" ref="E277:E291" si="28">D277-C277</f>
        <v>44984102</v>
      </c>
      <c r="F277" s="415">
        <f t="shared" ref="F277:F291" si="29">IF(C277=0,0,E277/C277)</f>
        <v>0.1569268235561796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710</v>
      </c>
      <c r="C278" s="361">
        <f>C16+C189+C222</f>
        <v>78483549</v>
      </c>
      <c r="D278" s="361">
        <f>LN_IA2+LN_IF2+LN_IG2</f>
        <v>81272557</v>
      </c>
      <c r="E278" s="361">
        <f t="shared" si="28"/>
        <v>2789008</v>
      </c>
      <c r="F278" s="415">
        <f t="shared" si="29"/>
        <v>3.5536211544154303E-2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711</v>
      </c>
      <c r="C279" s="366">
        <f>IF(C277=0,0,C278/C277)</f>
        <v>0.27378948335982733</v>
      </c>
      <c r="D279" s="366">
        <f>IF(D277=0,0,LN_IIB2/D277)</f>
        <v>0.24506210642396728</v>
      </c>
      <c r="E279" s="367">
        <f t="shared" si="28"/>
        <v>-2.8727376935860055E-2</v>
      </c>
      <c r="F279" s="371">
        <f t="shared" si="29"/>
        <v>-0.10492505622688637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712</v>
      </c>
      <c r="C280" s="369">
        <f>C18+C191+C224</f>
        <v>9201</v>
      </c>
      <c r="D280" s="369">
        <f>LN_IA4+LN_IF4+LN_IG3</f>
        <v>9449</v>
      </c>
      <c r="E280" s="369">
        <f t="shared" si="28"/>
        <v>248</v>
      </c>
      <c r="F280" s="415">
        <f t="shared" si="29"/>
        <v>2.695359200086947E-2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713</v>
      </c>
      <c r="C281" s="439">
        <f>IF(C280=0,0,C282/C280)</f>
        <v>1.2431915302684493</v>
      </c>
      <c r="D281" s="439">
        <f>IF(LN_IIB4=0,0,LN_IIB6/LN_IIB4)</f>
        <v>1.2542516668430526</v>
      </c>
      <c r="E281" s="439">
        <f t="shared" si="28"/>
        <v>1.1060136574603252E-2</v>
      </c>
      <c r="F281" s="415">
        <f t="shared" si="29"/>
        <v>8.8965668646527659E-3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714</v>
      </c>
      <c r="C282" s="376">
        <f>C20+C193+C226</f>
        <v>11438.605270000002</v>
      </c>
      <c r="D282" s="376">
        <f>LN_IA6+LN_IF6+LN_IG5</f>
        <v>11851.424000000003</v>
      </c>
      <c r="E282" s="376">
        <f t="shared" si="28"/>
        <v>412.81873000000087</v>
      </c>
      <c r="F282" s="415">
        <f t="shared" si="29"/>
        <v>3.6089953299000485E-2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715</v>
      </c>
      <c r="C283" s="361">
        <f>C27+C203+C233</f>
        <v>249653106</v>
      </c>
      <c r="D283" s="361">
        <f>LN_IA11+LN_IF14+LN_IG9</f>
        <v>285809633</v>
      </c>
      <c r="E283" s="361">
        <f t="shared" si="28"/>
        <v>36156527</v>
      </c>
      <c r="F283" s="415">
        <f t="shared" si="29"/>
        <v>0.14482706656171143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716</v>
      </c>
      <c r="C284" s="366">
        <f>IF(C277=0,0,C283/C277)</f>
        <v>0.87091366001958215</v>
      </c>
      <c r="D284" s="366">
        <f>IF(D277=0,0,LN_IIB7/D277)</f>
        <v>0.86180518104335058</v>
      </c>
      <c r="E284" s="367">
        <f t="shared" si="28"/>
        <v>-9.108478976231571E-3</v>
      </c>
      <c r="F284" s="371">
        <f t="shared" si="29"/>
        <v>-1.0458532681674518E-2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717</v>
      </c>
      <c r="C285" s="361">
        <f>C28+C204+C234</f>
        <v>62232884</v>
      </c>
      <c r="D285" s="361">
        <f>LN_IA12+LN_IF15+LN_IG10</f>
        <v>66170985</v>
      </c>
      <c r="E285" s="361">
        <f t="shared" si="28"/>
        <v>3938101</v>
      </c>
      <c r="F285" s="415">
        <f t="shared" si="29"/>
        <v>6.3280065889281298E-2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718</v>
      </c>
      <c r="C286" s="366">
        <f>IF(C283=0,0,C285/C283)</f>
        <v>0.24927742737556807</v>
      </c>
      <c r="D286" s="366">
        <f>IF(LN_IIB7=0,0,LN_IIB9/LN_IIB7)</f>
        <v>0.23152118529188973</v>
      </c>
      <c r="E286" s="367">
        <f t="shared" si="28"/>
        <v>-1.7756242083678347E-2</v>
      </c>
      <c r="F286" s="371">
        <f t="shared" si="29"/>
        <v>-7.1230846172551016E-2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719</v>
      </c>
      <c r="C287" s="353">
        <f>C277+C283</f>
        <v>536309657</v>
      </c>
      <c r="D287" s="353">
        <f>D277+LN_IIB7</f>
        <v>617450286</v>
      </c>
      <c r="E287" s="353">
        <f t="shared" si="28"/>
        <v>81140629</v>
      </c>
      <c r="F287" s="415">
        <f t="shared" si="29"/>
        <v>0.15129436500152374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720</v>
      </c>
      <c r="C288" s="353">
        <f>C278+C285</f>
        <v>140716433</v>
      </c>
      <c r="D288" s="353">
        <f>LN_IIB2+LN_IIB9</f>
        <v>147443542</v>
      </c>
      <c r="E288" s="353">
        <f t="shared" si="28"/>
        <v>6727109</v>
      </c>
      <c r="F288" s="415">
        <f t="shared" si="29"/>
        <v>4.780613647305855E-2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721</v>
      </c>
      <c r="C289" s="366">
        <f>IF(C287=0,0,C288/C287)</f>
        <v>0.2623790773918509</v>
      </c>
      <c r="D289" s="366">
        <f>IF(LN_IIB11=0,0,LN_IIB12/LN_IIB11)</f>
        <v>0.23879419176429048</v>
      </c>
      <c r="E289" s="367">
        <f t="shared" si="28"/>
        <v>-2.358488562756042E-2</v>
      </c>
      <c r="F289" s="371">
        <f t="shared" si="29"/>
        <v>-8.9888591201719548E-2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41870</v>
      </c>
      <c r="D290" s="421">
        <f>LN_IA8+LN_IF11+LN_IG6</f>
        <v>44074</v>
      </c>
      <c r="E290" s="442">
        <f t="shared" si="28"/>
        <v>2204</v>
      </c>
      <c r="F290" s="371">
        <f t="shared" si="29"/>
        <v>5.2639121089085264E-2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722</v>
      </c>
      <c r="C291" s="361">
        <f>C287-C288</f>
        <v>395593224</v>
      </c>
      <c r="D291" s="429">
        <f>LN_IIB11-LN_IIB12</f>
        <v>470006744</v>
      </c>
      <c r="E291" s="353">
        <f t="shared" si="28"/>
        <v>74413520</v>
      </c>
      <c r="F291" s="415">
        <f t="shared" si="29"/>
        <v>0.18810615421461313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610</v>
      </c>
      <c r="C294" s="379">
        <f>IF(C18=0,0,C22/C18)</f>
        <v>4.6571349250416434</v>
      </c>
      <c r="D294" s="379">
        <f>IF(LN_IA4=0,0,LN_IA8/LN_IA4)</f>
        <v>4.7733622677336225</v>
      </c>
      <c r="E294" s="379">
        <f t="shared" ref="E294:E300" si="30">D294-C294</f>
        <v>0.1162273426919791</v>
      </c>
      <c r="F294" s="415">
        <f t="shared" ref="F294:F300" si="31">IF(C294=0,0,E294/C294)</f>
        <v>2.4956833882355214E-2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631</v>
      </c>
      <c r="C295" s="379">
        <f>IF(C45=0,0,C51/C45)</f>
        <v>3.3832944668221328</v>
      </c>
      <c r="D295" s="379">
        <f>IF(LN_IB4=0,0,(LN_IB10)/(LN_IB4))</f>
        <v>3.5998638220608261</v>
      </c>
      <c r="E295" s="379">
        <f t="shared" si="30"/>
        <v>0.21656935523869336</v>
      </c>
      <c r="F295" s="415">
        <f t="shared" si="31"/>
        <v>6.4011382208215839E-2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646</v>
      </c>
      <c r="C296" s="379">
        <f>IF(C86=0,0,C93/C86)</f>
        <v>4.6528925619834709</v>
      </c>
      <c r="D296" s="379">
        <f>IF(LN_IC4=0,0,LN_IC11/LN_IC4)</f>
        <v>4.3134328358208958</v>
      </c>
      <c r="E296" s="379">
        <f t="shared" si="30"/>
        <v>-0.33945972616257514</v>
      </c>
      <c r="F296" s="415">
        <f t="shared" si="31"/>
        <v>-7.2956708464780806E-2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3.9447447447447446</v>
      </c>
      <c r="D297" s="379">
        <f>IF(LN_ID4=0,0,LN_ID11/LN_ID4)</f>
        <v>4.2983234714003942</v>
      </c>
      <c r="E297" s="379">
        <f t="shared" si="30"/>
        <v>0.3535787266556496</v>
      </c>
      <c r="F297" s="415">
        <f t="shared" si="31"/>
        <v>8.9632853209752839E-2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723</v>
      </c>
      <c r="C298" s="379">
        <f>IF(C156=0,0,C163/C156)</f>
        <v>5.5674740484429064</v>
      </c>
      <c r="D298" s="379">
        <f>IF(LN_IE4=0,0,LN_IE11/LN_IE4)</f>
        <v>0</v>
      </c>
      <c r="E298" s="379">
        <f t="shared" si="30"/>
        <v>-5.5674740484429064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3.3255813953488373</v>
      </c>
      <c r="D299" s="379">
        <f>IF(LN_IG3=0,0,LN_IG6/LN_IG3)</f>
        <v>3.3958333333333335</v>
      </c>
      <c r="E299" s="379">
        <f t="shared" si="30"/>
        <v>7.0251937984496138E-2</v>
      </c>
      <c r="F299" s="415">
        <f t="shared" si="31"/>
        <v>2.1124708624708628E-2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724</v>
      </c>
      <c r="C300" s="379">
        <f>IF(C264=0,0,C274/C264)</f>
        <v>4.1549791636729418</v>
      </c>
      <c r="D300" s="379">
        <f>IF(LN_IIA4=0,0,LN_IIA14/LN_IIA4)</f>
        <v>4.3258751353302056</v>
      </c>
      <c r="E300" s="379">
        <f t="shared" si="30"/>
        <v>0.17089597165726378</v>
      </c>
      <c r="F300" s="415">
        <f t="shared" si="31"/>
        <v>4.1130404010544831E-2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719</v>
      </c>
      <c r="C304" s="353">
        <f>C35+C66+C214+C221+C233</f>
        <v>938143113</v>
      </c>
      <c r="D304" s="353">
        <f>LN_IIA11</f>
        <v>1033672371</v>
      </c>
      <c r="E304" s="353">
        <f t="shared" ref="E304:E316" si="32">D304-C304</f>
        <v>95529258</v>
      </c>
      <c r="F304" s="362">
        <f>IF(C304=0,0,E304/C304)</f>
        <v>0.10182802247997742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722</v>
      </c>
      <c r="C305" s="353">
        <f>C291</f>
        <v>395593224</v>
      </c>
      <c r="D305" s="353">
        <f>LN_IIB14</f>
        <v>470006744</v>
      </c>
      <c r="E305" s="353">
        <f t="shared" si="32"/>
        <v>74413520</v>
      </c>
      <c r="F305" s="362">
        <f>IF(C305=0,0,E305/C305)</f>
        <v>0.18810615421461313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726</v>
      </c>
      <c r="C306" s="353">
        <f>C250</f>
        <v>21378797</v>
      </c>
      <c r="D306" s="353">
        <f>LN_IH6</f>
        <v>20426836</v>
      </c>
      <c r="E306" s="353">
        <f t="shared" si="32"/>
        <v>-951961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727</v>
      </c>
      <c r="C307" s="353">
        <f>C73-C74</f>
        <v>181709768</v>
      </c>
      <c r="D307" s="353">
        <f>LN_IB32-LN_IB33</f>
        <v>192878887</v>
      </c>
      <c r="E307" s="353">
        <f t="shared" si="32"/>
        <v>11169119</v>
      </c>
      <c r="F307" s="362">
        <f t="shared" ref="F307:F316" si="33">IF(C307=0,0,E307/C307)</f>
        <v>6.1466805681024257E-2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728</v>
      </c>
      <c r="C308" s="353">
        <v>14229964</v>
      </c>
      <c r="D308" s="353">
        <v>16640238</v>
      </c>
      <c r="E308" s="353">
        <f t="shared" si="32"/>
        <v>2410274</v>
      </c>
      <c r="F308" s="362">
        <f t="shared" si="33"/>
        <v>0.1693801895774297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729</v>
      </c>
      <c r="C309" s="353">
        <f>C305+C307+C308+C306</f>
        <v>612911753</v>
      </c>
      <c r="D309" s="353">
        <f>LN_III2+LN_III3+LN_III4+LN_III5</f>
        <v>699952705</v>
      </c>
      <c r="E309" s="353">
        <f t="shared" si="32"/>
        <v>87040952</v>
      </c>
      <c r="F309" s="362">
        <f t="shared" si="33"/>
        <v>0.14201220905613798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730</v>
      </c>
      <c r="C310" s="353">
        <f>C304-C309</f>
        <v>325231360</v>
      </c>
      <c r="D310" s="353">
        <f>LN_III1-LN_III6</f>
        <v>333719666</v>
      </c>
      <c r="E310" s="353">
        <f t="shared" si="32"/>
        <v>8488306</v>
      </c>
      <c r="F310" s="362">
        <f t="shared" si="33"/>
        <v>2.6099285136587075E-2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731</v>
      </c>
      <c r="C311" s="353">
        <f>C245</f>
        <v>1608918</v>
      </c>
      <c r="D311" s="353">
        <f>LN_IH3</f>
        <v>0</v>
      </c>
      <c r="E311" s="353">
        <f t="shared" si="32"/>
        <v>-1608918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732</v>
      </c>
      <c r="C312" s="353">
        <f>C310+C311</f>
        <v>326840278</v>
      </c>
      <c r="D312" s="353">
        <f>LN_III7+LN_III8</f>
        <v>333719666</v>
      </c>
      <c r="E312" s="353">
        <f t="shared" si="32"/>
        <v>6879388</v>
      </c>
      <c r="F312" s="362">
        <f t="shared" si="33"/>
        <v>2.1048164694071152E-2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733</v>
      </c>
      <c r="C313" s="448">
        <f>IF(C304=0,0,C312/C304)</f>
        <v>0.34839063834815998</v>
      </c>
      <c r="D313" s="448">
        <f>IF(LN_III1=0,0,LN_III9/LN_III1)</f>
        <v>0.32284858854953374</v>
      </c>
      <c r="E313" s="448">
        <f t="shared" si="32"/>
        <v>-2.5542049798626232E-2</v>
      </c>
      <c r="F313" s="362">
        <f t="shared" si="33"/>
        <v>-7.3314397653535951E-2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691</v>
      </c>
      <c r="C314" s="353">
        <f>C306*C313</f>
        <v>7448172.7339457273</v>
      </c>
      <c r="D314" s="353">
        <f>D313*LN_III5</f>
        <v>6594775.1711328039</v>
      </c>
      <c r="E314" s="353">
        <f t="shared" si="32"/>
        <v>-853397.56281292345</v>
      </c>
      <c r="F314" s="362">
        <f t="shared" si="33"/>
        <v>-0.11457811107461111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694</v>
      </c>
      <c r="C315" s="353">
        <f>(C214*C313)-C215</f>
        <v>12964495.842497528</v>
      </c>
      <c r="D315" s="353">
        <f>D313*LN_IH8-LN_IH9</f>
        <v>11990112.914563648</v>
      </c>
      <c r="E315" s="353">
        <f t="shared" si="32"/>
        <v>-974382.9279338792</v>
      </c>
      <c r="F315" s="362">
        <f t="shared" si="33"/>
        <v>-7.5157795549585404E-2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736</v>
      </c>
      <c r="C318" s="353">
        <f>C314+C315+C316</f>
        <v>20412668.576443255</v>
      </c>
      <c r="D318" s="353">
        <f>D314+D315+D316</f>
        <v>18584888.085696451</v>
      </c>
      <c r="E318" s="353">
        <f>D318-C318</f>
        <v>-1827780.4907468036</v>
      </c>
      <c r="F318" s="362">
        <f>IF(C318=0,0,E318/C318)</f>
        <v>-8.9541476848162285E-2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2588621.5811640746</v>
      </c>
      <c r="D322" s="353">
        <f>LN_ID22</f>
        <v>5112634.7696870258</v>
      </c>
      <c r="E322" s="353">
        <f>LN_IV2-C322</f>
        <v>2524013.1885229512</v>
      </c>
      <c r="F322" s="362">
        <f>IF(C322=0,0,E322/C322)</f>
        <v>0.97504139148369851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723</v>
      </c>
      <c r="C323" s="353">
        <f>C162+C176</f>
        <v>4985143.1440244652</v>
      </c>
      <c r="D323" s="353">
        <f>LN_IE10+LN_IE22</f>
        <v>0</v>
      </c>
      <c r="E323" s="353">
        <f>LN_IV3-C323</f>
        <v>-4985143.1440244652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738</v>
      </c>
      <c r="C324" s="353">
        <f>C92+C106</f>
        <v>-886155.7980766641</v>
      </c>
      <c r="D324" s="353">
        <f>LN_IC10+LN_IC22</f>
        <v>-2890352.1092822459</v>
      </c>
      <c r="E324" s="353">
        <f>LN_IV1-C324</f>
        <v>-2004196.3112055818</v>
      </c>
      <c r="F324" s="362">
        <f>IF(C324=0,0,E324/C324)</f>
        <v>2.2616748833055569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739</v>
      </c>
      <c r="C325" s="429">
        <f>C324+C322+C323</f>
        <v>6687608.9271118753</v>
      </c>
      <c r="D325" s="429">
        <f>LN_IV1+LN_IV2+LN_IV3</f>
        <v>2222282.6604047799</v>
      </c>
      <c r="E325" s="353">
        <f>LN_IV4-C325</f>
        <v>-4465326.2667070953</v>
      </c>
      <c r="F325" s="362">
        <f>IF(C325=0,0,E325/C325)</f>
        <v>-0.66770146331440772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740</v>
      </c>
      <c r="B327" s="446" t="s">
        <v>741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742</v>
      </c>
      <c r="C329" s="431">
        <v>20675399</v>
      </c>
      <c r="D329" s="431">
        <v>23580041</v>
      </c>
      <c r="E329" s="431">
        <f t="shared" ref="E329:E335" si="34">D329-C329</f>
        <v>2904642</v>
      </c>
      <c r="F329" s="462">
        <f t="shared" ref="F329:F335" si="35">IF(C329=0,0,E329/C329)</f>
        <v>0.14048783290711825</v>
      </c>
    </row>
    <row r="330" spans="1:22" s="333" customFormat="1" ht="11.25" customHeight="1" x14ac:dyDescent="0.2">
      <c r="A330" s="364">
        <v>2</v>
      </c>
      <c r="B330" s="360" t="s">
        <v>743</v>
      </c>
      <c r="C330" s="429">
        <v>2854644</v>
      </c>
      <c r="D330" s="429">
        <v>5563767</v>
      </c>
      <c r="E330" s="431">
        <f t="shared" si="34"/>
        <v>2709123</v>
      </c>
      <c r="F330" s="463">
        <f t="shared" si="35"/>
        <v>0.9490230655731503</v>
      </c>
    </row>
    <row r="331" spans="1:22" s="333" customFormat="1" ht="11.25" customHeight="1" x14ac:dyDescent="0.2">
      <c r="A331" s="339">
        <v>3</v>
      </c>
      <c r="B331" s="360" t="s">
        <v>744</v>
      </c>
      <c r="C331" s="429">
        <v>326681627</v>
      </c>
      <c r="D331" s="429">
        <v>336113214</v>
      </c>
      <c r="E331" s="431">
        <f t="shared" si="34"/>
        <v>9431587</v>
      </c>
      <c r="F331" s="462">
        <f t="shared" si="35"/>
        <v>2.8870882903984069E-2</v>
      </c>
    </row>
    <row r="332" spans="1:22" s="333" customFormat="1" ht="11.25" customHeight="1" x14ac:dyDescent="0.2">
      <c r="A332" s="364">
        <v>4</v>
      </c>
      <c r="B332" s="360" t="s">
        <v>745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746</v>
      </c>
      <c r="C333" s="429">
        <v>938143112</v>
      </c>
      <c r="D333" s="429">
        <v>1033672371</v>
      </c>
      <c r="E333" s="431">
        <f t="shared" si="34"/>
        <v>95529259</v>
      </c>
      <c r="F333" s="462">
        <f t="shared" si="35"/>
        <v>0.10182802365445497</v>
      </c>
    </row>
    <row r="334" spans="1:22" s="333" customFormat="1" ht="11.25" customHeight="1" x14ac:dyDescent="0.2">
      <c r="A334" s="339">
        <v>6</v>
      </c>
      <c r="B334" s="360" t="s">
        <v>747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748</v>
      </c>
      <c r="C335" s="429">
        <v>21378797</v>
      </c>
      <c r="D335" s="429">
        <v>20426836</v>
      </c>
      <c r="E335" s="429">
        <f t="shared" si="34"/>
        <v>-951961</v>
      </c>
      <c r="F335" s="462">
        <f t="shared" si="35"/>
        <v>-4.4528277245908646E-2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FILING&amp;RMIDDLESEX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8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749</v>
      </c>
      <c r="B5" s="710"/>
      <c r="C5" s="710"/>
      <c r="D5" s="710"/>
      <c r="E5" s="710"/>
    </row>
    <row r="6" spans="1:5" s="338" customFormat="1" ht="15.75" customHeight="1" x14ac:dyDescent="0.25">
      <c r="A6" s="710" t="s">
        <v>750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751</v>
      </c>
      <c r="D9" s="494" t="s">
        <v>752</v>
      </c>
      <c r="E9" s="495" t="s">
        <v>753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631</v>
      </c>
      <c r="C14" s="513">
        <v>125640834</v>
      </c>
      <c r="D14" s="513">
        <v>142019598</v>
      </c>
      <c r="E14" s="514">
        <f t="shared" ref="E14:E22" si="0">D14-C14</f>
        <v>16378764</v>
      </c>
    </row>
    <row r="15" spans="1:5" s="506" customFormat="1" x14ac:dyDescent="0.2">
      <c r="A15" s="512">
        <v>2</v>
      </c>
      <c r="B15" s="511" t="s">
        <v>610</v>
      </c>
      <c r="C15" s="513">
        <v>237936712</v>
      </c>
      <c r="D15" s="515">
        <v>274740403</v>
      </c>
      <c r="E15" s="514">
        <f t="shared" si="0"/>
        <v>36803691</v>
      </c>
    </row>
    <row r="16" spans="1:5" s="506" customFormat="1" x14ac:dyDescent="0.2">
      <c r="A16" s="512">
        <v>3</v>
      </c>
      <c r="B16" s="511" t="s">
        <v>756</v>
      </c>
      <c r="C16" s="513">
        <v>47803856</v>
      </c>
      <c r="D16" s="515">
        <v>55732451</v>
      </c>
      <c r="E16" s="514">
        <f t="shared" si="0"/>
        <v>7928595</v>
      </c>
    </row>
    <row r="17" spans="1:5" s="506" customFormat="1" x14ac:dyDescent="0.2">
      <c r="A17" s="512">
        <v>4</v>
      </c>
      <c r="B17" s="511" t="s">
        <v>114</v>
      </c>
      <c r="C17" s="513">
        <v>39855345</v>
      </c>
      <c r="D17" s="515">
        <v>55732451</v>
      </c>
      <c r="E17" s="514">
        <f t="shared" si="0"/>
        <v>15877106</v>
      </c>
    </row>
    <row r="18" spans="1:5" s="506" customFormat="1" x14ac:dyDescent="0.2">
      <c r="A18" s="512">
        <v>5</v>
      </c>
      <c r="B18" s="511" t="s">
        <v>723</v>
      </c>
      <c r="C18" s="513">
        <v>7948511</v>
      </c>
      <c r="D18" s="515">
        <v>0</v>
      </c>
      <c r="E18" s="514">
        <f t="shared" si="0"/>
        <v>-7948511</v>
      </c>
    </row>
    <row r="19" spans="1:5" s="506" customFormat="1" x14ac:dyDescent="0.2">
      <c r="A19" s="512">
        <v>6</v>
      </c>
      <c r="B19" s="511" t="s">
        <v>418</v>
      </c>
      <c r="C19" s="513">
        <v>915983</v>
      </c>
      <c r="D19" s="515">
        <v>1167799</v>
      </c>
      <c r="E19" s="514">
        <f t="shared" si="0"/>
        <v>251816</v>
      </c>
    </row>
    <row r="20" spans="1:5" s="506" customFormat="1" x14ac:dyDescent="0.2">
      <c r="A20" s="512">
        <v>7</v>
      </c>
      <c r="B20" s="511" t="s">
        <v>738</v>
      </c>
      <c r="C20" s="513">
        <v>7173325</v>
      </c>
      <c r="D20" s="515">
        <v>6310560</v>
      </c>
      <c r="E20" s="514">
        <f t="shared" si="0"/>
        <v>-862765</v>
      </c>
    </row>
    <row r="21" spans="1:5" s="506" customFormat="1" x14ac:dyDescent="0.2">
      <c r="A21" s="512"/>
      <c r="B21" s="516" t="s">
        <v>757</v>
      </c>
      <c r="C21" s="517">
        <f>SUM(C15+C16+C19)</f>
        <v>286656551</v>
      </c>
      <c r="D21" s="517">
        <f>SUM(D15+D16+D19)</f>
        <v>331640653</v>
      </c>
      <c r="E21" s="517">
        <f t="shared" si="0"/>
        <v>44984102</v>
      </c>
    </row>
    <row r="22" spans="1:5" s="506" customFormat="1" x14ac:dyDescent="0.2">
      <c r="A22" s="512"/>
      <c r="B22" s="516" t="s">
        <v>697</v>
      </c>
      <c r="C22" s="517">
        <f>SUM(C14+C21)</f>
        <v>412297385</v>
      </c>
      <c r="D22" s="517">
        <f>SUM(D14+D21)</f>
        <v>473660251</v>
      </c>
      <c r="E22" s="517">
        <f t="shared" si="0"/>
        <v>61362866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631</v>
      </c>
      <c r="C25" s="513">
        <v>276192622</v>
      </c>
      <c r="D25" s="513">
        <v>274202487</v>
      </c>
      <c r="E25" s="514">
        <f t="shared" ref="E25:E33" si="1">D25-C25</f>
        <v>-1990135</v>
      </c>
    </row>
    <row r="26" spans="1:5" s="506" customFormat="1" x14ac:dyDescent="0.2">
      <c r="A26" s="512">
        <v>2</v>
      </c>
      <c r="B26" s="511" t="s">
        <v>610</v>
      </c>
      <c r="C26" s="513">
        <v>179328360</v>
      </c>
      <c r="D26" s="515">
        <v>202223329</v>
      </c>
      <c r="E26" s="514">
        <f t="shared" si="1"/>
        <v>22894969</v>
      </c>
    </row>
    <row r="27" spans="1:5" s="506" customFormat="1" x14ac:dyDescent="0.2">
      <c r="A27" s="512">
        <v>3</v>
      </c>
      <c r="B27" s="511" t="s">
        <v>756</v>
      </c>
      <c r="C27" s="513">
        <v>68405796</v>
      </c>
      <c r="D27" s="515">
        <v>81366364</v>
      </c>
      <c r="E27" s="514">
        <f t="shared" si="1"/>
        <v>12960568</v>
      </c>
    </row>
    <row r="28" spans="1:5" s="506" customFormat="1" x14ac:dyDescent="0.2">
      <c r="A28" s="512">
        <v>4</v>
      </c>
      <c r="B28" s="511" t="s">
        <v>114</v>
      </c>
      <c r="C28" s="513">
        <v>59129382</v>
      </c>
      <c r="D28" s="515">
        <v>81366364</v>
      </c>
      <c r="E28" s="514">
        <f t="shared" si="1"/>
        <v>22236982</v>
      </c>
    </row>
    <row r="29" spans="1:5" s="506" customFormat="1" x14ac:dyDescent="0.2">
      <c r="A29" s="512">
        <v>5</v>
      </c>
      <c r="B29" s="511" t="s">
        <v>723</v>
      </c>
      <c r="C29" s="513">
        <v>9276414</v>
      </c>
      <c r="D29" s="515">
        <v>0</v>
      </c>
      <c r="E29" s="514">
        <f t="shared" si="1"/>
        <v>-9276414</v>
      </c>
    </row>
    <row r="30" spans="1:5" s="506" customFormat="1" x14ac:dyDescent="0.2">
      <c r="A30" s="512">
        <v>6</v>
      </c>
      <c r="B30" s="511" t="s">
        <v>418</v>
      </c>
      <c r="C30" s="513">
        <v>1918950</v>
      </c>
      <c r="D30" s="515">
        <v>2219940</v>
      </c>
      <c r="E30" s="514">
        <f t="shared" si="1"/>
        <v>300990</v>
      </c>
    </row>
    <row r="31" spans="1:5" s="506" customFormat="1" x14ac:dyDescent="0.2">
      <c r="A31" s="512">
        <v>7</v>
      </c>
      <c r="B31" s="511" t="s">
        <v>738</v>
      </c>
      <c r="C31" s="514">
        <v>14092307</v>
      </c>
      <c r="D31" s="518">
        <v>13906189</v>
      </c>
      <c r="E31" s="514">
        <f t="shared" si="1"/>
        <v>-186118</v>
      </c>
    </row>
    <row r="32" spans="1:5" s="506" customFormat="1" x14ac:dyDescent="0.2">
      <c r="A32" s="512"/>
      <c r="B32" s="516" t="s">
        <v>759</v>
      </c>
      <c r="C32" s="517">
        <f>SUM(C26+C27+C30)</f>
        <v>249653106</v>
      </c>
      <c r="D32" s="517">
        <f>SUM(D26+D27+D30)</f>
        <v>285809633</v>
      </c>
      <c r="E32" s="517">
        <f t="shared" si="1"/>
        <v>36156527</v>
      </c>
    </row>
    <row r="33" spans="1:5" s="506" customFormat="1" x14ac:dyDescent="0.2">
      <c r="A33" s="512"/>
      <c r="B33" s="516" t="s">
        <v>703</v>
      </c>
      <c r="C33" s="517">
        <f>SUM(C25+C32)</f>
        <v>525845728</v>
      </c>
      <c r="D33" s="517">
        <f>SUM(D25+D32)</f>
        <v>560012120</v>
      </c>
      <c r="E33" s="517">
        <f t="shared" si="1"/>
        <v>34166392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760</v>
      </c>
      <c r="C36" s="514">
        <f t="shared" ref="C36:D42" si="2">C14+C25</f>
        <v>401833456</v>
      </c>
      <c r="D36" s="514">
        <f t="shared" si="2"/>
        <v>416222085</v>
      </c>
      <c r="E36" s="514">
        <f t="shared" ref="E36:E44" si="3">D36-C36</f>
        <v>14388629</v>
      </c>
    </row>
    <row r="37" spans="1:5" s="506" customFormat="1" x14ac:dyDescent="0.2">
      <c r="A37" s="512">
        <v>2</v>
      </c>
      <c r="B37" s="511" t="s">
        <v>761</v>
      </c>
      <c r="C37" s="514">
        <f t="shared" si="2"/>
        <v>417265072</v>
      </c>
      <c r="D37" s="514">
        <f t="shared" si="2"/>
        <v>476963732</v>
      </c>
      <c r="E37" s="514">
        <f t="shared" si="3"/>
        <v>59698660</v>
      </c>
    </row>
    <row r="38" spans="1:5" s="506" customFormat="1" x14ac:dyDescent="0.2">
      <c r="A38" s="512">
        <v>3</v>
      </c>
      <c r="B38" s="511" t="s">
        <v>762</v>
      </c>
      <c r="C38" s="514">
        <f t="shared" si="2"/>
        <v>116209652</v>
      </c>
      <c r="D38" s="514">
        <f t="shared" si="2"/>
        <v>137098815</v>
      </c>
      <c r="E38" s="514">
        <f t="shared" si="3"/>
        <v>20889163</v>
      </c>
    </row>
    <row r="39" spans="1:5" s="506" customFormat="1" x14ac:dyDescent="0.2">
      <c r="A39" s="512">
        <v>4</v>
      </c>
      <c r="B39" s="511" t="s">
        <v>763</v>
      </c>
      <c r="C39" s="514">
        <f t="shared" si="2"/>
        <v>98984727</v>
      </c>
      <c r="D39" s="514">
        <f t="shared" si="2"/>
        <v>137098815</v>
      </c>
      <c r="E39" s="514">
        <f t="shared" si="3"/>
        <v>38114088</v>
      </c>
    </row>
    <row r="40" spans="1:5" s="506" customFormat="1" x14ac:dyDescent="0.2">
      <c r="A40" s="512">
        <v>5</v>
      </c>
      <c r="B40" s="511" t="s">
        <v>764</v>
      </c>
      <c r="C40" s="514">
        <f t="shared" si="2"/>
        <v>17224925</v>
      </c>
      <c r="D40" s="514">
        <f t="shared" si="2"/>
        <v>0</v>
      </c>
      <c r="E40" s="514">
        <f t="shared" si="3"/>
        <v>-17224925</v>
      </c>
    </row>
    <row r="41" spans="1:5" s="506" customFormat="1" x14ac:dyDescent="0.2">
      <c r="A41" s="512">
        <v>6</v>
      </c>
      <c r="B41" s="511" t="s">
        <v>765</v>
      </c>
      <c r="C41" s="514">
        <f t="shared" si="2"/>
        <v>2834933</v>
      </c>
      <c r="D41" s="514">
        <f t="shared" si="2"/>
        <v>3387739</v>
      </c>
      <c r="E41" s="514">
        <f t="shared" si="3"/>
        <v>552806</v>
      </c>
    </row>
    <row r="42" spans="1:5" s="506" customFormat="1" x14ac:dyDescent="0.2">
      <c r="A42" s="512">
        <v>7</v>
      </c>
      <c r="B42" s="511" t="s">
        <v>766</v>
      </c>
      <c r="C42" s="514">
        <f t="shared" si="2"/>
        <v>21265632</v>
      </c>
      <c r="D42" s="514">
        <f t="shared" si="2"/>
        <v>20216749</v>
      </c>
      <c r="E42" s="514">
        <f t="shared" si="3"/>
        <v>-1048883</v>
      </c>
    </row>
    <row r="43" spans="1:5" s="506" customFormat="1" x14ac:dyDescent="0.2">
      <c r="A43" s="512"/>
      <c r="B43" s="516" t="s">
        <v>767</v>
      </c>
      <c r="C43" s="517">
        <f>SUM(C37+C38+C41)</f>
        <v>536309657</v>
      </c>
      <c r="D43" s="517">
        <f>SUM(D37+D38+D41)</f>
        <v>617450286</v>
      </c>
      <c r="E43" s="517">
        <f t="shared" si="3"/>
        <v>81140629</v>
      </c>
    </row>
    <row r="44" spans="1:5" s="506" customFormat="1" x14ac:dyDescent="0.2">
      <c r="A44" s="512"/>
      <c r="B44" s="516" t="s">
        <v>705</v>
      </c>
      <c r="C44" s="517">
        <f>SUM(C36+C43)</f>
        <v>938143113</v>
      </c>
      <c r="D44" s="517">
        <f>SUM(D36+D43)</f>
        <v>1033672371</v>
      </c>
      <c r="E44" s="517">
        <f t="shared" si="3"/>
        <v>95529258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631</v>
      </c>
      <c r="C47" s="513">
        <v>57713470</v>
      </c>
      <c r="D47" s="513">
        <v>66126608</v>
      </c>
      <c r="E47" s="514">
        <f t="shared" ref="E47:E55" si="4">D47-C47</f>
        <v>8413138</v>
      </c>
    </row>
    <row r="48" spans="1:5" s="506" customFormat="1" x14ac:dyDescent="0.2">
      <c r="A48" s="512">
        <v>2</v>
      </c>
      <c r="B48" s="511" t="s">
        <v>610</v>
      </c>
      <c r="C48" s="513">
        <v>68309563</v>
      </c>
      <c r="D48" s="515">
        <v>68628846</v>
      </c>
      <c r="E48" s="514">
        <f t="shared" si="4"/>
        <v>319283</v>
      </c>
    </row>
    <row r="49" spans="1:5" s="506" customFormat="1" x14ac:dyDescent="0.2">
      <c r="A49" s="512">
        <v>3</v>
      </c>
      <c r="B49" s="511" t="s">
        <v>756</v>
      </c>
      <c r="C49" s="513">
        <v>9978042</v>
      </c>
      <c r="D49" s="515">
        <v>12421651</v>
      </c>
      <c r="E49" s="514">
        <f t="shared" si="4"/>
        <v>2443609</v>
      </c>
    </row>
    <row r="50" spans="1:5" s="506" customFormat="1" x14ac:dyDescent="0.2">
      <c r="A50" s="512">
        <v>4</v>
      </c>
      <c r="B50" s="511" t="s">
        <v>114</v>
      </c>
      <c r="C50" s="513">
        <v>9978042</v>
      </c>
      <c r="D50" s="515">
        <v>12421651</v>
      </c>
      <c r="E50" s="514">
        <f t="shared" si="4"/>
        <v>2443609</v>
      </c>
    </row>
    <row r="51" spans="1:5" s="506" customFormat="1" x14ac:dyDescent="0.2">
      <c r="A51" s="512">
        <v>5</v>
      </c>
      <c r="B51" s="511" t="s">
        <v>723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418</v>
      </c>
      <c r="C52" s="513">
        <v>195944</v>
      </c>
      <c r="D52" s="515">
        <v>222060</v>
      </c>
      <c r="E52" s="514">
        <f t="shared" si="4"/>
        <v>26116</v>
      </c>
    </row>
    <row r="53" spans="1:5" s="506" customFormat="1" x14ac:dyDescent="0.2">
      <c r="A53" s="512">
        <v>7</v>
      </c>
      <c r="B53" s="511" t="s">
        <v>738</v>
      </c>
      <c r="C53" s="513">
        <v>2154497</v>
      </c>
      <c r="D53" s="515">
        <v>4381062</v>
      </c>
      <c r="E53" s="514">
        <f t="shared" si="4"/>
        <v>2226565</v>
      </c>
    </row>
    <row r="54" spans="1:5" s="506" customFormat="1" x14ac:dyDescent="0.2">
      <c r="A54" s="512"/>
      <c r="B54" s="516" t="s">
        <v>769</v>
      </c>
      <c r="C54" s="517">
        <f>SUM(C48+C49+C52)</f>
        <v>78483549</v>
      </c>
      <c r="D54" s="517">
        <f>SUM(D48+D49+D52)</f>
        <v>81272557</v>
      </c>
      <c r="E54" s="517">
        <f t="shared" si="4"/>
        <v>2789008</v>
      </c>
    </row>
    <row r="55" spans="1:5" s="506" customFormat="1" x14ac:dyDescent="0.2">
      <c r="A55" s="512"/>
      <c r="B55" s="516" t="s">
        <v>698</v>
      </c>
      <c r="C55" s="517">
        <f>SUM(C47+C54)</f>
        <v>136197019</v>
      </c>
      <c r="D55" s="517">
        <f>SUM(D47+D54)</f>
        <v>147399165</v>
      </c>
      <c r="E55" s="517">
        <f t="shared" si="4"/>
        <v>11202146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770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631</v>
      </c>
      <c r="C58" s="513">
        <v>123788158</v>
      </c>
      <c r="D58" s="513">
        <v>116979335</v>
      </c>
      <c r="E58" s="514">
        <f t="shared" ref="E58:E66" si="5">D58-C58</f>
        <v>-6808823</v>
      </c>
    </row>
    <row r="59" spans="1:5" s="506" customFormat="1" x14ac:dyDescent="0.2">
      <c r="A59" s="512">
        <v>2</v>
      </c>
      <c r="B59" s="511" t="s">
        <v>610</v>
      </c>
      <c r="C59" s="513">
        <v>44251358</v>
      </c>
      <c r="D59" s="515">
        <v>45755735</v>
      </c>
      <c r="E59" s="514">
        <f t="shared" si="5"/>
        <v>1504377</v>
      </c>
    </row>
    <row r="60" spans="1:5" s="506" customFormat="1" x14ac:dyDescent="0.2">
      <c r="A60" s="512">
        <v>3</v>
      </c>
      <c r="B60" s="511" t="s">
        <v>756</v>
      </c>
      <c r="C60" s="513">
        <f>C61+C62</f>
        <v>17543817</v>
      </c>
      <c r="D60" s="515">
        <f>D61+D62</f>
        <v>19850395</v>
      </c>
      <c r="E60" s="514">
        <f t="shared" si="5"/>
        <v>2306578</v>
      </c>
    </row>
    <row r="61" spans="1:5" s="506" customFormat="1" x14ac:dyDescent="0.2">
      <c r="A61" s="512">
        <v>4</v>
      </c>
      <c r="B61" s="511" t="s">
        <v>114</v>
      </c>
      <c r="C61" s="513">
        <v>17543817</v>
      </c>
      <c r="D61" s="515">
        <v>19850395</v>
      </c>
      <c r="E61" s="514">
        <f t="shared" si="5"/>
        <v>2306578</v>
      </c>
    </row>
    <row r="62" spans="1:5" s="506" customFormat="1" x14ac:dyDescent="0.2">
      <c r="A62" s="512">
        <v>5</v>
      </c>
      <c r="B62" s="511" t="s">
        <v>723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418</v>
      </c>
      <c r="C63" s="513">
        <v>437709</v>
      </c>
      <c r="D63" s="515">
        <v>564855</v>
      </c>
      <c r="E63" s="514">
        <f t="shared" si="5"/>
        <v>127146</v>
      </c>
    </row>
    <row r="64" spans="1:5" s="506" customFormat="1" x14ac:dyDescent="0.2">
      <c r="A64" s="512">
        <v>7</v>
      </c>
      <c r="B64" s="511" t="s">
        <v>738</v>
      </c>
      <c r="C64" s="513">
        <v>4402842</v>
      </c>
      <c r="D64" s="515">
        <v>3756191</v>
      </c>
      <c r="E64" s="514">
        <f t="shared" si="5"/>
        <v>-646651</v>
      </c>
    </row>
    <row r="65" spans="1:5" s="506" customFormat="1" x14ac:dyDescent="0.2">
      <c r="A65" s="512"/>
      <c r="B65" s="516" t="s">
        <v>771</v>
      </c>
      <c r="C65" s="517">
        <f>SUM(C59+C60+C63)</f>
        <v>62232884</v>
      </c>
      <c r="D65" s="517">
        <f>SUM(D59+D60+D63)</f>
        <v>66170985</v>
      </c>
      <c r="E65" s="517">
        <f t="shared" si="5"/>
        <v>3938101</v>
      </c>
    </row>
    <row r="66" spans="1:5" s="506" customFormat="1" x14ac:dyDescent="0.2">
      <c r="A66" s="512"/>
      <c r="B66" s="516" t="s">
        <v>704</v>
      </c>
      <c r="C66" s="517">
        <f>SUM(C58+C65)</f>
        <v>186021042</v>
      </c>
      <c r="D66" s="517">
        <f>SUM(D58+D65)</f>
        <v>183150320</v>
      </c>
      <c r="E66" s="517">
        <f t="shared" si="5"/>
        <v>-2870722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760</v>
      </c>
      <c r="C69" s="514">
        <f t="shared" ref="C69:D75" si="6">C47+C58</f>
        <v>181501628</v>
      </c>
      <c r="D69" s="514">
        <f t="shared" si="6"/>
        <v>183105943</v>
      </c>
      <c r="E69" s="514">
        <f t="shared" ref="E69:E77" si="7">D69-C69</f>
        <v>1604315</v>
      </c>
    </row>
    <row r="70" spans="1:5" s="506" customFormat="1" x14ac:dyDescent="0.2">
      <c r="A70" s="512">
        <v>2</v>
      </c>
      <c r="B70" s="511" t="s">
        <v>761</v>
      </c>
      <c r="C70" s="514">
        <f t="shared" si="6"/>
        <v>112560921</v>
      </c>
      <c r="D70" s="514">
        <f t="shared" si="6"/>
        <v>114384581</v>
      </c>
      <c r="E70" s="514">
        <f t="shared" si="7"/>
        <v>1823660</v>
      </c>
    </row>
    <row r="71" spans="1:5" s="506" customFormat="1" x14ac:dyDescent="0.2">
      <c r="A71" s="512">
        <v>3</v>
      </c>
      <c r="B71" s="511" t="s">
        <v>762</v>
      </c>
      <c r="C71" s="514">
        <f t="shared" si="6"/>
        <v>27521859</v>
      </c>
      <c r="D71" s="514">
        <f t="shared" si="6"/>
        <v>32272046</v>
      </c>
      <c r="E71" s="514">
        <f t="shared" si="7"/>
        <v>4750187</v>
      </c>
    </row>
    <row r="72" spans="1:5" s="506" customFormat="1" x14ac:dyDescent="0.2">
      <c r="A72" s="512">
        <v>4</v>
      </c>
      <c r="B72" s="511" t="s">
        <v>763</v>
      </c>
      <c r="C72" s="514">
        <f t="shared" si="6"/>
        <v>27521859</v>
      </c>
      <c r="D72" s="514">
        <f t="shared" si="6"/>
        <v>32272046</v>
      </c>
      <c r="E72" s="514">
        <f t="shared" si="7"/>
        <v>4750187</v>
      </c>
    </row>
    <row r="73" spans="1:5" s="506" customFormat="1" x14ac:dyDescent="0.2">
      <c r="A73" s="512">
        <v>5</v>
      </c>
      <c r="B73" s="511" t="s">
        <v>764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765</v>
      </c>
      <c r="C74" s="514">
        <f t="shared" si="6"/>
        <v>633653</v>
      </c>
      <c r="D74" s="514">
        <f t="shared" si="6"/>
        <v>786915</v>
      </c>
      <c r="E74" s="514">
        <f t="shared" si="7"/>
        <v>153262</v>
      </c>
    </row>
    <row r="75" spans="1:5" s="506" customFormat="1" x14ac:dyDescent="0.2">
      <c r="A75" s="512">
        <v>7</v>
      </c>
      <c r="B75" s="511" t="s">
        <v>766</v>
      </c>
      <c r="C75" s="514">
        <f t="shared" si="6"/>
        <v>6557339</v>
      </c>
      <c r="D75" s="514">
        <f t="shared" si="6"/>
        <v>8137253</v>
      </c>
      <c r="E75" s="514">
        <f t="shared" si="7"/>
        <v>1579914</v>
      </c>
    </row>
    <row r="76" spans="1:5" s="506" customFormat="1" x14ac:dyDescent="0.2">
      <c r="A76" s="512"/>
      <c r="B76" s="516" t="s">
        <v>772</v>
      </c>
      <c r="C76" s="517">
        <f>SUM(C70+C71+C74)</f>
        <v>140716433</v>
      </c>
      <c r="D76" s="517">
        <f>SUM(D70+D71+D74)</f>
        <v>147443542</v>
      </c>
      <c r="E76" s="517">
        <f t="shared" si="7"/>
        <v>6727109</v>
      </c>
    </row>
    <row r="77" spans="1:5" s="506" customFormat="1" x14ac:dyDescent="0.2">
      <c r="A77" s="512"/>
      <c r="B77" s="516" t="s">
        <v>706</v>
      </c>
      <c r="C77" s="517">
        <f>SUM(C69+C76)</f>
        <v>322218061</v>
      </c>
      <c r="D77" s="517">
        <f>SUM(D69+D76)</f>
        <v>330549485</v>
      </c>
      <c r="E77" s="517">
        <f t="shared" si="7"/>
        <v>8331424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773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631</v>
      </c>
      <c r="C83" s="523">
        <f t="shared" ref="C83:D89" si="8">IF(C$44=0,0,C14/C$44)</f>
        <v>0.1339250187513768</v>
      </c>
      <c r="D83" s="523">
        <f t="shared" si="8"/>
        <v>0.13739324178956894</v>
      </c>
      <c r="E83" s="523">
        <f t="shared" ref="E83:E91" si="9">D83-C83</f>
        <v>3.4682230381921364E-3</v>
      </c>
    </row>
    <row r="84" spans="1:5" s="506" customFormat="1" x14ac:dyDescent="0.2">
      <c r="A84" s="512">
        <v>2</v>
      </c>
      <c r="B84" s="511" t="s">
        <v>610</v>
      </c>
      <c r="C84" s="523">
        <f t="shared" si="8"/>
        <v>0.25362517584244099</v>
      </c>
      <c r="D84" s="523">
        <f t="shared" si="8"/>
        <v>0.26579060320071185</v>
      </c>
      <c r="E84" s="523">
        <f t="shared" si="9"/>
        <v>1.2165427358270864E-2</v>
      </c>
    </row>
    <row r="85" spans="1:5" s="506" customFormat="1" x14ac:dyDescent="0.2">
      <c r="A85" s="512">
        <v>3</v>
      </c>
      <c r="B85" s="511" t="s">
        <v>756</v>
      </c>
      <c r="C85" s="523">
        <f t="shared" si="8"/>
        <v>5.0955824689830669E-2</v>
      </c>
      <c r="D85" s="523">
        <f t="shared" si="8"/>
        <v>5.3916939799873977E-2</v>
      </c>
      <c r="E85" s="523">
        <f t="shared" si="9"/>
        <v>2.9611151100433081E-3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4.2483225051400023E-2</v>
      </c>
      <c r="D86" s="523">
        <f t="shared" si="8"/>
        <v>5.3916939799873977E-2</v>
      </c>
      <c r="E86" s="523">
        <f t="shared" si="9"/>
        <v>1.1433714748473954E-2</v>
      </c>
    </row>
    <row r="87" spans="1:5" s="506" customFormat="1" x14ac:dyDescent="0.2">
      <c r="A87" s="512">
        <v>5</v>
      </c>
      <c r="B87" s="511" t="s">
        <v>723</v>
      </c>
      <c r="C87" s="523">
        <f t="shared" si="8"/>
        <v>8.472599638430646E-3</v>
      </c>
      <c r="D87" s="523">
        <f t="shared" si="8"/>
        <v>0</v>
      </c>
      <c r="E87" s="523">
        <f t="shared" si="9"/>
        <v>-8.472599638430646E-3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9.7637875000847554E-4</v>
      </c>
      <c r="D88" s="523">
        <f t="shared" si="8"/>
        <v>1.1297573900231489E-3</v>
      </c>
      <c r="E88" s="523">
        <f t="shared" si="9"/>
        <v>1.5337864001467333E-4</v>
      </c>
    </row>
    <row r="89" spans="1:5" s="506" customFormat="1" x14ac:dyDescent="0.2">
      <c r="A89" s="512">
        <v>7</v>
      </c>
      <c r="B89" s="511" t="s">
        <v>738</v>
      </c>
      <c r="C89" s="523">
        <f t="shared" si="8"/>
        <v>7.6463014017777052E-3</v>
      </c>
      <c r="D89" s="523">
        <f t="shared" si="8"/>
        <v>6.1049904950976003E-3</v>
      </c>
      <c r="E89" s="523">
        <f t="shared" si="9"/>
        <v>-1.5413109066801049E-3</v>
      </c>
    </row>
    <row r="90" spans="1:5" s="506" customFormat="1" x14ac:dyDescent="0.2">
      <c r="A90" s="512"/>
      <c r="B90" s="516" t="s">
        <v>775</v>
      </c>
      <c r="C90" s="524">
        <f>SUM(C84+C85+C88)</f>
        <v>0.30555737928228016</v>
      </c>
      <c r="D90" s="524">
        <f>SUM(D84+D85+D88)</f>
        <v>0.32083730039060898</v>
      </c>
      <c r="E90" s="525">
        <f t="shared" si="9"/>
        <v>1.527992110832882E-2</v>
      </c>
    </row>
    <row r="91" spans="1:5" s="506" customFormat="1" x14ac:dyDescent="0.2">
      <c r="A91" s="512"/>
      <c r="B91" s="516" t="s">
        <v>776</v>
      </c>
      <c r="C91" s="524">
        <f>SUM(C83+C90)</f>
        <v>0.43948239803365696</v>
      </c>
      <c r="D91" s="524">
        <f>SUM(D83+D90)</f>
        <v>0.45823054218017789</v>
      </c>
      <c r="E91" s="525">
        <f t="shared" si="9"/>
        <v>1.8748144146520929E-2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631</v>
      </c>
      <c r="C95" s="523">
        <f t="shared" ref="C95:D101" si="10">IF(C$44=0,0,C25/C$44)</f>
        <v>0.29440350642962082</v>
      </c>
      <c r="D95" s="523">
        <f t="shared" si="10"/>
        <v>0.26527021007123347</v>
      </c>
      <c r="E95" s="523">
        <f t="shared" ref="E95:E103" si="11">D95-C95</f>
        <v>-2.9133296358387351E-2</v>
      </c>
    </row>
    <row r="96" spans="1:5" s="506" customFormat="1" x14ac:dyDescent="0.2">
      <c r="A96" s="512">
        <v>2</v>
      </c>
      <c r="B96" s="511" t="s">
        <v>610</v>
      </c>
      <c r="C96" s="523">
        <f t="shared" si="10"/>
        <v>0.19115245586203009</v>
      </c>
      <c r="D96" s="523">
        <f t="shared" si="10"/>
        <v>0.19563580750868304</v>
      </c>
      <c r="E96" s="523">
        <f t="shared" si="11"/>
        <v>4.4833516466529499E-3</v>
      </c>
    </row>
    <row r="97" spans="1:5" s="506" customFormat="1" x14ac:dyDescent="0.2">
      <c r="A97" s="512">
        <v>3</v>
      </c>
      <c r="B97" s="511" t="s">
        <v>756</v>
      </c>
      <c r="C97" s="523">
        <f t="shared" si="10"/>
        <v>7.2916162845614793E-2</v>
      </c>
      <c r="D97" s="523">
        <f t="shared" si="10"/>
        <v>7.8715815845289722E-2</v>
      </c>
      <c r="E97" s="523">
        <f t="shared" si="11"/>
        <v>5.7996529996749285E-3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6.3028104327191276E-2</v>
      </c>
      <c r="D98" s="523">
        <f t="shared" si="10"/>
        <v>7.8715815845289722E-2</v>
      </c>
      <c r="E98" s="523">
        <f t="shared" si="11"/>
        <v>1.5687711518098446E-2</v>
      </c>
    </row>
    <row r="99" spans="1:5" s="506" customFormat="1" x14ac:dyDescent="0.2">
      <c r="A99" s="512">
        <v>5</v>
      </c>
      <c r="B99" s="511" t="s">
        <v>723</v>
      </c>
      <c r="C99" s="523">
        <f t="shared" si="10"/>
        <v>9.8880585184235106E-3</v>
      </c>
      <c r="D99" s="523">
        <f t="shared" si="10"/>
        <v>0</v>
      </c>
      <c r="E99" s="523">
        <f t="shared" si="11"/>
        <v>-9.8880585184235106E-3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2.0454768290773563E-3</v>
      </c>
      <c r="D100" s="523">
        <f t="shared" si="10"/>
        <v>2.1476243946158447E-3</v>
      </c>
      <c r="E100" s="523">
        <f t="shared" si="11"/>
        <v>1.0214756553848835E-4</v>
      </c>
    </row>
    <row r="101" spans="1:5" s="506" customFormat="1" x14ac:dyDescent="0.2">
      <c r="A101" s="512">
        <v>7</v>
      </c>
      <c r="B101" s="511" t="s">
        <v>738</v>
      </c>
      <c r="C101" s="523">
        <f t="shared" si="10"/>
        <v>1.5021489583753945E-2</v>
      </c>
      <c r="D101" s="523">
        <f t="shared" si="10"/>
        <v>1.3453188253979171E-2</v>
      </c>
      <c r="E101" s="523">
        <f t="shared" si="11"/>
        <v>-1.5683013297747746E-3</v>
      </c>
    </row>
    <row r="102" spans="1:5" s="506" customFormat="1" x14ac:dyDescent="0.2">
      <c r="A102" s="512"/>
      <c r="B102" s="516" t="s">
        <v>778</v>
      </c>
      <c r="C102" s="524">
        <f>SUM(C96+C97+C100)</f>
        <v>0.26611409553672222</v>
      </c>
      <c r="D102" s="524">
        <f>SUM(D96+D97+D100)</f>
        <v>0.27649924774858864</v>
      </c>
      <c r="E102" s="525">
        <f t="shared" si="11"/>
        <v>1.0385152211866422E-2</v>
      </c>
    </row>
    <row r="103" spans="1:5" s="506" customFormat="1" x14ac:dyDescent="0.2">
      <c r="A103" s="512"/>
      <c r="B103" s="516" t="s">
        <v>779</v>
      </c>
      <c r="C103" s="524">
        <f>SUM(C95+C102)</f>
        <v>0.56051760196634304</v>
      </c>
      <c r="D103" s="524">
        <f>SUM(D95+D102)</f>
        <v>0.54176945781982211</v>
      </c>
      <c r="E103" s="525">
        <f t="shared" si="11"/>
        <v>-1.8748144146520929E-2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780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631</v>
      </c>
      <c r="C109" s="523">
        <f t="shared" ref="C109:D115" si="12">IF(C$77=0,0,C47/C$77)</f>
        <v>0.17911308205656418</v>
      </c>
      <c r="D109" s="523">
        <f t="shared" si="12"/>
        <v>0.20005055521414591</v>
      </c>
      <c r="E109" s="523">
        <f t="shared" ref="E109:E117" si="13">D109-C109</f>
        <v>2.0937473157581737E-2</v>
      </c>
    </row>
    <row r="110" spans="1:5" s="506" customFormat="1" x14ac:dyDescent="0.2">
      <c r="A110" s="512">
        <v>2</v>
      </c>
      <c r="B110" s="511" t="s">
        <v>610</v>
      </c>
      <c r="C110" s="523">
        <f t="shared" si="12"/>
        <v>0.21199793328779296</v>
      </c>
      <c r="D110" s="523">
        <f t="shared" si="12"/>
        <v>0.20762048986402143</v>
      </c>
      <c r="E110" s="523">
        <f t="shared" si="13"/>
        <v>-4.3774434237715265E-3</v>
      </c>
    </row>
    <row r="111" spans="1:5" s="506" customFormat="1" x14ac:dyDescent="0.2">
      <c r="A111" s="512">
        <v>3</v>
      </c>
      <c r="B111" s="511" t="s">
        <v>756</v>
      </c>
      <c r="C111" s="523">
        <f t="shared" si="12"/>
        <v>3.096673715009414E-2</v>
      </c>
      <c r="D111" s="523">
        <f t="shared" si="12"/>
        <v>3.7578793989045241E-2</v>
      </c>
      <c r="E111" s="523">
        <f t="shared" si="13"/>
        <v>6.6120568389511011E-3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3.096673715009414E-2</v>
      </c>
      <c r="D112" s="523">
        <f t="shared" si="12"/>
        <v>3.7578793989045241E-2</v>
      </c>
      <c r="E112" s="523">
        <f t="shared" si="13"/>
        <v>6.6120568389511011E-3</v>
      </c>
    </row>
    <row r="113" spans="1:5" s="506" customFormat="1" x14ac:dyDescent="0.2">
      <c r="A113" s="512">
        <v>5</v>
      </c>
      <c r="B113" s="511" t="s">
        <v>723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6.0810992218092951E-4</v>
      </c>
      <c r="D114" s="523">
        <f t="shared" si="12"/>
        <v>6.7179048849523994E-4</v>
      </c>
      <c r="E114" s="523">
        <f t="shared" si="13"/>
        <v>6.3680566314310428E-5</v>
      </c>
    </row>
    <row r="115" spans="1:5" s="506" customFormat="1" x14ac:dyDescent="0.2">
      <c r="A115" s="512">
        <v>7</v>
      </c>
      <c r="B115" s="511" t="s">
        <v>738</v>
      </c>
      <c r="C115" s="523">
        <f t="shared" si="12"/>
        <v>6.6864563498195712E-3</v>
      </c>
      <c r="D115" s="523">
        <f t="shared" si="12"/>
        <v>1.3253876344717343E-2</v>
      </c>
      <c r="E115" s="523">
        <f t="shared" si="13"/>
        <v>6.5674199948977715E-3</v>
      </c>
    </row>
    <row r="116" spans="1:5" s="506" customFormat="1" x14ac:dyDescent="0.2">
      <c r="A116" s="512"/>
      <c r="B116" s="516" t="s">
        <v>775</v>
      </c>
      <c r="C116" s="524">
        <f>SUM(C110+C111+C114)</f>
        <v>0.24357278036006805</v>
      </c>
      <c r="D116" s="524">
        <f>SUM(D110+D111+D114)</f>
        <v>0.24587107434156191</v>
      </c>
      <c r="E116" s="525">
        <f t="shared" si="13"/>
        <v>2.2982939814938652E-3</v>
      </c>
    </row>
    <row r="117" spans="1:5" s="506" customFormat="1" x14ac:dyDescent="0.2">
      <c r="A117" s="512"/>
      <c r="B117" s="516" t="s">
        <v>776</v>
      </c>
      <c r="C117" s="524">
        <f>SUM(C109+C116)</f>
        <v>0.4226858624166322</v>
      </c>
      <c r="D117" s="524">
        <f>SUM(D109+D116)</f>
        <v>0.4459216295557078</v>
      </c>
      <c r="E117" s="525">
        <f t="shared" si="13"/>
        <v>2.3235767139075603E-2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782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631</v>
      </c>
      <c r="C121" s="523">
        <f t="shared" ref="C121:D127" si="14">IF(C$77=0,0,C58/C$77)</f>
        <v>0.38417510680756034</v>
      </c>
      <c r="D121" s="523">
        <f t="shared" si="14"/>
        <v>0.35389356301674468</v>
      </c>
      <c r="E121" s="523">
        <f t="shared" ref="E121:E129" si="15">D121-C121</f>
        <v>-3.0281543790815657E-2</v>
      </c>
    </row>
    <row r="122" spans="1:5" s="506" customFormat="1" x14ac:dyDescent="0.2">
      <c r="A122" s="512">
        <v>2</v>
      </c>
      <c r="B122" s="511" t="s">
        <v>610</v>
      </c>
      <c r="C122" s="523">
        <f t="shared" si="14"/>
        <v>0.13733357423437539</v>
      </c>
      <c r="D122" s="523">
        <f t="shared" si="14"/>
        <v>0.13842325302669886</v>
      </c>
      <c r="E122" s="523">
        <f t="shared" si="15"/>
        <v>1.0896787923234674E-3</v>
      </c>
    </row>
    <row r="123" spans="1:5" s="506" customFormat="1" x14ac:dyDescent="0.2">
      <c r="A123" s="512">
        <v>3</v>
      </c>
      <c r="B123" s="511" t="s">
        <v>756</v>
      </c>
      <c r="C123" s="523">
        <f t="shared" si="14"/>
        <v>5.4447031757167703E-2</v>
      </c>
      <c r="D123" s="523">
        <f t="shared" si="14"/>
        <v>6.0052717976553496E-2</v>
      </c>
      <c r="E123" s="523">
        <f t="shared" si="15"/>
        <v>5.6056862193857929E-3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5.4447031757167703E-2</v>
      </c>
      <c r="D124" s="523">
        <f t="shared" si="14"/>
        <v>6.0052717976553496E-2</v>
      </c>
      <c r="E124" s="523">
        <f t="shared" si="15"/>
        <v>5.6056862193857929E-3</v>
      </c>
    </row>
    <row r="125" spans="1:5" s="506" customFormat="1" x14ac:dyDescent="0.2">
      <c r="A125" s="512">
        <v>5</v>
      </c>
      <c r="B125" s="511" t="s">
        <v>723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1.3584247842643434E-3</v>
      </c>
      <c r="D126" s="523">
        <f t="shared" si="14"/>
        <v>1.7088364242951399E-3</v>
      </c>
      <c r="E126" s="523">
        <f t="shared" si="15"/>
        <v>3.504116400307965E-4</v>
      </c>
    </row>
    <row r="127" spans="1:5" s="506" customFormat="1" x14ac:dyDescent="0.2">
      <c r="A127" s="512">
        <v>7</v>
      </c>
      <c r="B127" s="511" t="s">
        <v>738</v>
      </c>
      <c r="C127" s="523">
        <f t="shared" si="14"/>
        <v>1.3664168874754665E-2</v>
      </c>
      <c r="D127" s="523">
        <f t="shared" si="14"/>
        <v>1.1363475577643087E-2</v>
      </c>
      <c r="E127" s="523">
        <f t="shared" si="15"/>
        <v>-2.3006932971115779E-3</v>
      </c>
    </row>
    <row r="128" spans="1:5" s="506" customFormat="1" x14ac:dyDescent="0.2">
      <c r="A128" s="512"/>
      <c r="B128" s="516" t="s">
        <v>778</v>
      </c>
      <c r="C128" s="524">
        <f>SUM(C122+C123+C126)</f>
        <v>0.19313903077580744</v>
      </c>
      <c r="D128" s="524">
        <f>SUM(D122+D123+D126)</f>
        <v>0.20018480742754752</v>
      </c>
      <c r="E128" s="525">
        <f t="shared" si="15"/>
        <v>7.0457766517400822E-3</v>
      </c>
    </row>
    <row r="129" spans="1:5" s="506" customFormat="1" x14ac:dyDescent="0.2">
      <c r="A129" s="512"/>
      <c r="B129" s="516" t="s">
        <v>779</v>
      </c>
      <c r="C129" s="524">
        <f>SUM(C121+C128)</f>
        <v>0.5773141375833678</v>
      </c>
      <c r="D129" s="524">
        <f>SUM(D121+D128)</f>
        <v>0.5540783704442922</v>
      </c>
      <c r="E129" s="525">
        <f t="shared" si="15"/>
        <v>-2.3235767139075603E-2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783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631</v>
      </c>
      <c r="C137" s="530">
        <v>4717</v>
      </c>
      <c r="D137" s="530">
        <v>4406</v>
      </c>
      <c r="E137" s="531">
        <f t="shared" ref="E137:E145" si="16">D137-C137</f>
        <v>-311</v>
      </c>
    </row>
    <row r="138" spans="1:5" s="506" customFormat="1" x14ac:dyDescent="0.2">
      <c r="A138" s="512">
        <v>2</v>
      </c>
      <c r="B138" s="511" t="s">
        <v>610</v>
      </c>
      <c r="C138" s="530">
        <v>7204</v>
      </c>
      <c r="D138" s="530">
        <v>7373</v>
      </c>
      <c r="E138" s="531">
        <f t="shared" si="16"/>
        <v>169</v>
      </c>
    </row>
    <row r="139" spans="1:5" s="506" customFormat="1" x14ac:dyDescent="0.2">
      <c r="A139" s="512">
        <v>3</v>
      </c>
      <c r="B139" s="511" t="s">
        <v>756</v>
      </c>
      <c r="C139" s="530">
        <f>C140+C141</f>
        <v>1954</v>
      </c>
      <c r="D139" s="530">
        <f>D140+D141</f>
        <v>2028</v>
      </c>
      <c r="E139" s="531">
        <f t="shared" si="16"/>
        <v>74</v>
      </c>
    </row>
    <row r="140" spans="1:5" s="506" customFormat="1" x14ac:dyDescent="0.2">
      <c r="A140" s="512">
        <v>4</v>
      </c>
      <c r="B140" s="511" t="s">
        <v>114</v>
      </c>
      <c r="C140" s="530">
        <v>1665</v>
      </c>
      <c r="D140" s="530">
        <v>2028</v>
      </c>
      <c r="E140" s="531">
        <f t="shared" si="16"/>
        <v>363</v>
      </c>
    </row>
    <row r="141" spans="1:5" s="506" customFormat="1" x14ac:dyDescent="0.2">
      <c r="A141" s="512">
        <v>5</v>
      </c>
      <c r="B141" s="511" t="s">
        <v>723</v>
      </c>
      <c r="C141" s="530">
        <v>289</v>
      </c>
      <c r="D141" s="530">
        <v>0</v>
      </c>
      <c r="E141" s="531">
        <f t="shared" si="16"/>
        <v>-289</v>
      </c>
    </row>
    <row r="142" spans="1:5" s="506" customFormat="1" x14ac:dyDescent="0.2">
      <c r="A142" s="512">
        <v>6</v>
      </c>
      <c r="B142" s="511" t="s">
        <v>418</v>
      </c>
      <c r="C142" s="530">
        <v>43</v>
      </c>
      <c r="D142" s="530">
        <v>48</v>
      </c>
      <c r="E142" s="531">
        <f t="shared" si="16"/>
        <v>5</v>
      </c>
    </row>
    <row r="143" spans="1:5" s="506" customFormat="1" x14ac:dyDescent="0.2">
      <c r="A143" s="512">
        <v>7</v>
      </c>
      <c r="B143" s="511" t="s">
        <v>738</v>
      </c>
      <c r="C143" s="530">
        <v>242</v>
      </c>
      <c r="D143" s="530">
        <v>201</v>
      </c>
      <c r="E143" s="531">
        <f t="shared" si="16"/>
        <v>-41</v>
      </c>
    </row>
    <row r="144" spans="1:5" s="506" customFormat="1" x14ac:dyDescent="0.2">
      <c r="A144" s="512"/>
      <c r="B144" s="516" t="s">
        <v>786</v>
      </c>
      <c r="C144" s="532">
        <f>SUM(C138+C139+C142)</f>
        <v>9201</v>
      </c>
      <c r="D144" s="532">
        <f>SUM(D138+D139+D142)</f>
        <v>9449</v>
      </c>
      <c r="E144" s="533">
        <f t="shared" si="16"/>
        <v>248</v>
      </c>
    </row>
    <row r="145" spans="1:5" s="506" customFormat="1" x14ac:dyDescent="0.2">
      <c r="A145" s="512"/>
      <c r="B145" s="516" t="s">
        <v>700</v>
      </c>
      <c r="C145" s="532">
        <f>SUM(C137+C144)</f>
        <v>13918</v>
      </c>
      <c r="D145" s="532">
        <f>SUM(D137+D144)</f>
        <v>13855</v>
      </c>
      <c r="E145" s="533">
        <f t="shared" si="16"/>
        <v>-63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631</v>
      </c>
      <c r="C149" s="534">
        <v>15959</v>
      </c>
      <c r="D149" s="534">
        <v>15861</v>
      </c>
      <c r="E149" s="531">
        <f t="shared" ref="E149:E157" si="17">D149-C149</f>
        <v>-98</v>
      </c>
    </row>
    <row r="150" spans="1:5" s="506" customFormat="1" x14ac:dyDescent="0.2">
      <c r="A150" s="512">
        <v>2</v>
      </c>
      <c r="B150" s="511" t="s">
        <v>610</v>
      </c>
      <c r="C150" s="534">
        <v>33550</v>
      </c>
      <c r="D150" s="534">
        <v>35194</v>
      </c>
      <c r="E150" s="531">
        <f t="shared" si="17"/>
        <v>1644</v>
      </c>
    </row>
    <row r="151" spans="1:5" s="506" customFormat="1" x14ac:dyDescent="0.2">
      <c r="A151" s="512">
        <v>3</v>
      </c>
      <c r="B151" s="511" t="s">
        <v>756</v>
      </c>
      <c r="C151" s="534">
        <f>C152+C153</f>
        <v>8177</v>
      </c>
      <c r="D151" s="534">
        <f>D152+D153</f>
        <v>8717</v>
      </c>
      <c r="E151" s="531">
        <f t="shared" si="17"/>
        <v>540</v>
      </c>
    </row>
    <row r="152" spans="1:5" s="506" customFormat="1" x14ac:dyDescent="0.2">
      <c r="A152" s="512">
        <v>4</v>
      </c>
      <c r="B152" s="511" t="s">
        <v>114</v>
      </c>
      <c r="C152" s="534">
        <v>6568</v>
      </c>
      <c r="D152" s="534">
        <v>8717</v>
      </c>
      <c r="E152" s="531">
        <f t="shared" si="17"/>
        <v>2149</v>
      </c>
    </row>
    <row r="153" spans="1:5" s="506" customFormat="1" x14ac:dyDescent="0.2">
      <c r="A153" s="512">
        <v>5</v>
      </c>
      <c r="B153" s="511" t="s">
        <v>723</v>
      </c>
      <c r="C153" s="535">
        <v>1609</v>
      </c>
      <c r="D153" s="534">
        <v>0</v>
      </c>
      <c r="E153" s="531">
        <f t="shared" si="17"/>
        <v>-1609</v>
      </c>
    </row>
    <row r="154" spans="1:5" s="506" customFormat="1" x14ac:dyDescent="0.2">
      <c r="A154" s="512">
        <v>6</v>
      </c>
      <c r="B154" s="511" t="s">
        <v>418</v>
      </c>
      <c r="C154" s="534">
        <v>143</v>
      </c>
      <c r="D154" s="534">
        <v>163</v>
      </c>
      <c r="E154" s="531">
        <f t="shared" si="17"/>
        <v>20</v>
      </c>
    </row>
    <row r="155" spans="1:5" s="506" customFormat="1" x14ac:dyDescent="0.2">
      <c r="A155" s="512">
        <v>7</v>
      </c>
      <c r="B155" s="511" t="s">
        <v>738</v>
      </c>
      <c r="C155" s="534">
        <v>1126</v>
      </c>
      <c r="D155" s="534">
        <v>867</v>
      </c>
      <c r="E155" s="531">
        <f t="shared" si="17"/>
        <v>-259</v>
      </c>
    </row>
    <row r="156" spans="1:5" s="506" customFormat="1" x14ac:dyDescent="0.2">
      <c r="A156" s="512"/>
      <c r="B156" s="516" t="s">
        <v>787</v>
      </c>
      <c r="C156" s="532">
        <f>SUM(C150+C151+C154)</f>
        <v>41870</v>
      </c>
      <c r="D156" s="532">
        <f>SUM(D150+D151+D154)</f>
        <v>44074</v>
      </c>
      <c r="E156" s="533">
        <f t="shared" si="17"/>
        <v>2204</v>
      </c>
    </row>
    <row r="157" spans="1:5" s="506" customFormat="1" x14ac:dyDescent="0.2">
      <c r="A157" s="512"/>
      <c r="B157" s="516" t="s">
        <v>788</v>
      </c>
      <c r="C157" s="532">
        <f>SUM(C149+C156)</f>
        <v>57829</v>
      </c>
      <c r="D157" s="532">
        <f>SUM(D149+D156)</f>
        <v>59935</v>
      </c>
      <c r="E157" s="533">
        <f t="shared" si="17"/>
        <v>2106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631</v>
      </c>
      <c r="C161" s="536">
        <f t="shared" ref="C161:D169" si="18">IF(C137=0,0,C149/C137)</f>
        <v>3.3832944668221328</v>
      </c>
      <c r="D161" s="536">
        <f t="shared" si="18"/>
        <v>3.5998638220608261</v>
      </c>
      <c r="E161" s="537">
        <f t="shared" ref="E161:E169" si="19">D161-C161</f>
        <v>0.21656935523869336</v>
      </c>
    </row>
    <row r="162" spans="1:5" s="506" customFormat="1" x14ac:dyDescent="0.2">
      <c r="A162" s="512">
        <v>2</v>
      </c>
      <c r="B162" s="511" t="s">
        <v>610</v>
      </c>
      <c r="C162" s="536">
        <f t="shared" si="18"/>
        <v>4.6571349250416434</v>
      </c>
      <c r="D162" s="536">
        <f t="shared" si="18"/>
        <v>4.7733622677336225</v>
      </c>
      <c r="E162" s="537">
        <f t="shared" si="19"/>
        <v>0.1162273426919791</v>
      </c>
    </row>
    <row r="163" spans="1:5" s="506" customFormat="1" x14ac:dyDescent="0.2">
      <c r="A163" s="512">
        <v>3</v>
      </c>
      <c r="B163" s="511" t="s">
        <v>756</v>
      </c>
      <c r="C163" s="536">
        <f t="shared" si="18"/>
        <v>4.1847492323439095</v>
      </c>
      <c r="D163" s="536">
        <f t="shared" si="18"/>
        <v>4.2983234714003942</v>
      </c>
      <c r="E163" s="537">
        <f t="shared" si="19"/>
        <v>0.11357423905648467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3.9447447447447446</v>
      </c>
      <c r="D164" s="536">
        <f t="shared" si="18"/>
        <v>4.2983234714003942</v>
      </c>
      <c r="E164" s="537">
        <f t="shared" si="19"/>
        <v>0.3535787266556496</v>
      </c>
    </row>
    <row r="165" spans="1:5" s="506" customFormat="1" x14ac:dyDescent="0.2">
      <c r="A165" s="512">
        <v>5</v>
      </c>
      <c r="B165" s="511" t="s">
        <v>723</v>
      </c>
      <c r="C165" s="536">
        <f t="shared" si="18"/>
        <v>5.5674740484429064</v>
      </c>
      <c r="D165" s="536">
        <f t="shared" si="18"/>
        <v>0</v>
      </c>
      <c r="E165" s="537">
        <f t="shared" si="19"/>
        <v>-5.5674740484429064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3.3255813953488373</v>
      </c>
      <c r="D166" s="536">
        <f t="shared" si="18"/>
        <v>3.3958333333333335</v>
      </c>
      <c r="E166" s="537">
        <f t="shared" si="19"/>
        <v>7.0251937984496138E-2</v>
      </c>
    </row>
    <row r="167" spans="1:5" s="506" customFormat="1" x14ac:dyDescent="0.2">
      <c r="A167" s="512">
        <v>7</v>
      </c>
      <c r="B167" s="511" t="s">
        <v>738</v>
      </c>
      <c r="C167" s="536">
        <f t="shared" si="18"/>
        <v>4.6528925619834709</v>
      </c>
      <c r="D167" s="536">
        <f t="shared" si="18"/>
        <v>4.3134328358208958</v>
      </c>
      <c r="E167" s="537">
        <f t="shared" si="19"/>
        <v>-0.33945972616257514</v>
      </c>
    </row>
    <row r="168" spans="1:5" s="506" customFormat="1" x14ac:dyDescent="0.2">
      <c r="A168" s="512"/>
      <c r="B168" s="516" t="s">
        <v>790</v>
      </c>
      <c r="C168" s="538">
        <f t="shared" si="18"/>
        <v>4.5505923269209871</v>
      </c>
      <c r="D168" s="538">
        <f t="shared" si="18"/>
        <v>4.6644089321621331</v>
      </c>
      <c r="E168" s="539">
        <f t="shared" si="19"/>
        <v>0.11381660524114601</v>
      </c>
    </row>
    <row r="169" spans="1:5" s="506" customFormat="1" x14ac:dyDescent="0.2">
      <c r="A169" s="512"/>
      <c r="B169" s="516" t="s">
        <v>724</v>
      </c>
      <c r="C169" s="538">
        <f t="shared" si="18"/>
        <v>4.1549791636729418</v>
      </c>
      <c r="D169" s="538">
        <f t="shared" si="18"/>
        <v>4.3258751353302056</v>
      </c>
      <c r="E169" s="539">
        <f t="shared" si="19"/>
        <v>0.17089597165726378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791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631</v>
      </c>
      <c r="C173" s="541">
        <f t="shared" ref="C173:D181" si="20">IF(C137=0,0,C203/C137)</f>
        <v>1.06819</v>
      </c>
      <c r="D173" s="541">
        <f t="shared" si="20"/>
        <v>1.1259999999999999</v>
      </c>
      <c r="E173" s="542">
        <f t="shared" ref="E173:E181" si="21">D173-C173</f>
        <v>5.7809999999999917E-2</v>
      </c>
    </row>
    <row r="174" spans="1:5" s="506" customFormat="1" x14ac:dyDescent="0.2">
      <c r="A174" s="512">
        <v>2</v>
      </c>
      <c r="B174" s="511" t="s">
        <v>610</v>
      </c>
      <c r="C174" s="541">
        <f t="shared" si="20"/>
        <v>1.3468100000000001</v>
      </c>
      <c r="D174" s="541">
        <f t="shared" si="20"/>
        <v>1.3360000000000001</v>
      </c>
      <c r="E174" s="542">
        <f t="shared" si="21"/>
        <v>-1.0809999999999986E-2</v>
      </c>
    </row>
    <row r="175" spans="1:5" s="506" customFormat="1" x14ac:dyDescent="0.2">
      <c r="A175" s="512">
        <v>0</v>
      </c>
      <c r="B175" s="511" t="s">
        <v>756</v>
      </c>
      <c r="C175" s="541">
        <f t="shared" si="20"/>
        <v>0.87055280962128967</v>
      </c>
      <c r="D175" s="541">
        <f t="shared" si="20"/>
        <v>0.96599999999999997</v>
      </c>
      <c r="E175" s="542">
        <f t="shared" si="21"/>
        <v>9.54471903787103E-2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0.83089000000000002</v>
      </c>
      <c r="D176" s="541">
        <f t="shared" si="20"/>
        <v>0.96599999999999997</v>
      </c>
      <c r="E176" s="542">
        <f t="shared" si="21"/>
        <v>0.13510999999999995</v>
      </c>
    </row>
    <row r="177" spans="1:5" s="506" customFormat="1" x14ac:dyDescent="0.2">
      <c r="A177" s="512">
        <v>5</v>
      </c>
      <c r="B177" s="511" t="s">
        <v>723</v>
      </c>
      <c r="C177" s="541">
        <f t="shared" si="20"/>
        <v>1.0990599999999999</v>
      </c>
      <c r="D177" s="541">
        <f t="shared" si="20"/>
        <v>0</v>
      </c>
      <c r="E177" s="542">
        <f t="shared" si="21"/>
        <v>-1.0990599999999999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0.81688000000000005</v>
      </c>
      <c r="D178" s="541">
        <f t="shared" si="20"/>
        <v>0.876</v>
      </c>
      <c r="E178" s="542">
        <f t="shared" si="21"/>
        <v>5.911999999999995E-2</v>
      </c>
    </row>
    <row r="179" spans="1:5" s="506" customFormat="1" x14ac:dyDescent="0.2">
      <c r="A179" s="512">
        <v>7</v>
      </c>
      <c r="B179" s="511" t="s">
        <v>738</v>
      </c>
      <c r="C179" s="541">
        <f t="shared" si="20"/>
        <v>1.0543800000000001</v>
      </c>
      <c r="D179" s="541">
        <f t="shared" si="20"/>
        <v>1.08</v>
      </c>
      <c r="E179" s="542">
        <f t="shared" si="21"/>
        <v>2.5619999999999976E-2</v>
      </c>
    </row>
    <row r="180" spans="1:5" s="506" customFormat="1" x14ac:dyDescent="0.2">
      <c r="A180" s="512"/>
      <c r="B180" s="516" t="s">
        <v>792</v>
      </c>
      <c r="C180" s="543">
        <f t="shared" si="20"/>
        <v>1.2431915302684493</v>
      </c>
      <c r="D180" s="543">
        <f t="shared" si="20"/>
        <v>1.2542516668430526</v>
      </c>
      <c r="E180" s="544">
        <f t="shared" si="21"/>
        <v>1.1060136574603252E-2</v>
      </c>
    </row>
    <row r="181" spans="1:5" s="506" customFormat="1" x14ac:dyDescent="0.2">
      <c r="A181" s="512"/>
      <c r="B181" s="516" t="s">
        <v>701</v>
      </c>
      <c r="C181" s="543">
        <f t="shared" si="20"/>
        <v>1.1838811251616612</v>
      </c>
      <c r="D181" s="543">
        <f t="shared" si="20"/>
        <v>1.2134666185492604</v>
      </c>
      <c r="E181" s="544">
        <f t="shared" si="21"/>
        <v>2.9585493387599193E-2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793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794</v>
      </c>
      <c r="C185" s="513">
        <v>363815764</v>
      </c>
      <c r="D185" s="513">
        <v>377720253</v>
      </c>
      <c r="E185" s="514">
        <f>D185-C185</f>
        <v>13904489</v>
      </c>
    </row>
    <row r="186" spans="1:5" s="506" customFormat="1" ht="25.5" x14ac:dyDescent="0.2">
      <c r="A186" s="512">
        <v>2</v>
      </c>
      <c r="B186" s="511" t="s">
        <v>795</v>
      </c>
      <c r="C186" s="513">
        <v>182105996</v>
      </c>
      <c r="D186" s="513">
        <v>184841366</v>
      </c>
      <c r="E186" s="514">
        <f>D186-C186</f>
        <v>2735370</v>
      </c>
    </row>
    <row r="187" spans="1:5" s="506" customFormat="1" x14ac:dyDescent="0.2">
      <c r="A187" s="512"/>
      <c r="B187" s="511" t="s">
        <v>643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727</v>
      </c>
      <c r="C188" s="546">
        <f>+C185-C186</f>
        <v>181709768</v>
      </c>
      <c r="D188" s="546">
        <f>+D185-D186</f>
        <v>192878887</v>
      </c>
      <c r="E188" s="514">
        <f t="shared" ref="E188:E197" si="22">D188-C188</f>
        <v>11169119</v>
      </c>
    </row>
    <row r="189" spans="1:5" s="506" customFormat="1" x14ac:dyDescent="0.2">
      <c r="A189" s="512">
        <v>4</v>
      </c>
      <c r="B189" s="511" t="s">
        <v>645</v>
      </c>
      <c r="C189" s="547">
        <f>IF(C185=0,0,+C188/C185)</f>
        <v>0.49945545515174544</v>
      </c>
      <c r="D189" s="547">
        <f>IF(D185=0,0,+D188/D185)</f>
        <v>0.51063951553585352</v>
      </c>
      <c r="E189" s="523">
        <f t="shared" si="22"/>
        <v>1.1184060384108074E-2</v>
      </c>
    </row>
    <row r="190" spans="1:5" s="506" customFormat="1" x14ac:dyDescent="0.2">
      <c r="A190" s="512">
        <v>5</v>
      </c>
      <c r="B190" s="511" t="s">
        <v>742</v>
      </c>
      <c r="C190" s="513">
        <v>20675399</v>
      </c>
      <c r="D190" s="513">
        <v>23580041</v>
      </c>
      <c r="E190" s="546">
        <f t="shared" si="22"/>
        <v>2904642</v>
      </c>
    </row>
    <row r="191" spans="1:5" s="506" customFormat="1" x14ac:dyDescent="0.2">
      <c r="A191" s="512">
        <v>6</v>
      </c>
      <c r="B191" s="511" t="s">
        <v>728</v>
      </c>
      <c r="C191" s="513">
        <v>14229964</v>
      </c>
      <c r="D191" s="513">
        <v>16640238</v>
      </c>
      <c r="E191" s="546">
        <f t="shared" si="22"/>
        <v>2410274</v>
      </c>
    </row>
    <row r="192" spans="1:5" ht="29.25" x14ac:dyDescent="0.2">
      <c r="A192" s="512">
        <v>7</v>
      </c>
      <c r="B192" s="548" t="s">
        <v>796</v>
      </c>
      <c r="C192" s="513">
        <v>1608918</v>
      </c>
      <c r="D192" s="513">
        <v>0</v>
      </c>
      <c r="E192" s="546">
        <f t="shared" si="22"/>
        <v>-1608918</v>
      </c>
    </row>
    <row r="193" spans="1:5" s="506" customFormat="1" x14ac:dyDescent="0.2">
      <c r="A193" s="512">
        <v>8</v>
      </c>
      <c r="B193" s="511" t="s">
        <v>797</v>
      </c>
      <c r="C193" s="513">
        <v>9520361</v>
      </c>
      <c r="D193" s="513">
        <v>6856094</v>
      </c>
      <c r="E193" s="546">
        <f t="shared" si="22"/>
        <v>-2664267</v>
      </c>
    </row>
    <row r="194" spans="1:5" s="506" customFormat="1" x14ac:dyDescent="0.2">
      <c r="A194" s="512">
        <v>9</v>
      </c>
      <c r="B194" s="511" t="s">
        <v>798</v>
      </c>
      <c r="C194" s="513">
        <v>11858436</v>
      </c>
      <c r="D194" s="513">
        <v>13570742</v>
      </c>
      <c r="E194" s="546">
        <f t="shared" si="22"/>
        <v>1712306</v>
      </c>
    </row>
    <row r="195" spans="1:5" s="506" customFormat="1" x14ac:dyDescent="0.2">
      <c r="A195" s="512">
        <v>10</v>
      </c>
      <c r="B195" s="511" t="s">
        <v>799</v>
      </c>
      <c r="C195" s="513">
        <f>+C193+C194</f>
        <v>21378797</v>
      </c>
      <c r="D195" s="513">
        <f>+D193+D194</f>
        <v>20426836</v>
      </c>
      <c r="E195" s="549">
        <f t="shared" si="22"/>
        <v>-951961</v>
      </c>
    </row>
    <row r="196" spans="1:5" s="506" customFormat="1" x14ac:dyDescent="0.2">
      <c r="A196" s="512">
        <v>11</v>
      </c>
      <c r="B196" s="511" t="s">
        <v>800</v>
      </c>
      <c r="C196" s="513">
        <v>363815764</v>
      </c>
      <c r="D196" s="513">
        <v>377720253</v>
      </c>
      <c r="E196" s="546">
        <f t="shared" si="22"/>
        <v>13904489</v>
      </c>
    </row>
    <row r="197" spans="1:5" s="506" customFormat="1" x14ac:dyDescent="0.2">
      <c r="A197" s="512">
        <v>12</v>
      </c>
      <c r="B197" s="511" t="s">
        <v>685</v>
      </c>
      <c r="C197" s="513">
        <v>312521510</v>
      </c>
      <c r="D197" s="513">
        <v>328515648</v>
      </c>
      <c r="E197" s="546">
        <f t="shared" si="22"/>
        <v>15994138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802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631</v>
      </c>
      <c r="C203" s="553">
        <v>5038.6522299999997</v>
      </c>
      <c r="D203" s="553">
        <v>4961.1559999999999</v>
      </c>
      <c r="E203" s="554">
        <f t="shared" ref="E203:E211" si="23">D203-C203</f>
        <v>-77.496229999999741</v>
      </c>
    </row>
    <row r="204" spans="1:5" s="506" customFormat="1" x14ac:dyDescent="0.2">
      <c r="A204" s="512">
        <v>2</v>
      </c>
      <c r="B204" s="511" t="s">
        <v>610</v>
      </c>
      <c r="C204" s="553">
        <v>9702.4192400000011</v>
      </c>
      <c r="D204" s="553">
        <v>9850.3280000000013</v>
      </c>
      <c r="E204" s="554">
        <f t="shared" si="23"/>
        <v>147.90876000000026</v>
      </c>
    </row>
    <row r="205" spans="1:5" s="506" customFormat="1" x14ac:dyDescent="0.2">
      <c r="A205" s="512">
        <v>3</v>
      </c>
      <c r="B205" s="511" t="s">
        <v>756</v>
      </c>
      <c r="C205" s="553">
        <f>C206+C207</f>
        <v>1701.0601899999999</v>
      </c>
      <c r="D205" s="553">
        <f>D206+D207</f>
        <v>1959.048</v>
      </c>
      <c r="E205" s="554">
        <f t="shared" si="23"/>
        <v>257.98781000000008</v>
      </c>
    </row>
    <row r="206" spans="1:5" s="506" customFormat="1" x14ac:dyDescent="0.2">
      <c r="A206" s="512">
        <v>4</v>
      </c>
      <c r="B206" s="511" t="s">
        <v>114</v>
      </c>
      <c r="C206" s="553">
        <v>1383.4318499999999</v>
      </c>
      <c r="D206" s="553">
        <v>1959.048</v>
      </c>
      <c r="E206" s="554">
        <f t="shared" si="23"/>
        <v>575.61615000000006</v>
      </c>
    </row>
    <row r="207" spans="1:5" s="506" customFormat="1" x14ac:dyDescent="0.2">
      <c r="A207" s="512">
        <v>5</v>
      </c>
      <c r="B207" s="511" t="s">
        <v>723</v>
      </c>
      <c r="C207" s="553">
        <v>317.62833999999998</v>
      </c>
      <c r="D207" s="553">
        <v>0</v>
      </c>
      <c r="E207" s="554">
        <f t="shared" si="23"/>
        <v>-317.62833999999998</v>
      </c>
    </row>
    <row r="208" spans="1:5" s="506" customFormat="1" x14ac:dyDescent="0.2">
      <c r="A208" s="512">
        <v>6</v>
      </c>
      <c r="B208" s="511" t="s">
        <v>418</v>
      </c>
      <c r="C208" s="553">
        <v>35.125840000000004</v>
      </c>
      <c r="D208" s="553">
        <v>42.048000000000002</v>
      </c>
      <c r="E208" s="554">
        <f t="shared" si="23"/>
        <v>6.9221599999999981</v>
      </c>
    </row>
    <row r="209" spans="1:5" s="506" customFormat="1" x14ac:dyDescent="0.2">
      <c r="A209" s="512">
        <v>7</v>
      </c>
      <c r="B209" s="511" t="s">
        <v>738</v>
      </c>
      <c r="C209" s="553">
        <v>255.15996000000001</v>
      </c>
      <c r="D209" s="553">
        <v>217.08</v>
      </c>
      <c r="E209" s="554">
        <f t="shared" si="23"/>
        <v>-38.07996</v>
      </c>
    </row>
    <row r="210" spans="1:5" s="506" customFormat="1" x14ac:dyDescent="0.2">
      <c r="A210" s="512"/>
      <c r="B210" s="516" t="s">
        <v>803</v>
      </c>
      <c r="C210" s="555">
        <f>C204+C205+C208</f>
        <v>11438.605270000002</v>
      </c>
      <c r="D210" s="555">
        <f>D204+D205+D208</f>
        <v>11851.424000000003</v>
      </c>
      <c r="E210" s="556">
        <f t="shared" si="23"/>
        <v>412.81873000000087</v>
      </c>
    </row>
    <row r="211" spans="1:5" s="506" customFormat="1" x14ac:dyDescent="0.2">
      <c r="A211" s="512"/>
      <c r="B211" s="516" t="s">
        <v>702</v>
      </c>
      <c r="C211" s="555">
        <f>C210+C203</f>
        <v>16477.2575</v>
      </c>
      <c r="D211" s="555">
        <f>D210+D203</f>
        <v>16812.580000000002</v>
      </c>
      <c r="E211" s="556">
        <f t="shared" si="23"/>
        <v>335.32250000000204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631</v>
      </c>
      <c r="C215" s="557">
        <f>IF(C14*C137=0,0,C25/C14*C137)</f>
        <v>10369.245065453799</v>
      </c>
      <c r="D215" s="557">
        <f>IF(D14*D137=0,0,D25/D14*D137)</f>
        <v>8506.8270487711143</v>
      </c>
      <c r="E215" s="557">
        <f t="shared" ref="E215:E223" si="24">D215-C215</f>
        <v>-1862.4180166826845</v>
      </c>
    </row>
    <row r="216" spans="1:5" s="506" customFormat="1" x14ac:dyDescent="0.2">
      <c r="A216" s="512">
        <v>2</v>
      </c>
      <c r="B216" s="511" t="s">
        <v>610</v>
      </c>
      <c r="C216" s="557">
        <f>IF(C15*C138=0,0,C26/C15*C138)</f>
        <v>5429.5173476214122</v>
      </c>
      <c r="D216" s="557">
        <f>IF(D15*D138=0,0,D26/D15*D138)</f>
        <v>5426.9142377177041</v>
      </c>
      <c r="E216" s="557">
        <f t="shared" si="24"/>
        <v>-2.6031099037081731</v>
      </c>
    </row>
    <row r="217" spans="1:5" s="506" customFormat="1" x14ac:dyDescent="0.2">
      <c r="A217" s="512">
        <v>3</v>
      </c>
      <c r="B217" s="511" t="s">
        <v>756</v>
      </c>
      <c r="C217" s="557">
        <f>C218+C219</f>
        <v>2807.4749123626025</v>
      </c>
      <c r="D217" s="557">
        <f>D218+D219</f>
        <v>2960.7703094199105</v>
      </c>
      <c r="E217" s="557">
        <f t="shared" si="24"/>
        <v>153.29539705730804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2470.1936723919966</v>
      </c>
      <c r="D218" s="557">
        <f t="shared" si="25"/>
        <v>2960.7703094199105</v>
      </c>
      <c r="E218" s="557">
        <f t="shared" si="24"/>
        <v>490.57663702791388</v>
      </c>
    </row>
    <row r="219" spans="1:5" s="506" customFormat="1" x14ac:dyDescent="0.2">
      <c r="A219" s="512">
        <v>5</v>
      </c>
      <c r="B219" s="511" t="s">
        <v>723</v>
      </c>
      <c r="C219" s="557">
        <f t="shared" si="25"/>
        <v>337.28123997060584</v>
      </c>
      <c r="D219" s="557">
        <f t="shared" si="25"/>
        <v>0</v>
      </c>
      <c r="E219" s="557">
        <f t="shared" si="24"/>
        <v>-337.28123997060584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90.083385827029531</v>
      </c>
      <c r="D220" s="557">
        <f t="shared" si="25"/>
        <v>91.246113415065437</v>
      </c>
      <c r="E220" s="557">
        <f t="shared" si="24"/>
        <v>1.1627275880359065</v>
      </c>
    </row>
    <row r="221" spans="1:5" s="506" customFormat="1" x14ac:dyDescent="0.2">
      <c r="A221" s="512">
        <v>7</v>
      </c>
      <c r="B221" s="511" t="s">
        <v>738</v>
      </c>
      <c r="C221" s="557">
        <f t="shared" si="25"/>
        <v>475.41945945569177</v>
      </c>
      <c r="D221" s="557">
        <f t="shared" si="25"/>
        <v>442.93121196850996</v>
      </c>
      <c r="E221" s="557">
        <f t="shared" si="24"/>
        <v>-32.488247487181809</v>
      </c>
    </row>
    <row r="222" spans="1:5" s="506" customFormat="1" x14ac:dyDescent="0.2">
      <c r="A222" s="512"/>
      <c r="B222" s="516" t="s">
        <v>805</v>
      </c>
      <c r="C222" s="558">
        <f>C216+C218+C219+C220</f>
        <v>8327.0756458110427</v>
      </c>
      <c r="D222" s="558">
        <f>D216+D218+D219+D220</f>
        <v>8478.9306605526799</v>
      </c>
      <c r="E222" s="558">
        <f t="shared" si="24"/>
        <v>151.85501474163721</v>
      </c>
    </row>
    <row r="223" spans="1:5" s="506" customFormat="1" x14ac:dyDescent="0.2">
      <c r="A223" s="512"/>
      <c r="B223" s="516" t="s">
        <v>806</v>
      </c>
      <c r="C223" s="558">
        <f>C215+C222</f>
        <v>18696.320711264842</v>
      </c>
      <c r="D223" s="558">
        <f>D215+D222</f>
        <v>16985.757709323792</v>
      </c>
      <c r="E223" s="558">
        <f t="shared" si="24"/>
        <v>-1710.5630019410492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631</v>
      </c>
      <c r="C227" s="560">
        <f t="shared" ref="C227:D235" si="26">IF(C203=0,0,C47/C203)</f>
        <v>11454.148324898384</v>
      </c>
      <c r="D227" s="560">
        <f t="shared" si="26"/>
        <v>13328.870932500409</v>
      </c>
      <c r="E227" s="560">
        <f t="shared" ref="E227:E235" si="27">D227-C227</f>
        <v>1874.7226076020252</v>
      </c>
    </row>
    <row r="228" spans="1:5" s="506" customFormat="1" x14ac:dyDescent="0.2">
      <c r="A228" s="512">
        <v>2</v>
      </c>
      <c r="B228" s="511" t="s">
        <v>610</v>
      </c>
      <c r="C228" s="560">
        <f t="shared" si="26"/>
        <v>7040.467053658258</v>
      </c>
      <c r="D228" s="560">
        <f t="shared" si="26"/>
        <v>6967.1635299860054</v>
      </c>
      <c r="E228" s="560">
        <f t="shared" si="27"/>
        <v>-73.303523672252595</v>
      </c>
    </row>
    <row r="229" spans="1:5" s="506" customFormat="1" x14ac:dyDescent="0.2">
      <c r="A229" s="512">
        <v>3</v>
      </c>
      <c r="B229" s="511" t="s">
        <v>756</v>
      </c>
      <c r="C229" s="560">
        <f t="shared" si="26"/>
        <v>5865.7783296897924</v>
      </c>
      <c r="D229" s="560">
        <f t="shared" si="26"/>
        <v>6340.656788399263</v>
      </c>
      <c r="E229" s="560">
        <f t="shared" si="27"/>
        <v>474.87845870947058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7212.5287559340204</v>
      </c>
      <c r="D230" s="560">
        <f t="shared" si="26"/>
        <v>6340.656788399263</v>
      </c>
      <c r="E230" s="560">
        <f t="shared" si="27"/>
        <v>-871.87196753475746</v>
      </c>
    </row>
    <row r="231" spans="1:5" s="506" customFormat="1" x14ac:dyDescent="0.2">
      <c r="A231" s="512">
        <v>5</v>
      </c>
      <c r="B231" s="511" t="s">
        <v>723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5578.3434645263997</v>
      </c>
      <c r="D232" s="560">
        <f t="shared" si="26"/>
        <v>5281.1073059360724</v>
      </c>
      <c r="E232" s="560">
        <f t="shared" si="27"/>
        <v>-297.23615859032725</v>
      </c>
    </row>
    <row r="233" spans="1:5" s="506" customFormat="1" x14ac:dyDescent="0.2">
      <c r="A233" s="512">
        <v>7</v>
      </c>
      <c r="B233" s="511" t="s">
        <v>738</v>
      </c>
      <c r="C233" s="560">
        <f t="shared" si="26"/>
        <v>8443.7111527999914</v>
      </c>
      <c r="D233" s="560">
        <f t="shared" si="26"/>
        <v>20181.785516860142</v>
      </c>
      <c r="E233" s="560">
        <f t="shared" si="27"/>
        <v>11738.07436406015</v>
      </c>
    </row>
    <row r="234" spans="1:5" x14ac:dyDescent="0.2">
      <c r="A234" s="512"/>
      <c r="B234" s="516" t="s">
        <v>808</v>
      </c>
      <c r="C234" s="561">
        <f t="shared" si="26"/>
        <v>6861.286594602454</v>
      </c>
      <c r="D234" s="561">
        <f t="shared" si="26"/>
        <v>6857.6195569410038</v>
      </c>
      <c r="E234" s="561">
        <f t="shared" si="27"/>
        <v>-3.6670376614501947</v>
      </c>
    </row>
    <row r="235" spans="1:5" s="506" customFormat="1" x14ac:dyDescent="0.2">
      <c r="A235" s="512"/>
      <c r="B235" s="516" t="s">
        <v>809</v>
      </c>
      <c r="C235" s="561">
        <f t="shared" si="26"/>
        <v>8265.7577573209619</v>
      </c>
      <c r="D235" s="561">
        <f t="shared" si="26"/>
        <v>8767.194862418497</v>
      </c>
      <c r="E235" s="561">
        <f t="shared" si="27"/>
        <v>501.4371050975351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810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631</v>
      </c>
      <c r="C239" s="560">
        <f t="shared" ref="C239:D247" si="28">IF(C215=0,0,C58/C215)</f>
        <v>11938.010647700179</v>
      </c>
      <c r="D239" s="560">
        <f t="shared" si="28"/>
        <v>13751.229962633211</v>
      </c>
      <c r="E239" s="562">
        <f t="shared" ref="E239:E247" si="29">D239-C239</f>
        <v>1813.2193149330324</v>
      </c>
    </row>
    <row r="240" spans="1:5" s="506" customFormat="1" x14ac:dyDescent="0.2">
      <c r="A240" s="512">
        <v>2</v>
      </c>
      <c r="B240" s="511" t="s">
        <v>610</v>
      </c>
      <c r="C240" s="560">
        <f t="shared" si="28"/>
        <v>8150.1457987579388</v>
      </c>
      <c r="D240" s="560">
        <f t="shared" si="28"/>
        <v>8431.2618544793204</v>
      </c>
      <c r="E240" s="562">
        <f t="shared" si="29"/>
        <v>281.1160557213816</v>
      </c>
    </row>
    <row r="241" spans="1:5" x14ac:dyDescent="0.2">
      <c r="A241" s="512">
        <v>3</v>
      </c>
      <c r="B241" s="511" t="s">
        <v>756</v>
      </c>
      <c r="C241" s="560">
        <f t="shared" si="28"/>
        <v>6248.9666150698304</v>
      </c>
      <c r="D241" s="560">
        <f t="shared" si="28"/>
        <v>6704.4697580371212</v>
      </c>
      <c r="E241" s="562">
        <f t="shared" si="29"/>
        <v>455.50314296729084</v>
      </c>
    </row>
    <row r="242" spans="1:5" x14ac:dyDescent="0.2">
      <c r="A242" s="512">
        <v>4</v>
      </c>
      <c r="B242" s="511" t="s">
        <v>114</v>
      </c>
      <c r="C242" s="560">
        <f t="shared" si="28"/>
        <v>7102.2030361739025</v>
      </c>
      <c r="D242" s="560">
        <f t="shared" si="28"/>
        <v>6704.4697580371212</v>
      </c>
      <c r="E242" s="562">
        <f t="shared" si="29"/>
        <v>-397.73327813678134</v>
      </c>
    </row>
    <row r="243" spans="1:5" x14ac:dyDescent="0.2">
      <c r="A243" s="512">
        <v>5</v>
      </c>
      <c r="B243" s="511" t="s">
        <v>723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418</v>
      </c>
      <c r="C244" s="560">
        <f t="shared" si="28"/>
        <v>4858.9314886593147</v>
      </c>
      <c r="D244" s="560">
        <f t="shared" si="28"/>
        <v>6190.455449105606</v>
      </c>
      <c r="E244" s="562">
        <f t="shared" si="29"/>
        <v>1331.5239604462913</v>
      </c>
    </row>
    <row r="245" spans="1:5" x14ac:dyDescent="0.2">
      <c r="A245" s="512">
        <v>7</v>
      </c>
      <c r="B245" s="511" t="s">
        <v>738</v>
      </c>
      <c r="C245" s="560">
        <f t="shared" si="28"/>
        <v>9260.9629505717294</v>
      </c>
      <c r="D245" s="560">
        <f t="shared" si="28"/>
        <v>8480.3032581660682</v>
      </c>
      <c r="E245" s="562">
        <f t="shared" si="29"/>
        <v>-780.65969240566119</v>
      </c>
    </row>
    <row r="246" spans="1:5" ht="25.5" x14ac:dyDescent="0.2">
      <c r="A246" s="512"/>
      <c r="B246" s="516" t="s">
        <v>811</v>
      </c>
      <c r="C246" s="561">
        <f t="shared" si="28"/>
        <v>7473.5581429846161</v>
      </c>
      <c r="D246" s="561">
        <f t="shared" si="28"/>
        <v>7804.1663093028283</v>
      </c>
      <c r="E246" s="563">
        <f t="shared" si="29"/>
        <v>330.60816631821217</v>
      </c>
    </row>
    <row r="247" spans="1:5" x14ac:dyDescent="0.2">
      <c r="A247" s="512"/>
      <c r="B247" s="516" t="s">
        <v>812</v>
      </c>
      <c r="C247" s="561">
        <f t="shared" si="28"/>
        <v>9949.6069238863274</v>
      </c>
      <c r="D247" s="561">
        <f t="shared" si="28"/>
        <v>10782.581686036028</v>
      </c>
      <c r="E247" s="563">
        <f t="shared" si="29"/>
        <v>832.97476214970084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740</v>
      </c>
      <c r="B249" s="550" t="s">
        <v>737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2588621.5811640746</v>
      </c>
      <c r="D251" s="546">
        <f>((IF((IF(D15=0,0,D26/D15)*D138)=0,0,D59/(IF(D15=0,0,D26/D15)*D138)))-(IF((IF(D17=0,0,D28/D17)*D140)=0,0,D61/(IF(D17=0,0,D28/D17)*D140))))*(IF(D17=0,0,D28/D17)*D140)</f>
        <v>5112634.7696870258</v>
      </c>
      <c r="E251" s="546">
        <f>D251-C251</f>
        <v>2524013.1885229512</v>
      </c>
    </row>
    <row r="252" spans="1:5" x14ac:dyDescent="0.2">
      <c r="A252" s="512">
        <v>2</v>
      </c>
      <c r="B252" s="511" t="s">
        <v>723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738</v>
      </c>
      <c r="C253" s="546">
        <f>IF(C233=0,0,(C228-C233)*C209+IF(C221=0,0,(C240-C245)*C221))</f>
        <v>-886155.7980766641</v>
      </c>
      <c r="D253" s="546">
        <f>IF(D233=0,0,(D228-D233)*D209+IF(D221=0,0,(D240-D245)*D221))</f>
        <v>-2890352.1092822459</v>
      </c>
      <c r="E253" s="546">
        <f>D253-C253</f>
        <v>-2004196.3112055818</v>
      </c>
    </row>
    <row r="254" spans="1:5" ht="15" customHeight="1" x14ac:dyDescent="0.2">
      <c r="A254" s="512"/>
      <c r="B254" s="516" t="s">
        <v>739</v>
      </c>
      <c r="C254" s="564">
        <f>+C251+C252+C253</f>
        <v>1702465.7830874105</v>
      </c>
      <c r="D254" s="564">
        <f>+D251+D252+D253</f>
        <v>2222282.6604047799</v>
      </c>
      <c r="E254" s="564">
        <f>D254-C254</f>
        <v>519816.87731736945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813</v>
      </c>
      <c r="B256" s="550" t="s">
        <v>814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705</v>
      </c>
      <c r="C258" s="546">
        <f>+C44</f>
        <v>938143113</v>
      </c>
      <c r="D258" s="549">
        <f>+D44</f>
        <v>1033672371</v>
      </c>
      <c r="E258" s="546">
        <f t="shared" ref="E258:E271" si="30">D258-C258</f>
        <v>95529258</v>
      </c>
    </row>
    <row r="259" spans="1:5" x14ac:dyDescent="0.2">
      <c r="A259" s="512">
        <v>2</v>
      </c>
      <c r="B259" s="511" t="s">
        <v>722</v>
      </c>
      <c r="C259" s="546">
        <f>+(C43-C76)</f>
        <v>395593224</v>
      </c>
      <c r="D259" s="549">
        <f>+(D43-D76)</f>
        <v>470006744</v>
      </c>
      <c r="E259" s="546">
        <f t="shared" si="30"/>
        <v>74413520</v>
      </c>
    </row>
    <row r="260" spans="1:5" x14ac:dyDescent="0.2">
      <c r="A260" s="512">
        <v>3</v>
      </c>
      <c r="B260" s="511" t="s">
        <v>726</v>
      </c>
      <c r="C260" s="546">
        <f>C195</f>
        <v>21378797</v>
      </c>
      <c r="D260" s="546">
        <f>D195</f>
        <v>20426836</v>
      </c>
      <c r="E260" s="546">
        <f t="shared" si="30"/>
        <v>-951961</v>
      </c>
    </row>
    <row r="261" spans="1:5" x14ac:dyDescent="0.2">
      <c r="A261" s="512">
        <v>4</v>
      </c>
      <c r="B261" s="511" t="s">
        <v>727</v>
      </c>
      <c r="C261" s="546">
        <f>C188</f>
        <v>181709768</v>
      </c>
      <c r="D261" s="546">
        <f>D188</f>
        <v>192878887</v>
      </c>
      <c r="E261" s="546">
        <f t="shared" si="30"/>
        <v>11169119</v>
      </c>
    </row>
    <row r="262" spans="1:5" x14ac:dyDescent="0.2">
      <c r="A262" s="512">
        <v>5</v>
      </c>
      <c r="B262" s="511" t="s">
        <v>728</v>
      </c>
      <c r="C262" s="546">
        <f>C191</f>
        <v>14229964</v>
      </c>
      <c r="D262" s="546">
        <f>D191</f>
        <v>16640238</v>
      </c>
      <c r="E262" s="546">
        <f t="shared" si="30"/>
        <v>2410274</v>
      </c>
    </row>
    <row r="263" spans="1:5" x14ac:dyDescent="0.2">
      <c r="A263" s="512">
        <v>6</v>
      </c>
      <c r="B263" s="511" t="s">
        <v>729</v>
      </c>
      <c r="C263" s="546">
        <f>+C259+C260+C261+C262</f>
        <v>612911753</v>
      </c>
      <c r="D263" s="546">
        <f>+D259+D260+D261+D262</f>
        <v>699952705</v>
      </c>
      <c r="E263" s="546">
        <f t="shared" si="30"/>
        <v>87040952</v>
      </c>
    </row>
    <row r="264" spans="1:5" x14ac:dyDescent="0.2">
      <c r="A264" s="512">
        <v>7</v>
      </c>
      <c r="B264" s="511" t="s">
        <v>629</v>
      </c>
      <c r="C264" s="546">
        <f>+C258-C263</f>
        <v>325231360</v>
      </c>
      <c r="D264" s="546">
        <f>+D258-D263</f>
        <v>333719666</v>
      </c>
      <c r="E264" s="546">
        <f t="shared" si="30"/>
        <v>8488306</v>
      </c>
    </row>
    <row r="265" spans="1:5" x14ac:dyDescent="0.2">
      <c r="A265" s="512">
        <v>8</v>
      </c>
      <c r="B265" s="511" t="s">
        <v>815</v>
      </c>
      <c r="C265" s="565">
        <f>C192</f>
        <v>1608918</v>
      </c>
      <c r="D265" s="565">
        <f>D192</f>
        <v>0</v>
      </c>
      <c r="E265" s="546">
        <f t="shared" si="30"/>
        <v>-1608918</v>
      </c>
    </row>
    <row r="266" spans="1:5" x14ac:dyDescent="0.2">
      <c r="A266" s="512">
        <v>9</v>
      </c>
      <c r="B266" s="511" t="s">
        <v>816</v>
      </c>
      <c r="C266" s="546">
        <f>+C264+C265</f>
        <v>326840278</v>
      </c>
      <c r="D266" s="546">
        <f>+D264+D265</f>
        <v>333719666</v>
      </c>
      <c r="E266" s="565">
        <f t="shared" si="30"/>
        <v>6879388</v>
      </c>
    </row>
    <row r="267" spans="1:5" x14ac:dyDescent="0.2">
      <c r="A267" s="512">
        <v>10</v>
      </c>
      <c r="B267" s="511" t="s">
        <v>817</v>
      </c>
      <c r="C267" s="566">
        <f>IF(C258=0,0,C266/C258)</f>
        <v>0.34839063834815998</v>
      </c>
      <c r="D267" s="566">
        <f>IF(D258=0,0,D266/D258)</f>
        <v>0.32284858854953374</v>
      </c>
      <c r="E267" s="567">
        <f t="shared" si="30"/>
        <v>-2.5542049798626232E-2</v>
      </c>
    </row>
    <row r="268" spans="1:5" x14ac:dyDescent="0.2">
      <c r="A268" s="512">
        <v>11</v>
      </c>
      <c r="B268" s="511" t="s">
        <v>691</v>
      </c>
      <c r="C268" s="546">
        <f>+C260*C267</f>
        <v>7448172.7339457273</v>
      </c>
      <c r="D268" s="568">
        <f>+D260*D267</f>
        <v>6594775.1711328039</v>
      </c>
      <c r="E268" s="546">
        <f t="shared" si="30"/>
        <v>-853397.56281292345</v>
      </c>
    </row>
    <row r="269" spans="1:5" x14ac:dyDescent="0.2">
      <c r="A269" s="512">
        <v>12</v>
      </c>
      <c r="B269" s="511" t="s">
        <v>818</v>
      </c>
      <c r="C269" s="546">
        <f>((C17+C18+C28+C29)*C267)-(C50+C51+C61+C62)</f>
        <v>12964495.842497528</v>
      </c>
      <c r="D269" s="568">
        <f>((D17+D18+D28+D29)*D267)-(D50+D51+D61+D62)</f>
        <v>11990112.914563648</v>
      </c>
      <c r="E269" s="546">
        <f t="shared" si="30"/>
        <v>-974382.9279338792</v>
      </c>
    </row>
    <row r="270" spans="1:5" s="569" customFormat="1" x14ac:dyDescent="0.2">
      <c r="A270" s="570">
        <v>13</v>
      </c>
      <c r="B270" s="571" t="s">
        <v>819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820</v>
      </c>
      <c r="C271" s="546">
        <f>+C268+C269+C270</f>
        <v>20412668.576443255</v>
      </c>
      <c r="D271" s="546">
        <f>+D268+D269+D270</f>
        <v>18584888.085696451</v>
      </c>
      <c r="E271" s="549">
        <f t="shared" si="30"/>
        <v>-1827780.4907468036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821</v>
      </c>
      <c r="B273" s="550" t="s">
        <v>822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823</v>
      </c>
      <c r="C275" s="340"/>
      <c r="D275" s="340"/>
      <c r="E275" s="520"/>
    </row>
    <row r="276" spans="1:5" x14ac:dyDescent="0.2">
      <c r="A276" s="512">
        <v>1</v>
      </c>
      <c r="B276" s="511" t="s">
        <v>631</v>
      </c>
      <c r="C276" s="547">
        <f t="shared" ref="C276:D284" si="31">IF(C14=0,0,+C47/C14)</f>
        <v>0.45935280881691698</v>
      </c>
      <c r="D276" s="547">
        <f t="shared" si="31"/>
        <v>0.46561607645164577</v>
      </c>
      <c r="E276" s="574">
        <f t="shared" ref="E276:E284" si="32">D276-C276</f>
        <v>6.2632676347287863E-3</v>
      </c>
    </row>
    <row r="277" spans="1:5" x14ac:dyDescent="0.2">
      <c r="A277" s="512">
        <v>2</v>
      </c>
      <c r="B277" s="511" t="s">
        <v>610</v>
      </c>
      <c r="C277" s="547">
        <f t="shared" si="31"/>
        <v>0.28709131275210698</v>
      </c>
      <c r="D277" s="547">
        <f t="shared" si="31"/>
        <v>0.24979524398528308</v>
      </c>
      <c r="E277" s="574">
        <f t="shared" si="32"/>
        <v>-3.7296068766823898E-2</v>
      </c>
    </row>
    <row r="278" spans="1:5" x14ac:dyDescent="0.2">
      <c r="A278" s="512">
        <v>3</v>
      </c>
      <c r="B278" s="511" t="s">
        <v>756</v>
      </c>
      <c r="C278" s="547">
        <f t="shared" si="31"/>
        <v>0.20872881049595665</v>
      </c>
      <c r="D278" s="547">
        <f t="shared" si="31"/>
        <v>0.22288004164754929</v>
      </c>
      <c r="E278" s="574">
        <f t="shared" si="32"/>
        <v>1.4151231151592641E-2</v>
      </c>
    </row>
    <row r="279" spans="1:5" x14ac:dyDescent="0.2">
      <c r="A279" s="512">
        <v>4</v>
      </c>
      <c r="B279" s="511" t="s">
        <v>114</v>
      </c>
      <c r="C279" s="547">
        <f t="shared" si="31"/>
        <v>0.25035643274446628</v>
      </c>
      <c r="D279" s="547">
        <f t="shared" si="31"/>
        <v>0.22288004164754929</v>
      </c>
      <c r="E279" s="574">
        <f t="shared" si="32"/>
        <v>-2.7476391096916991E-2</v>
      </c>
    </row>
    <row r="280" spans="1:5" x14ac:dyDescent="0.2">
      <c r="A280" s="512">
        <v>5</v>
      </c>
      <c r="B280" s="511" t="s">
        <v>723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418</v>
      </c>
      <c r="C281" s="547">
        <f t="shared" si="31"/>
        <v>0.21391663382399018</v>
      </c>
      <c r="D281" s="547">
        <f t="shared" si="31"/>
        <v>0.19015258618991795</v>
      </c>
      <c r="E281" s="574">
        <f t="shared" si="32"/>
        <v>-2.3764047634072222E-2</v>
      </c>
    </row>
    <row r="282" spans="1:5" x14ac:dyDescent="0.2">
      <c r="A282" s="512">
        <v>7</v>
      </c>
      <c r="B282" s="511" t="s">
        <v>738</v>
      </c>
      <c r="C282" s="547">
        <f t="shared" si="31"/>
        <v>0.30034844371334074</v>
      </c>
      <c r="D282" s="547">
        <f t="shared" si="31"/>
        <v>0.69424298319008138</v>
      </c>
      <c r="E282" s="574">
        <f t="shared" si="32"/>
        <v>0.39389453947674063</v>
      </c>
    </row>
    <row r="283" spans="1:5" ht="29.25" customHeight="1" x14ac:dyDescent="0.2">
      <c r="A283" s="512"/>
      <c r="B283" s="516" t="s">
        <v>824</v>
      </c>
      <c r="C283" s="575">
        <f t="shared" si="31"/>
        <v>0.27378948335982733</v>
      </c>
      <c r="D283" s="575">
        <f t="shared" si="31"/>
        <v>0.24506210642396728</v>
      </c>
      <c r="E283" s="576">
        <f t="shared" si="32"/>
        <v>-2.8727376935860055E-2</v>
      </c>
    </row>
    <row r="284" spans="1:5" x14ac:dyDescent="0.2">
      <c r="A284" s="512"/>
      <c r="B284" s="516" t="s">
        <v>825</v>
      </c>
      <c r="C284" s="575">
        <f t="shared" si="31"/>
        <v>0.33033684897128318</v>
      </c>
      <c r="D284" s="575">
        <f t="shared" si="31"/>
        <v>0.31119175545933664</v>
      </c>
      <c r="E284" s="576">
        <f t="shared" si="32"/>
        <v>-1.9145093511946543E-2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826</v>
      </c>
      <c r="C286" s="520"/>
      <c r="D286" s="520"/>
      <c r="E286" s="520"/>
    </row>
    <row r="287" spans="1:5" x14ac:dyDescent="0.2">
      <c r="A287" s="512">
        <v>1</v>
      </c>
      <c r="B287" s="511" t="s">
        <v>631</v>
      </c>
      <c r="C287" s="547">
        <f t="shared" ref="C287:D295" si="33">IF(C25=0,0,+C58/C25)</f>
        <v>0.44819502093723562</v>
      </c>
      <c r="D287" s="547">
        <f t="shared" si="33"/>
        <v>0.4266166083314919</v>
      </c>
      <c r="E287" s="574">
        <f t="shared" ref="E287:E295" si="34">D287-C287</f>
        <v>-2.1578412605743724E-2</v>
      </c>
    </row>
    <row r="288" spans="1:5" x14ac:dyDescent="0.2">
      <c r="A288" s="512">
        <v>2</v>
      </c>
      <c r="B288" s="511" t="s">
        <v>610</v>
      </c>
      <c r="C288" s="547">
        <f t="shared" si="33"/>
        <v>0.2467616276644698</v>
      </c>
      <c r="D288" s="547">
        <f t="shared" si="33"/>
        <v>0.22626338526946116</v>
      </c>
      <c r="E288" s="574">
        <f t="shared" si="34"/>
        <v>-2.0498242395008637E-2</v>
      </c>
    </row>
    <row r="289" spans="1:5" x14ac:dyDescent="0.2">
      <c r="A289" s="512">
        <v>3</v>
      </c>
      <c r="B289" s="511" t="s">
        <v>756</v>
      </c>
      <c r="C289" s="547">
        <f t="shared" si="33"/>
        <v>0.25646682044310981</v>
      </c>
      <c r="D289" s="547">
        <f t="shared" si="33"/>
        <v>0.24396315656921821</v>
      </c>
      <c r="E289" s="574">
        <f t="shared" si="34"/>
        <v>-1.2503663873891596E-2</v>
      </c>
    </row>
    <row r="290" spans="1:5" x14ac:dyDescent="0.2">
      <c r="A290" s="512">
        <v>4</v>
      </c>
      <c r="B290" s="511" t="s">
        <v>114</v>
      </c>
      <c r="C290" s="547">
        <f t="shared" si="33"/>
        <v>0.29670218775498108</v>
      </c>
      <c r="D290" s="547">
        <f t="shared" si="33"/>
        <v>0.24396315656921821</v>
      </c>
      <c r="E290" s="574">
        <f t="shared" si="34"/>
        <v>-5.2739031185762869E-2</v>
      </c>
    </row>
    <row r="291" spans="1:5" x14ac:dyDescent="0.2">
      <c r="A291" s="512">
        <v>5</v>
      </c>
      <c r="B291" s="511" t="s">
        <v>723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418</v>
      </c>
      <c r="C292" s="547">
        <f t="shared" si="33"/>
        <v>0.22809817869147189</v>
      </c>
      <c r="D292" s="547">
        <f t="shared" si="33"/>
        <v>0.25444606610989484</v>
      </c>
      <c r="E292" s="574">
        <f t="shared" si="34"/>
        <v>2.6347887418422949E-2</v>
      </c>
    </row>
    <row r="293" spans="1:5" x14ac:dyDescent="0.2">
      <c r="A293" s="512">
        <v>7</v>
      </c>
      <c r="B293" s="511" t="s">
        <v>738</v>
      </c>
      <c r="C293" s="547">
        <f t="shared" si="33"/>
        <v>0.31242875989005914</v>
      </c>
      <c r="D293" s="547">
        <f t="shared" si="33"/>
        <v>0.27010930169293684</v>
      </c>
      <c r="E293" s="574">
        <f t="shared" si="34"/>
        <v>-4.2319458197122295E-2</v>
      </c>
    </row>
    <row r="294" spans="1:5" ht="29.25" customHeight="1" x14ac:dyDescent="0.2">
      <c r="A294" s="512"/>
      <c r="B294" s="516" t="s">
        <v>827</v>
      </c>
      <c r="C294" s="575">
        <f t="shared" si="33"/>
        <v>0.24927742737556807</v>
      </c>
      <c r="D294" s="575">
        <f t="shared" si="33"/>
        <v>0.23152118529188973</v>
      </c>
      <c r="E294" s="576">
        <f t="shared" si="34"/>
        <v>-1.7756242083678347E-2</v>
      </c>
    </row>
    <row r="295" spans="1:5" x14ac:dyDescent="0.2">
      <c r="A295" s="512"/>
      <c r="B295" s="516" t="s">
        <v>828</v>
      </c>
      <c r="C295" s="575">
        <f t="shared" si="33"/>
        <v>0.35375592515985982</v>
      </c>
      <c r="D295" s="575">
        <f t="shared" si="33"/>
        <v>0.32704706462424421</v>
      </c>
      <c r="E295" s="576">
        <f t="shared" si="34"/>
        <v>-2.6708860535615608E-2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829</v>
      </c>
      <c r="B297" s="501" t="s">
        <v>830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629</v>
      </c>
      <c r="C301" s="514">
        <f>+C48+C47+C50+C51+C52+C59+C58+C61+C62+C63</f>
        <v>322218061</v>
      </c>
      <c r="D301" s="514">
        <f>+D48+D47+D50+D51+D52+D59+D58+D61+D62+D63</f>
        <v>330549485</v>
      </c>
      <c r="E301" s="514">
        <f>D301-C301</f>
        <v>8331424</v>
      </c>
    </row>
    <row r="302" spans="1:5" ht="25.5" x14ac:dyDescent="0.2">
      <c r="A302" s="512">
        <v>2</v>
      </c>
      <c r="B302" s="511" t="s">
        <v>832</v>
      </c>
      <c r="C302" s="546">
        <f>C265</f>
        <v>1608918</v>
      </c>
      <c r="D302" s="546">
        <f>D265</f>
        <v>0</v>
      </c>
      <c r="E302" s="514">
        <f>D302-C302</f>
        <v>-1608918</v>
      </c>
    </row>
    <row r="303" spans="1:5" x14ac:dyDescent="0.2">
      <c r="A303" s="512"/>
      <c r="B303" s="516" t="s">
        <v>833</v>
      </c>
      <c r="C303" s="517">
        <f>+C301+C302</f>
        <v>323826979</v>
      </c>
      <c r="D303" s="517">
        <f>+D301+D302</f>
        <v>330549485</v>
      </c>
      <c r="E303" s="517">
        <f>D303-C303</f>
        <v>6722506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834</v>
      </c>
      <c r="C305" s="513">
        <v>2854644</v>
      </c>
      <c r="D305" s="578">
        <v>5563767</v>
      </c>
      <c r="E305" s="579">
        <f>D305-C305</f>
        <v>2709123</v>
      </c>
    </row>
    <row r="306" spans="1:5" x14ac:dyDescent="0.2">
      <c r="A306" s="512">
        <v>4</v>
      </c>
      <c r="B306" s="516" t="s">
        <v>835</v>
      </c>
      <c r="C306" s="580">
        <f>+C303+C305</f>
        <v>326681623</v>
      </c>
      <c r="D306" s="580">
        <f>+D303+D305</f>
        <v>336113252</v>
      </c>
      <c r="E306" s="580">
        <f>D306-C306</f>
        <v>9431629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836</v>
      </c>
      <c r="C308" s="513">
        <v>326681627</v>
      </c>
      <c r="D308" s="513">
        <v>336113214</v>
      </c>
      <c r="E308" s="514">
        <f>D308-C308</f>
        <v>9431587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837</v>
      </c>
      <c r="C310" s="581">
        <f>C306-C308</f>
        <v>-4</v>
      </c>
      <c r="D310" s="582">
        <f>D306-D308</f>
        <v>38</v>
      </c>
      <c r="E310" s="580">
        <f>D310-C310</f>
        <v>42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839</v>
      </c>
      <c r="C314" s="514">
        <f>+C14+C15+C16+C19+C25+C26+C27+C30</f>
        <v>938143113</v>
      </c>
      <c r="D314" s="514">
        <f>+D14+D15+D16+D19+D25+D26+D27+D30</f>
        <v>1033672371</v>
      </c>
      <c r="E314" s="514">
        <f>D314-C314</f>
        <v>95529258</v>
      </c>
    </row>
    <row r="315" spans="1:5" x14ac:dyDescent="0.2">
      <c r="A315" s="512">
        <v>2</v>
      </c>
      <c r="B315" s="583" t="s">
        <v>840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841</v>
      </c>
      <c r="C316" s="581">
        <f>C314+C315</f>
        <v>938143113</v>
      </c>
      <c r="D316" s="581">
        <f>D314+D315</f>
        <v>1033672371</v>
      </c>
      <c r="E316" s="517">
        <f>D316-C316</f>
        <v>95529258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842</v>
      </c>
      <c r="C318" s="513">
        <v>938143112</v>
      </c>
      <c r="D318" s="513">
        <v>1033672371</v>
      </c>
      <c r="E318" s="514">
        <f>D318-C318</f>
        <v>95529259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837</v>
      </c>
      <c r="C320" s="581">
        <f>C316-C318</f>
        <v>1</v>
      </c>
      <c r="D320" s="581">
        <f>D316-D318</f>
        <v>0</v>
      </c>
      <c r="E320" s="517">
        <f>D320-C320</f>
        <v>-1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843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844</v>
      </c>
      <c r="C324" s="513">
        <f>+C193+C194</f>
        <v>21378797</v>
      </c>
      <c r="D324" s="513">
        <f>+D193+D194</f>
        <v>20426836</v>
      </c>
      <c r="E324" s="514">
        <f>D324-C324</f>
        <v>-951961</v>
      </c>
    </row>
    <row r="325" spans="1:5" x14ac:dyDescent="0.2">
      <c r="A325" s="512">
        <v>2</v>
      </c>
      <c r="B325" s="511" t="s">
        <v>845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846</v>
      </c>
      <c r="C326" s="581">
        <f>C324+C325</f>
        <v>21378797</v>
      </c>
      <c r="D326" s="581">
        <f>D324+D325</f>
        <v>20426836</v>
      </c>
      <c r="E326" s="517">
        <f>D326-C326</f>
        <v>-951961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847</v>
      </c>
      <c r="C328" s="513">
        <v>21378797</v>
      </c>
      <c r="D328" s="513">
        <v>20426836</v>
      </c>
      <c r="E328" s="514">
        <f>D328-C328</f>
        <v>-951961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848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&amp;LOFFICE OF HEALTH CARE ACCESS&amp;CTWELVE MONTHS ACTUAL FILING&amp;RMIDDLESEX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849</v>
      </c>
      <c r="B5" s="696"/>
      <c r="C5" s="697"/>
      <c r="D5" s="585"/>
    </row>
    <row r="6" spans="1:58" s="338" customFormat="1" ht="15.75" customHeight="1" x14ac:dyDescent="0.25">
      <c r="A6" s="695" t="s">
        <v>850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852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631</v>
      </c>
      <c r="C14" s="513">
        <v>142019598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610</v>
      </c>
      <c r="C15" s="515">
        <v>274740403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756</v>
      </c>
      <c r="C16" s="515">
        <v>55732451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55732451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723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1167799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738</v>
      </c>
      <c r="C20" s="515">
        <v>6310560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757</v>
      </c>
      <c r="C21" s="517">
        <f>SUM(C15+C16+C19)</f>
        <v>331640653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697</v>
      </c>
      <c r="C22" s="517">
        <f>SUM(C14+C21)</f>
        <v>473660251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631</v>
      </c>
      <c r="C25" s="513">
        <v>274202487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610</v>
      </c>
      <c r="C26" s="515">
        <v>202223329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756</v>
      </c>
      <c r="C27" s="515">
        <v>81366364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81366364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723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2219940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738</v>
      </c>
      <c r="C31" s="518">
        <v>13906189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759</v>
      </c>
      <c r="C32" s="517">
        <f>SUM(C26+C27+C30)</f>
        <v>285809633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703</v>
      </c>
      <c r="C33" s="517">
        <f>SUM(C25+C32)</f>
        <v>560012120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853</v>
      </c>
      <c r="C36" s="514">
        <f>SUM(C14+C25)</f>
        <v>416222085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854</v>
      </c>
      <c r="C37" s="518">
        <f>SUM(C21+C32)</f>
        <v>617450286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628</v>
      </c>
      <c r="C38" s="517">
        <f>SUM(+C36+C37)</f>
        <v>1033672371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631</v>
      </c>
      <c r="C41" s="513">
        <v>66126608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610</v>
      </c>
      <c r="C42" s="515">
        <v>68628846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756</v>
      </c>
      <c r="C43" s="515">
        <v>12421651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12421651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723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222060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738</v>
      </c>
      <c r="C47" s="515">
        <v>4381062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769</v>
      </c>
      <c r="C48" s="517">
        <f>SUM(C42+C43+C46)</f>
        <v>81272557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698</v>
      </c>
      <c r="C49" s="517">
        <f>SUM(C41+C48)</f>
        <v>147399165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770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631</v>
      </c>
      <c r="C52" s="513">
        <v>116979335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610</v>
      </c>
      <c r="C53" s="515">
        <v>45755735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756</v>
      </c>
      <c r="C54" s="515">
        <v>19850395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19850395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723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564855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738</v>
      </c>
      <c r="C58" s="515">
        <v>3756191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771</v>
      </c>
      <c r="C59" s="517">
        <f>SUM(C53+C54+C57)</f>
        <v>66170985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704</v>
      </c>
      <c r="C60" s="517">
        <f>SUM(C52+C59)</f>
        <v>183150320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855</v>
      </c>
      <c r="C63" s="514">
        <f>SUM(C41+C52)</f>
        <v>183105943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856</v>
      </c>
      <c r="C64" s="518">
        <f>SUM(C48+C59)</f>
        <v>147443542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629</v>
      </c>
      <c r="C65" s="517">
        <f>SUM(+C63+C64)</f>
        <v>330549485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631</v>
      </c>
      <c r="C70" s="530">
        <v>4406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610</v>
      </c>
      <c r="C71" s="530">
        <v>7373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756</v>
      </c>
      <c r="C72" s="530">
        <v>2028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2028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723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48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738</v>
      </c>
      <c r="C76" s="545">
        <v>201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786</v>
      </c>
      <c r="C77" s="532">
        <f>SUM(C71+C72+C75)</f>
        <v>9449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700</v>
      </c>
      <c r="C78" s="596">
        <f>SUM(C70+C77)</f>
        <v>13855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631</v>
      </c>
      <c r="C81" s="541">
        <v>1.1259999999999999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610</v>
      </c>
      <c r="C82" s="541">
        <v>1.3360000000000001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756</v>
      </c>
      <c r="C83" s="541">
        <f>((C73*C84)+(C74*C85))/(C73+C74)</f>
        <v>0.96599999999999997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0.96599999999999997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723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0.876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738</v>
      </c>
      <c r="C87" s="541">
        <v>1.08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792</v>
      </c>
      <c r="C88" s="543">
        <f>((C71*C82)+(C73*C84)+(C74*C85)+(C75*C86))/(C71+C73+C74+C75)</f>
        <v>1.2542516668430526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701</v>
      </c>
      <c r="C89" s="543">
        <f>((C70*C81)+(C71*C82)+(C73*C84)+(C74*C85)+(C75*C86))/(C70+C71+C73+C74+C75)</f>
        <v>1.21346661854926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793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794</v>
      </c>
      <c r="C92" s="513">
        <v>377720253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795</v>
      </c>
      <c r="C93" s="546">
        <v>184841366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643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727</v>
      </c>
      <c r="C95" s="513">
        <f>+C92-C93</f>
        <v>192878887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645</v>
      </c>
      <c r="C96" s="597">
        <f>(+C92-C93)/C92</f>
        <v>0.51063951553585352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742</v>
      </c>
      <c r="C98" s="513">
        <v>23580041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728</v>
      </c>
      <c r="C99" s="513">
        <v>16640238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859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797</v>
      </c>
      <c r="C103" s="513">
        <v>6856094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798</v>
      </c>
      <c r="C104" s="513">
        <v>13570742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799</v>
      </c>
      <c r="C105" s="578">
        <f>+C103+C104</f>
        <v>20426836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800</v>
      </c>
      <c r="C107" s="513">
        <v>9543630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685</v>
      </c>
      <c r="C108" s="513">
        <v>328515648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629</v>
      </c>
      <c r="C114" s="514">
        <f>+C65</f>
        <v>330549485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832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833</v>
      </c>
      <c r="C116" s="517">
        <f>+C114+C115</f>
        <v>330549485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834</v>
      </c>
      <c r="C118" s="578">
        <v>5563767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835</v>
      </c>
      <c r="C119" s="580">
        <f>+C116+C118</f>
        <v>336113252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836</v>
      </c>
      <c r="C121" s="513">
        <v>336113214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837</v>
      </c>
      <c r="C123" s="582">
        <f>C119-C121</f>
        <v>38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839</v>
      </c>
      <c r="C127" s="514">
        <f>+C38</f>
        <v>1033672371</v>
      </c>
      <c r="D127" s="588"/>
      <c r="AR127" s="507"/>
    </row>
    <row r="128" spans="1:58" s="506" customFormat="1" x14ac:dyDescent="0.2">
      <c r="A128" s="512">
        <v>2</v>
      </c>
      <c r="B128" s="583" t="s">
        <v>840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841</v>
      </c>
      <c r="C129" s="581">
        <f>C127+C128</f>
        <v>1033672371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842</v>
      </c>
      <c r="C131" s="513">
        <v>1033672371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837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843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844</v>
      </c>
      <c r="C137" s="513">
        <f>C105</f>
        <v>20426836</v>
      </c>
      <c r="D137" s="588"/>
      <c r="AR137" s="507"/>
    </row>
    <row r="138" spans="1:44" s="506" customFormat="1" x14ac:dyDescent="0.2">
      <c r="A138" s="512">
        <v>2</v>
      </c>
      <c r="B138" s="511" t="s">
        <v>860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846</v>
      </c>
      <c r="C139" s="581">
        <f>C137+C138</f>
        <v>20426836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861</v>
      </c>
      <c r="C141" s="513">
        <v>20426836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848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FILING&amp;RMIDDLESEX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862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605</v>
      </c>
      <c r="D8" s="35" t="s">
        <v>605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607</v>
      </c>
      <c r="D9" s="607" t="s">
        <v>608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863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864</v>
      </c>
      <c r="C12" s="49">
        <v>3190</v>
      </c>
      <c r="D12" s="49">
        <v>3302</v>
      </c>
      <c r="E12" s="49">
        <f>+D12-C12</f>
        <v>112</v>
      </c>
      <c r="F12" s="70">
        <f>IF(C12=0,0,+E12/C12)</f>
        <v>3.5109717868338559E-2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865</v>
      </c>
      <c r="C13" s="49">
        <v>2316</v>
      </c>
      <c r="D13" s="49">
        <v>1679</v>
      </c>
      <c r="E13" s="49">
        <f>+D13-C13</f>
        <v>-637</v>
      </c>
      <c r="F13" s="70">
        <f>IF(C13=0,0,+E13/C13)</f>
        <v>-0.27504317789291882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866</v>
      </c>
      <c r="C15" s="51">
        <v>9520361</v>
      </c>
      <c r="D15" s="51">
        <v>6856094</v>
      </c>
      <c r="E15" s="51">
        <f>+D15-C15</f>
        <v>-2664267</v>
      </c>
      <c r="F15" s="70">
        <f>IF(C15=0,0,+E15/C15)</f>
        <v>-0.27984936705656432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867</v>
      </c>
      <c r="C16" s="27">
        <f>IF(C13=0,0,+C15/+C13)</f>
        <v>4110.6912780656303</v>
      </c>
      <c r="D16" s="27">
        <f>IF(D13=0,0,+D15/+D13)</f>
        <v>4083.438951756998</v>
      </c>
      <c r="E16" s="27">
        <f>+D16-C16</f>
        <v>-27.252326308632291</v>
      </c>
      <c r="F16" s="28">
        <f>IF(C16=0,0,+E16/C16)</f>
        <v>-6.6296212644449499E-3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868</v>
      </c>
      <c r="C18" s="210">
        <v>0.35856900000000003</v>
      </c>
      <c r="D18" s="210">
        <v>0.33030999999999999</v>
      </c>
      <c r="E18" s="210">
        <f>+D18-C18</f>
        <v>-2.8259000000000034E-2</v>
      </c>
      <c r="F18" s="70">
        <f>IF(C18=0,0,+E18/C18)</f>
        <v>-7.8810493935616385E-2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869</v>
      </c>
      <c r="C19" s="27">
        <f>+C15*C18</f>
        <v>3413706.3234090004</v>
      </c>
      <c r="D19" s="27">
        <f>+D15*D18</f>
        <v>2264636.4091400001</v>
      </c>
      <c r="E19" s="27">
        <f>+D19-C19</f>
        <v>-1149069.9142690003</v>
      </c>
      <c r="F19" s="28">
        <f>IF(C19=0,0,+E19/C19)</f>
        <v>-0.33660479414688327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870</v>
      </c>
      <c r="C20" s="27">
        <f>IF(C13=0,0,+C19/C13)</f>
        <v>1473.9664608847152</v>
      </c>
      <c r="D20" s="27">
        <f>IF(D13=0,0,+D19/D13)</f>
        <v>1348.8007201548542</v>
      </c>
      <c r="E20" s="27">
        <f>+D20-C20</f>
        <v>-125.165740729861</v>
      </c>
      <c r="F20" s="28">
        <f>IF(C20=0,0,+E20/C20)</f>
        <v>-8.4917631473604274E-2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871</v>
      </c>
      <c r="C22" s="51">
        <v>4079617</v>
      </c>
      <c r="D22" s="51">
        <v>1923667</v>
      </c>
      <c r="E22" s="51">
        <f>+D22-C22</f>
        <v>-2155950</v>
      </c>
      <c r="F22" s="70">
        <f>IF(C22=0,0,+E22/C22)</f>
        <v>-0.52846872635347875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872</v>
      </c>
      <c r="C23" s="49">
        <v>2814601</v>
      </c>
      <c r="D23" s="49">
        <v>2328923</v>
      </c>
      <c r="E23" s="49">
        <f>+D23-C23</f>
        <v>-485678</v>
      </c>
      <c r="F23" s="70">
        <f>IF(C23=0,0,+E23/C23)</f>
        <v>-0.17255660749072427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873</v>
      </c>
      <c r="C24" s="49">
        <v>2626143</v>
      </c>
      <c r="D24" s="49">
        <v>2603504</v>
      </c>
      <c r="E24" s="49">
        <f>+D24-C24</f>
        <v>-22639</v>
      </c>
      <c r="F24" s="70">
        <f>IF(C24=0,0,+E24/C24)</f>
        <v>-8.6206272849574453E-3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866</v>
      </c>
      <c r="C25" s="27">
        <f>+C22+C23+C24</f>
        <v>9520361</v>
      </c>
      <c r="D25" s="27">
        <f>+D22+D23+D24</f>
        <v>6856094</v>
      </c>
      <c r="E25" s="27">
        <f>+E22+E23+E24</f>
        <v>-2664267</v>
      </c>
      <c r="F25" s="28">
        <f>IF(C25=0,0,+E25/C25)</f>
        <v>-0.27984936705656432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874</v>
      </c>
      <c r="C27" s="49">
        <v>561</v>
      </c>
      <c r="D27" s="49">
        <v>268</v>
      </c>
      <c r="E27" s="49">
        <f>+D27-C27</f>
        <v>-293</v>
      </c>
      <c r="F27" s="70">
        <f>IF(C27=0,0,+E27/C27)</f>
        <v>-0.5222816399286988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875</v>
      </c>
      <c r="C28" s="49">
        <v>134</v>
      </c>
      <c r="D28" s="49">
        <v>60</v>
      </c>
      <c r="E28" s="49">
        <f>+D28-C28</f>
        <v>-74</v>
      </c>
      <c r="F28" s="70">
        <f>IF(C28=0,0,+E28/C28)</f>
        <v>-0.55223880597014929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876</v>
      </c>
      <c r="C29" s="49">
        <v>1331</v>
      </c>
      <c r="D29" s="49">
        <v>1010</v>
      </c>
      <c r="E29" s="49">
        <f>+D29-C29</f>
        <v>-321</v>
      </c>
      <c r="F29" s="70">
        <f>IF(C29=0,0,+E29/C29)</f>
        <v>-0.24117205108940645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877</v>
      </c>
      <c r="C30" s="49">
        <v>1858</v>
      </c>
      <c r="D30" s="49">
        <v>1068</v>
      </c>
      <c r="E30" s="49">
        <f>+D30-C30</f>
        <v>-790</v>
      </c>
      <c r="F30" s="70">
        <f>IF(C30=0,0,+E30/C30)</f>
        <v>-0.42518837459634012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879</v>
      </c>
      <c r="C33" s="51">
        <v>2458016</v>
      </c>
      <c r="D33" s="51">
        <v>2543065</v>
      </c>
      <c r="E33" s="51">
        <f>+D33-C33</f>
        <v>85049</v>
      </c>
      <c r="F33" s="70">
        <f>IF(C33=0,0,+E33/C33)</f>
        <v>3.4600669808495958E-2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880</v>
      </c>
      <c r="C34" s="49">
        <v>2918955</v>
      </c>
      <c r="D34" s="49">
        <v>3384396</v>
      </c>
      <c r="E34" s="49">
        <f>+D34-C34</f>
        <v>465441</v>
      </c>
      <c r="F34" s="70">
        <f>IF(C34=0,0,+E34/C34)</f>
        <v>0.15945466785202239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881</v>
      </c>
      <c r="C35" s="49">
        <v>6481465</v>
      </c>
      <c r="D35" s="49">
        <v>7643281</v>
      </c>
      <c r="E35" s="49">
        <f>+D35-C35</f>
        <v>1161816</v>
      </c>
      <c r="F35" s="70">
        <f>IF(C35=0,0,+E35/C35)</f>
        <v>0.17925206724097098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882</v>
      </c>
      <c r="C36" s="27">
        <f>+C33+C34+C35</f>
        <v>11858436</v>
      </c>
      <c r="D36" s="27">
        <f>+D33+D34+D35</f>
        <v>13570742</v>
      </c>
      <c r="E36" s="27">
        <f>+E33+E34+E35</f>
        <v>1712306</v>
      </c>
      <c r="F36" s="28">
        <f>IF(C36=0,0,+E36/C36)</f>
        <v>0.1443956015784881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883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884</v>
      </c>
      <c r="C39" s="51">
        <f>+C25</f>
        <v>9520361</v>
      </c>
      <c r="D39" s="51">
        <f>+D25</f>
        <v>6856094</v>
      </c>
      <c r="E39" s="51">
        <f>+D39-C39</f>
        <v>-2664267</v>
      </c>
      <c r="F39" s="70">
        <f>IF(C39=0,0,+E39/C39)</f>
        <v>-0.27984936705656432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885</v>
      </c>
      <c r="C40" s="49">
        <f>+C36</f>
        <v>11858436</v>
      </c>
      <c r="D40" s="49">
        <f>+D36</f>
        <v>13570742</v>
      </c>
      <c r="E40" s="49">
        <f>+D40-C40</f>
        <v>1712306</v>
      </c>
      <c r="F40" s="70">
        <f>IF(C40=0,0,+E40/C40)</f>
        <v>0.1443956015784881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886</v>
      </c>
      <c r="C41" s="27">
        <f>+C39+C40</f>
        <v>21378797</v>
      </c>
      <c r="D41" s="27">
        <f>+D39+D40</f>
        <v>20426836</v>
      </c>
      <c r="E41" s="27">
        <f>+E39+E40</f>
        <v>-951961</v>
      </c>
      <c r="F41" s="28">
        <f>IF(C41=0,0,+E41/C41)</f>
        <v>-4.4528277245908646E-2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887</v>
      </c>
      <c r="C43" s="51">
        <f t="shared" ref="C43:D45" si="0">+C22+C33</f>
        <v>6537633</v>
      </c>
      <c r="D43" s="51">
        <f t="shared" si="0"/>
        <v>4466732</v>
      </c>
      <c r="E43" s="51">
        <f>+D43-C43</f>
        <v>-2070901</v>
      </c>
      <c r="F43" s="70">
        <f>IF(C43=0,0,+E43/C43)</f>
        <v>-0.31676617515850153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888</v>
      </c>
      <c r="C44" s="49">
        <f t="shared" si="0"/>
        <v>5733556</v>
      </c>
      <c r="D44" s="49">
        <f t="shared" si="0"/>
        <v>5713319</v>
      </c>
      <c r="E44" s="49">
        <f>+D44-C44</f>
        <v>-20237</v>
      </c>
      <c r="F44" s="70">
        <f>IF(C44=0,0,+E44/C44)</f>
        <v>-3.5295722235903861E-3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889</v>
      </c>
      <c r="C45" s="49">
        <f t="shared" si="0"/>
        <v>9107608</v>
      </c>
      <c r="D45" s="49">
        <f t="shared" si="0"/>
        <v>10246785</v>
      </c>
      <c r="E45" s="49">
        <f>+D45-C45</f>
        <v>1139177</v>
      </c>
      <c r="F45" s="70">
        <f>IF(C45=0,0,+E45/C45)</f>
        <v>0.12507971357572703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886</v>
      </c>
      <c r="C46" s="27">
        <f>+C43+C44+C45</f>
        <v>21378797</v>
      </c>
      <c r="D46" s="27">
        <f>+D43+D44+D45</f>
        <v>20426836</v>
      </c>
      <c r="E46" s="27">
        <f>+E43+E44+E45</f>
        <v>-951961</v>
      </c>
      <c r="F46" s="28">
        <f>IF(C46=0,0,+E46/C46)</f>
        <v>-4.4528277245908646E-2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FILING&amp;RMIDDLESEX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892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607</v>
      </c>
      <c r="D9" s="35" t="s">
        <v>608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893</v>
      </c>
      <c r="D10" s="35" t="s">
        <v>893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894</v>
      </c>
      <c r="D11" s="605" t="s">
        <v>894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363815764</v>
      </c>
      <c r="D15" s="51">
        <v>377720253</v>
      </c>
      <c r="E15" s="51">
        <f>+D15-C15</f>
        <v>13904489</v>
      </c>
      <c r="F15" s="70">
        <f>+E15/C15</f>
        <v>3.821848961992752E-2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896</v>
      </c>
      <c r="C17" s="51">
        <v>181709768</v>
      </c>
      <c r="D17" s="51">
        <v>192878887</v>
      </c>
      <c r="E17" s="51">
        <f>+D17-C17</f>
        <v>11169119</v>
      </c>
      <c r="F17" s="70">
        <f>+E17/C17</f>
        <v>6.1466805681024257E-2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897</v>
      </c>
      <c r="C19" s="27">
        <f>+C15-C17</f>
        <v>182105996</v>
      </c>
      <c r="D19" s="27">
        <f>+D15-D17</f>
        <v>184841366</v>
      </c>
      <c r="E19" s="27">
        <f>+D19-C19</f>
        <v>2735370</v>
      </c>
      <c r="F19" s="28">
        <f>+E19/C19</f>
        <v>1.5020757471379471E-2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898</v>
      </c>
      <c r="C21" s="628">
        <f>+C17/C15</f>
        <v>0.49945545515174544</v>
      </c>
      <c r="D21" s="628">
        <f>+D17/D15</f>
        <v>0.51063951553585352</v>
      </c>
      <c r="E21" s="628">
        <f>+D21-C21</f>
        <v>1.1184060384108074E-2</v>
      </c>
      <c r="F21" s="28">
        <f>+E21/C21</f>
        <v>2.2392508218195582E-2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899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FILING&amp;R&amp;12MIDDLESEX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4" width="18.28515625" customWidth="1"/>
    <col min="5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901</v>
      </c>
      <c r="B6" s="632" t="s">
        <v>902</v>
      </c>
      <c r="C6" s="632" t="s">
        <v>903</v>
      </c>
      <c r="D6" s="632" t="s">
        <v>904</v>
      </c>
      <c r="E6" s="632" t="s">
        <v>905</v>
      </c>
    </row>
    <row r="7" spans="1:6" ht="37.5" customHeight="1" x14ac:dyDescent="0.25">
      <c r="A7" s="633" t="s">
        <v>8</v>
      </c>
      <c r="B7" s="634" t="s">
        <v>906</v>
      </c>
      <c r="C7" s="631" t="s">
        <v>907</v>
      </c>
      <c r="D7" s="631" t="s">
        <v>908</v>
      </c>
      <c r="E7" s="631" t="s">
        <v>909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911</v>
      </c>
      <c r="C10" s="641">
        <v>363711445</v>
      </c>
      <c r="D10" s="641">
        <v>412297385</v>
      </c>
      <c r="E10" s="641">
        <v>473660251</v>
      </c>
    </row>
    <row r="11" spans="1:6" ht="26.1" customHeight="1" x14ac:dyDescent="0.25">
      <c r="A11" s="639">
        <v>2</v>
      </c>
      <c r="B11" s="640" t="s">
        <v>912</v>
      </c>
      <c r="C11" s="641">
        <v>481558965</v>
      </c>
      <c r="D11" s="641">
        <v>525845728</v>
      </c>
      <c r="E11" s="641">
        <v>560012120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845270410</v>
      </c>
      <c r="D12" s="641">
        <f>+D11+D10</f>
        <v>938143113</v>
      </c>
      <c r="E12" s="641">
        <f>+E11+E10</f>
        <v>1033672371</v>
      </c>
    </row>
    <row r="13" spans="1:6" ht="26.1" customHeight="1" x14ac:dyDescent="0.25">
      <c r="A13" s="639">
        <v>4</v>
      </c>
      <c r="B13" s="640" t="s">
        <v>484</v>
      </c>
      <c r="C13" s="641">
        <v>317817236</v>
      </c>
      <c r="D13" s="641">
        <v>325072710</v>
      </c>
      <c r="E13" s="641">
        <v>336113486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913</v>
      </c>
      <c r="C16" s="641">
        <v>305762315</v>
      </c>
      <c r="D16" s="641">
        <v>312521510</v>
      </c>
      <c r="E16" s="641">
        <v>328515648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57628</v>
      </c>
      <c r="D19" s="644">
        <v>57829</v>
      </c>
      <c r="E19" s="644">
        <v>59935</v>
      </c>
    </row>
    <row r="20" spans="1:5" ht="26.1" customHeight="1" x14ac:dyDescent="0.25">
      <c r="A20" s="639">
        <v>2</v>
      </c>
      <c r="B20" s="640" t="s">
        <v>373</v>
      </c>
      <c r="C20" s="645">
        <v>13964</v>
      </c>
      <c r="D20" s="645">
        <v>13918</v>
      </c>
      <c r="E20" s="645">
        <v>13855</v>
      </c>
    </row>
    <row r="21" spans="1:5" ht="26.1" customHeight="1" x14ac:dyDescent="0.25">
      <c r="A21" s="639">
        <v>3</v>
      </c>
      <c r="B21" s="640" t="s">
        <v>915</v>
      </c>
      <c r="C21" s="646">
        <f>IF(C20=0,0,+C19/C20)</f>
        <v>4.1268977370380977</v>
      </c>
      <c r="D21" s="646">
        <f>IF(D20=0,0,+D19/D20)</f>
        <v>4.1549791636729418</v>
      </c>
      <c r="E21" s="646">
        <f>IF(E20=0,0,+E19/E20)</f>
        <v>4.3258751353302056</v>
      </c>
    </row>
    <row r="22" spans="1:5" ht="26.1" customHeight="1" x14ac:dyDescent="0.25">
      <c r="A22" s="639">
        <v>4</v>
      </c>
      <c r="B22" s="640" t="s">
        <v>916</v>
      </c>
      <c r="C22" s="645">
        <f>IF(C10=0,0,C19*(C12/C10))</f>
        <v>133928.26609423853</v>
      </c>
      <c r="D22" s="645">
        <f>IF(D10=0,0,D19*(D12/D10))</f>
        <v>131584.3370718371</v>
      </c>
      <c r="E22" s="645">
        <f>IF(E10=0,0,E19*(E12/E10))</f>
        <v>130796.60669243068</v>
      </c>
    </row>
    <row r="23" spans="1:5" ht="26.1" customHeight="1" x14ac:dyDescent="0.25">
      <c r="A23" s="639">
        <v>0</v>
      </c>
      <c r="B23" s="640" t="s">
        <v>917</v>
      </c>
      <c r="C23" s="645">
        <f>IF(C10=0,0,C20*(C12/C10))</f>
        <v>32452.52841917031</v>
      </c>
      <c r="D23" s="645">
        <f>IF(D10=0,0,D20*(D12/D10))</f>
        <v>31669.072668831017</v>
      </c>
      <c r="E23" s="645">
        <f>IF(E10=0,0,E20*(E12/E10))</f>
        <v>30235.871956680188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1.1790758951589801</v>
      </c>
      <c r="D26" s="647">
        <v>1.1838811251616612</v>
      </c>
      <c r="E26" s="647">
        <v>1.21346661854926</v>
      </c>
    </row>
    <row r="27" spans="1:5" ht="26.1" customHeight="1" x14ac:dyDescent="0.25">
      <c r="A27" s="639">
        <v>2</v>
      </c>
      <c r="B27" s="640" t="s">
        <v>919</v>
      </c>
      <c r="C27" s="645">
        <f>C19*C26</f>
        <v>67947.785686221701</v>
      </c>
      <c r="D27" s="645">
        <f>D19*D26</f>
        <v>68462.6615869737</v>
      </c>
      <c r="E27" s="645">
        <f>E19*E26</f>
        <v>72729.121782749891</v>
      </c>
    </row>
    <row r="28" spans="1:5" ht="26.1" customHeight="1" x14ac:dyDescent="0.25">
      <c r="A28" s="639">
        <v>3</v>
      </c>
      <c r="B28" s="640" t="s">
        <v>920</v>
      </c>
      <c r="C28" s="645">
        <f>C20*C26</f>
        <v>16464.6158</v>
      </c>
      <c r="D28" s="645">
        <f>D20*D26</f>
        <v>16477.2575</v>
      </c>
      <c r="E28" s="645">
        <f>E20*E26</f>
        <v>16812.579999999998</v>
      </c>
    </row>
    <row r="29" spans="1:5" ht="26.1" customHeight="1" x14ac:dyDescent="0.25">
      <c r="A29" s="639">
        <v>4</v>
      </c>
      <c r="B29" s="640" t="s">
        <v>921</v>
      </c>
      <c r="C29" s="645">
        <f>C22*C26</f>
        <v>157911.59023215438</v>
      </c>
      <c r="D29" s="645">
        <f>D22*D26</f>
        <v>155780.21302625778</v>
      </c>
      <c r="E29" s="645">
        <f>E22*E26</f>
        <v>158717.31604078136</v>
      </c>
    </row>
    <row r="30" spans="1:5" ht="26.1" customHeight="1" x14ac:dyDescent="0.25">
      <c r="A30" s="639">
        <v>5</v>
      </c>
      <c r="B30" s="640" t="s">
        <v>922</v>
      </c>
      <c r="C30" s="645">
        <f>C23*C26</f>
        <v>38263.993996005476</v>
      </c>
      <c r="D30" s="645">
        <f>D23*D26</f>
        <v>37492.417384002081</v>
      </c>
      <c r="E30" s="645">
        <f>E23*E26</f>
        <v>36690.221302161102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923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924</v>
      </c>
      <c r="C33" s="641">
        <f>IF(C19=0,0,C12/C19)</f>
        <v>14667.703373360173</v>
      </c>
      <c r="D33" s="641">
        <f>IF(D19=0,0,D12/D19)</f>
        <v>16222.710283767659</v>
      </c>
      <c r="E33" s="641">
        <f>IF(E19=0,0,E12/E19)</f>
        <v>17246.556619671312</v>
      </c>
    </row>
    <row r="34" spans="1:5" ht="26.1" customHeight="1" x14ac:dyDescent="0.25">
      <c r="A34" s="639">
        <v>2</v>
      </c>
      <c r="B34" s="640" t="s">
        <v>925</v>
      </c>
      <c r="C34" s="641">
        <f>IF(C20=0,0,C12/C20)</f>
        <v>60532.111859066172</v>
      </c>
      <c r="D34" s="641">
        <f>IF(D20=0,0,D12/D20)</f>
        <v>67405.023207357386</v>
      </c>
      <c r="E34" s="641">
        <f>IF(E20=0,0,E12/E20)</f>
        <v>74606.450451100682</v>
      </c>
    </row>
    <row r="35" spans="1:5" ht="26.1" customHeight="1" x14ac:dyDescent="0.25">
      <c r="A35" s="639">
        <v>3</v>
      </c>
      <c r="B35" s="640" t="s">
        <v>926</v>
      </c>
      <c r="C35" s="641">
        <f>IF(C22=0,0,C12/C22)</f>
        <v>6311.3667835080169</v>
      </c>
      <c r="D35" s="641">
        <f>IF(D22=0,0,D12/D22)</f>
        <v>7129.5956181154788</v>
      </c>
      <c r="E35" s="641">
        <f>IF(E22=0,0,E12/E22)</f>
        <v>7902.8989905731214</v>
      </c>
    </row>
    <row r="36" spans="1:5" ht="26.1" customHeight="1" x14ac:dyDescent="0.25">
      <c r="A36" s="639">
        <v>4</v>
      </c>
      <c r="B36" s="640" t="s">
        <v>927</v>
      </c>
      <c r="C36" s="641">
        <f>IF(C23=0,0,C12/C23)</f>
        <v>26046.365296476655</v>
      </c>
      <c r="D36" s="641">
        <f>IF(D23=0,0,D12/D23)</f>
        <v>29623.321238683722</v>
      </c>
      <c r="E36" s="641">
        <f>IF(E23=0,0,E12/E23)</f>
        <v>34186.954240346444</v>
      </c>
    </row>
    <row r="37" spans="1:5" ht="26.1" customHeight="1" x14ac:dyDescent="0.25">
      <c r="A37" s="639">
        <v>5</v>
      </c>
      <c r="B37" s="640" t="s">
        <v>928</v>
      </c>
      <c r="C37" s="641">
        <f>IF(C29=0,0,C12/C29)</f>
        <v>5352.8079145889305</v>
      </c>
      <c r="D37" s="641">
        <f>IF(D29=0,0,D12/D29)</f>
        <v>6022.2225581490875</v>
      </c>
      <c r="E37" s="641">
        <f>IF(E29=0,0,E12/E29)</f>
        <v>6512.6628699694293</v>
      </c>
    </row>
    <row r="38" spans="1:5" ht="26.1" customHeight="1" x14ac:dyDescent="0.25">
      <c r="A38" s="639">
        <v>6</v>
      </c>
      <c r="B38" s="640" t="s">
        <v>929</v>
      </c>
      <c r="C38" s="641">
        <f>IF(C30=0,0,C12/C30)</f>
        <v>22090.490869516678</v>
      </c>
      <c r="D38" s="641">
        <f>IF(D30=0,0,D12/D30)</f>
        <v>25022.209248110612</v>
      </c>
      <c r="E38" s="641">
        <f>IF(E30=0,0,E12/E30)</f>
        <v>28172.966373989009</v>
      </c>
    </row>
    <row r="39" spans="1:5" ht="26.1" customHeight="1" x14ac:dyDescent="0.25">
      <c r="A39" s="639">
        <v>7</v>
      </c>
      <c r="B39" s="640" t="s">
        <v>930</v>
      </c>
      <c r="C39" s="641">
        <f>IF(C22=0,0,C10/C22)</f>
        <v>2715.718314041897</v>
      </c>
      <c r="D39" s="641">
        <f>IF(D22=0,0,D10/D22)</f>
        <v>3133.3317792596436</v>
      </c>
      <c r="E39" s="641">
        <f>IF(E22=0,0,E10/E22)</f>
        <v>3621.3496892455023</v>
      </c>
    </row>
    <row r="40" spans="1:5" ht="26.1" customHeight="1" x14ac:dyDescent="0.25">
      <c r="A40" s="639">
        <v>8</v>
      </c>
      <c r="B40" s="640" t="s">
        <v>931</v>
      </c>
      <c r="C40" s="641">
        <f>IF(C23=0,0,C10/C23)</f>
        <v>11207.491764652425</v>
      </c>
      <c r="D40" s="641">
        <f>IF(D23=0,0,D10/D23)</f>
        <v>13018.928255698082</v>
      </c>
      <c r="E40" s="641">
        <f>IF(E23=0,0,E10/E23)</f>
        <v>15665.506577042885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932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933</v>
      </c>
      <c r="C43" s="641">
        <f>IF(C19=0,0,C13/C19)</f>
        <v>5514.9794544318738</v>
      </c>
      <c r="D43" s="641">
        <f>IF(D19=0,0,D13/D19)</f>
        <v>5621.274965847585</v>
      </c>
      <c r="E43" s="641">
        <f>IF(E19=0,0,E13/E19)</f>
        <v>5607.9667306248439</v>
      </c>
    </row>
    <row r="44" spans="1:5" ht="26.1" customHeight="1" x14ac:dyDescent="0.25">
      <c r="A44" s="639">
        <v>2</v>
      </c>
      <c r="B44" s="640" t="s">
        <v>934</v>
      </c>
      <c r="C44" s="641">
        <f>IF(C20=0,0,C13/C20)</f>
        <v>22759.756230306502</v>
      </c>
      <c r="D44" s="641">
        <f>IF(D20=0,0,D13/D20)</f>
        <v>23356.280356373041</v>
      </c>
      <c r="E44" s="641">
        <f>IF(E20=0,0,E13/E20)</f>
        <v>24259.363839769037</v>
      </c>
    </row>
    <row r="45" spans="1:5" ht="26.1" customHeight="1" x14ac:dyDescent="0.25">
      <c r="A45" s="639">
        <v>3</v>
      </c>
      <c r="B45" s="640" t="s">
        <v>935</v>
      </c>
      <c r="C45" s="641">
        <f>IF(C22=0,0,C13/C22)</f>
        <v>2373.0407722621312</v>
      </c>
      <c r="D45" s="641">
        <f>IF(D22=0,0,D13/D22)</f>
        <v>2470.4514019972598</v>
      </c>
      <c r="E45" s="641">
        <f>IF(E22=0,0,E13/E22)</f>
        <v>2569.7416355026221</v>
      </c>
    </row>
    <row r="46" spans="1:5" ht="26.1" customHeight="1" x14ac:dyDescent="0.25">
      <c r="A46" s="639">
        <v>4</v>
      </c>
      <c r="B46" s="640" t="s">
        <v>936</v>
      </c>
      <c r="C46" s="641">
        <f>IF(C23=0,0,C13/C23)</f>
        <v>9793.2965929477305</v>
      </c>
      <c r="D46" s="641">
        <f>IF(D23=0,0,D13/D23)</f>
        <v>10264.674100165221</v>
      </c>
      <c r="E46" s="641">
        <f>IF(E23=0,0,E13/E23)</f>
        <v>11116.381445243569</v>
      </c>
    </row>
    <row r="47" spans="1:5" ht="26.1" customHeight="1" x14ac:dyDescent="0.25">
      <c r="A47" s="639">
        <v>5</v>
      </c>
      <c r="B47" s="640" t="s">
        <v>937</v>
      </c>
      <c r="C47" s="641">
        <f>IF(C29=0,0,C13/C29)</f>
        <v>2012.6276705386836</v>
      </c>
      <c r="D47" s="641">
        <f>IF(D29=0,0,D13/D29)</f>
        <v>2086.7394111549124</v>
      </c>
      <c r="E47" s="641">
        <f>IF(E29=0,0,E13/E29)</f>
        <v>2117.686301560429</v>
      </c>
    </row>
    <row r="48" spans="1:5" ht="26.1" customHeight="1" x14ac:dyDescent="0.25">
      <c r="A48" s="639">
        <v>6</v>
      </c>
      <c r="B48" s="640" t="s">
        <v>938</v>
      </c>
      <c r="C48" s="641">
        <f>IF(C30=0,0,C13/C30)</f>
        <v>8305.9085790463523</v>
      </c>
      <c r="D48" s="641">
        <f>IF(D30=0,0,D13/D30)</f>
        <v>8670.3587733638033</v>
      </c>
      <c r="E48" s="641">
        <f>IF(E30=0,0,E13/E30)</f>
        <v>9160.8465163496439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940</v>
      </c>
      <c r="C51" s="641">
        <f>IF(C19=0,0,C16/C19)</f>
        <v>5305.7943187339488</v>
      </c>
      <c r="D51" s="641">
        <f>IF(D19=0,0,D16/D19)</f>
        <v>5404.2350723685349</v>
      </c>
      <c r="E51" s="641">
        <f>IF(E19=0,0,E16/E19)</f>
        <v>5481.1987653291062</v>
      </c>
    </row>
    <row r="52" spans="1:6" ht="26.1" customHeight="1" x14ac:dyDescent="0.25">
      <c r="A52" s="639">
        <v>2</v>
      </c>
      <c r="B52" s="640" t="s">
        <v>941</v>
      </c>
      <c r="C52" s="641">
        <f>IF(C20=0,0,C16/C20)</f>
        <v>21896.470567172732</v>
      </c>
      <c r="D52" s="641">
        <f>IF(D20=0,0,D16/D20)</f>
        <v>22454.484121281792</v>
      </c>
      <c r="E52" s="641">
        <f>IF(E20=0,0,E16/E20)</f>
        <v>23710.981450739804</v>
      </c>
    </row>
    <row r="53" spans="1:6" ht="26.1" customHeight="1" x14ac:dyDescent="0.25">
      <c r="A53" s="639">
        <v>3</v>
      </c>
      <c r="B53" s="640" t="s">
        <v>942</v>
      </c>
      <c r="C53" s="641">
        <f>IF(C22=0,0,C16/C22)</f>
        <v>2283.0304902540183</v>
      </c>
      <c r="D53" s="641">
        <f>IF(D22=0,0,D16/D22)</f>
        <v>2375.0661891421173</v>
      </c>
      <c r="E53" s="641">
        <f>IF(E22=0,0,E16/E22)</f>
        <v>2511.6526820340782</v>
      </c>
    </row>
    <row r="54" spans="1:6" ht="26.1" customHeight="1" x14ac:dyDescent="0.25">
      <c r="A54" s="639">
        <v>4</v>
      </c>
      <c r="B54" s="640" t="s">
        <v>943</v>
      </c>
      <c r="C54" s="641">
        <f>IF(C23=0,0,C16/C23)</f>
        <v>9421.8333638182885</v>
      </c>
      <c r="D54" s="641">
        <f>IF(D23=0,0,D16/D23)</f>
        <v>9868.3505282295955</v>
      </c>
      <c r="E54" s="641">
        <f>IF(E23=0,0,E16/E23)</f>
        <v>10865.095885796643</v>
      </c>
    </row>
    <row r="55" spans="1:6" ht="26.1" customHeight="1" x14ac:dyDescent="0.25">
      <c r="A55" s="639">
        <v>5</v>
      </c>
      <c r="B55" s="640" t="s">
        <v>944</v>
      </c>
      <c r="C55" s="641">
        <f>IF(C29=0,0,C16/C29)</f>
        <v>1936.2879858944</v>
      </c>
      <c r="D55" s="641">
        <f>IF(D29=0,0,D16/D29)</f>
        <v>2006.1694866685182</v>
      </c>
      <c r="E55" s="641">
        <f>IF(E29=0,0,E16/E29)</f>
        <v>2069.8160490288915</v>
      </c>
    </row>
    <row r="56" spans="1:6" ht="26.1" customHeight="1" x14ac:dyDescent="0.25">
      <c r="A56" s="639">
        <v>6</v>
      </c>
      <c r="B56" s="640" t="s">
        <v>945</v>
      </c>
      <c r="C56" s="641">
        <f>IF(C30=0,0,C16/C30)</f>
        <v>7990.8625072416562</v>
      </c>
      <c r="D56" s="641">
        <f>IF(D30=0,0,D16/D30)</f>
        <v>8335.5924159041333</v>
      </c>
      <c r="E56" s="641">
        <f>IF(E30=0,0,E16/E30)</f>
        <v>8953.7657812014877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947</v>
      </c>
      <c r="C59" s="649">
        <v>44128939</v>
      </c>
      <c r="D59" s="649">
        <v>45300265</v>
      </c>
      <c r="E59" s="649">
        <v>46575871</v>
      </c>
    </row>
    <row r="60" spans="1:6" ht="26.1" customHeight="1" x14ac:dyDescent="0.25">
      <c r="A60" s="639">
        <v>2</v>
      </c>
      <c r="B60" s="640" t="s">
        <v>948</v>
      </c>
      <c r="C60" s="649">
        <v>10009289</v>
      </c>
      <c r="D60" s="649">
        <v>11000436</v>
      </c>
      <c r="E60" s="649">
        <v>12732163</v>
      </c>
    </row>
    <row r="61" spans="1:6" ht="26.1" customHeight="1" x14ac:dyDescent="0.25">
      <c r="A61" s="650">
        <v>3</v>
      </c>
      <c r="B61" s="651" t="s">
        <v>949</v>
      </c>
      <c r="C61" s="652">
        <f>C59+C60</f>
        <v>54138228</v>
      </c>
      <c r="D61" s="652">
        <f>D59+D60</f>
        <v>56300701</v>
      </c>
      <c r="E61" s="652">
        <f>E59+E60</f>
        <v>59308034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951</v>
      </c>
      <c r="C64" s="641">
        <v>21517184</v>
      </c>
      <c r="D64" s="641">
        <v>22986362</v>
      </c>
      <c r="E64" s="649">
        <v>25136796</v>
      </c>
      <c r="F64" s="653"/>
    </row>
    <row r="65" spans="1:6" ht="26.1" customHeight="1" x14ac:dyDescent="0.25">
      <c r="A65" s="639">
        <v>2</v>
      </c>
      <c r="B65" s="640" t="s">
        <v>952</v>
      </c>
      <c r="C65" s="649">
        <v>4880508</v>
      </c>
      <c r="D65" s="649">
        <v>5581866</v>
      </c>
      <c r="E65" s="649">
        <v>6871493</v>
      </c>
      <c r="F65" s="653"/>
    </row>
    <row r="66" spans="1:6" ht="26.1" customHeight="1" x14ac:dyDescent="0.25">
      <c r="A66" s="650">
        <v>3</v>
      </c>
      <c r="B66" s="651" t="s">
        <v>953</v>
      </c>
      <c r="C66" s="654">
        <f>C64+C65</f>
        <v>26397692</v>
      </c>
      <c r="D66" s="654">
        <f>D64+D65</f>
        <v>28568228</v>
      </c>
      <c r="E66" s="654">
        <f>E64+E65</f>
        <v>32008289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955</v>
      </c>
      <c r="C69" s="649">
        <v>78361456</v>
      </c>
      <c r="D69" s="649">
        <v>81688566</v>
      </c>
      <c r="E69" s="649">
        <v>83855969</v>
      </c>
    </row>
    <row r="70" spans="1:6" ht="26.1" customHeight="1" x14ac:dyDescent="0.25">
      <c r="A70" s="639">
        <v>2</v>
      </c>
      <c r="B70" s="640" t="s">
        <v>956</v>
      </c>
      <c r="C70" s="649">
        <v>17777596</v>
      </c>
      <c r="D70" s="649">
        <v>19836744</v>
      </c>
      <c r="E70" s="649">
        <v>22923197</v>
      </c>
    </row>
    <row r="71" spans="1:6" ht="26.1" customHeight="1" x14ac:dyDescent="0.25">
      <c r="A71" s="650">
        <v>3</v>
      </c>
      <c r="B71" s="651" t="s">
        <v>957</v>
      </c>
      <c r="C71" s="652">
        <f>C69+C70</f>
        <v>96139052</v>
      </c>
      <c r="D71" s="652">
        <f>D69+D70</f>
        <v>101525310</v>
      </c>
      <c r="E71" s="652">
        <f>E69+E70</f>
        <v>106779166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959</v>
      </c>
      <c r="C75" s="641">
        <f t="shared" ref="C75:E76" si="0">+C59+C64+C69</f>
        <v>144007579</v>
      </c>
      <c r="D75" s="641">
        <f t="shared" si="0"/>
        <v>149975193</v>
      </c>
      <c r="E75" s="641">
        <f t="shared" si="0"/>
        <v>155568636</v>
      </c>
    </row>
    <row r="76" spans="1:6" ht="26.1" customHeight="1" x14ac:dyDescent="0.25">
      <c r="A76" s="639">
        <v>2</v>
      </c>
      <c r="B76" s="640" t="s">
        <v>960</v>
      </c>
      <c r="C76" s="641">
        <f t="shared" si="0"/>
        <v>32667393</v>
      </c>
      <c r="D76" s="641">
        <f t="shared" si="0"/>
        <v>36419046</v>
      </c>
      <c r="E76" s="641">
        <f t="shared" si="0"/>
        <v>42526853</v>
      </c>
    </row>
    <row r="77" spans="1:6" ht="26.1" customHeight="1" x14ac:dyDescent="0.25">
      <c r="A77" s="650">
        <v>3</v>
      </c>
      <c r="B77" s="651" t="s">
        <v>958</v>
      </c>
      <c r="C77" s="654">
        <f>C75+C76</f>
        <v>176674972</v>
      </c>
      <c r="D77" s="654">
        <f>D75+D76</f>
        <v>186394239</v>
      </c>
      <c r="E77" s="654">
        <f>E75+E76</f>
        <v>198095489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961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501</v>
      </c>
      <c r="D80" s="646">
        <v>505</v>
      </c>
      <c r="E80" s="646">
        <v>497.2</v>
      </c>
    </row>
    <row r="81" spans="1:5" ht="26.1" customHeight="1" x14ac:dyDescent="0.25">
      <c r="A81" s="639">
        <v>2</v>
      </c>
      <c r="B81" s="640" t="s">
        <v>584</v>
      </c>
      <c r="C81" s="646">
        <v>121</v>
      </c>
      <c r="D81" s="646">
        <v>124</v>
      </c>
      <c r="E81" s="646">
        <v>130.30000000000001</v>
      </c>
    </row>
    <row r="82" spans="1:5" ht="26.1" customHeight="1" x14ac:dyDescent="0.25">
      <c r="A82" s="639">
        <v>3</v>
      </c>
      <c r="B82" s="640" t="s">
        <v>962</v>
      </c>
      <c r="C82" s="646">
        <v>1355</v>
      </c>
      <c r="D82" s="646">
        <v>1392</v>
      </c>
      <c r="E82" s="646">
        <v>1429.1</v>
      </c>
    </row>
    <row r="83" spans="1:5" ht="26.1" customHeight="1" x14ac:dyDescent="0.25">
      <c r="A83" s="650">
        <v>4</v>
      </c>
      <c r="B83" s="651" t="s">
        <v>961</v>
      </c>
      <c r="C83" s="656">
        <f>C80+C81+C82</f>
        <v>1977</v>
      </c>
      <c r="D83" s="656">
        <f>D80+D81+D82</f>
        <v>2021</v>
      </c>
      <c r="E83" s="656">
        <f>E80+E81+E82</f>
        <v>2056.6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963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964</v>
      </c>
      <c r="C86" s="649">
        <f>IF(C80=0,0,C59/C80)</f>
        <v>88081.714570858283</v>
      </c>
      <c r="D86" s="649">
        <f>IF(D80=0,0,D59/D80)</f>
        <v>89703.495049504956</v>
      </c>
      <c r="E86" s="649">
        <f>IF(E80=0,0,E59/E80)</f>
        <v>93676.329444891395</v>
      </c>
    </row>
    <row r="87" spans="1:5" ht="26.1" customHeight="1" x14ac:dyDescent="0.25">
      <c r="A87" s="639">
        <v>2</v>
      </c>
      <c r="B87" s="640" t="s">
        <v>965</v>
      </c>
      <c r="C87" s="649">
        <f>IF(C80=0,0,C60/C80)</f>
        <v>19978.620758483034</v>
      </c>
      <c r="D87" s="649">
        <f>IF(D80=0,0,D60/D80)</f>
        <v>21783.041584158414</v>
      </c>
      <c r="E87" s="649">
        <f>IF(E80=0,0,E60/E80)</f>
        <v>25607.729283990346</v>
      </c>
    </row>
    <row r="88" spans="1:5" ht="26.1" customHeight="1" x14ac:dyDescent="0.25">
      <c r="A88" s="650">
        <v>3</v>
      </c>
      <c r="B88" s="651" t="s">
        <v>966</v>
      </c>
      <c r="C88" s="652">
        <f>+C86+C87</f>
        <v>108060.33532934132</v>
      </c>
      <c r="D88" s="652">
        <f>+D86+D87</f>
        <v>111486.53663366337</v>
      </c>
      <c r="E88" s="652">
        <f>+E86+E87</f>
        <v>119284.05872888173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967</v>
      </c>
    </row>
    <row r="91" spans="1:5" ht="26.1" customHeight="1" x14ac:dyDescent="0.25">
      <c r="A91" s="639">
        <v>1</v>
      </c>
      <c r="B91" s="640" t="s">
        <v>968</v>
      </c>
      <c r="C91" s="641">
        <f>IF(C81=0,0,C64/C81)</f>
        <v>177827.96694214875</v>
      </c>
      <c r="D91" s="641">
        <f>IF(D81=0,0,D64/D81)</f>
        <v>185373.88709677418</v>
      </c>
      <c r="E91" s="641">
        <f>IF(E81=0,0,E64/E81)</f>
        <v>192914.7812739831</v>
      </c>
    </row>
    <row r="92" spans="1:5" ht="26.1" customHeight="1" x14ac:dyDescent="0.25">
      <c r="A92" s="639">
        <v>2</v>
      </c>
      <c r="B92" s="640" t="s">
        <v>969</v>
      </c>
      <c r="C92" s="641">
        <f>IF(C81=0,0,C65/C81)</f>
        <v>40334.776859504134</v>
      </c>
      <c r="D92" s="641">
        <f>IF(D81=0,0,D65/D81)</f>
        <v>45015.048387096773</v>
      </c>
      <c r="E92" s="641">
        <f>IF(E81=0,0,E65/E81)</f>
        <v>52735.940138142745</v>
      </c>
    </row>
    <row r="93" spans="1:5" ht="26.1" customHeight="1" x14ac:dyDescent="0.25">
      <c r="A93" s="650">
        <v>3</v>
      </c>
      <c r="B93" s="651" t="s">
        <v>970</v>
      </c>
      <c r="C93" s="654">
        <f>+C91+C92</f>
        <v>218162.74380165289</v>
      </c>
      <c r="D93" s="654">
        <f>+D91+D92</f>
        <v>230388.93548387097</v>
      </c>
      <c r="E93" s="654">
        <f>+E91+E92</f>
        <v>245650.72141212586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971</v>
      </c>
      <c r="B95" s="642" t="s">
        <v>972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973</v>
      </c>
      <c r="C96" s="649">
        <f>IF(C82=0,0,C69/C82)</f>
        <v>57831.332841328411</v>
      </c>
      <c r="D96" s="649">
        <f>IF(D82=0,0,D69/D82)</f>
        <v>58684.314655172413</v>
      </c>
      <c r="E96" s="649">
        <f>IF(E82=0,0,E69/E82)</f>
        <v>58677.467636974325</v>
      </c>
    </row>
    <row r="97" spans="1:5" ht="26.1" customHeight="1" x14ac:dyDescent="0.25">
      <c r="A97" s="639">
        <v>2</v>
      </c>
      <c r="B97" s="640" t="s">
        <v>974</v>
      </c>
      <c r="C97" s="649">
        <f>IF(C82=0,0,C70/C82)</f>
        <v>13119.997047970479</v>
      </c>
      <c r="D97" s="649">
        <f>IF(D82=0,0,D70/D82)</f>
        <v>14250.534482758621</v>
      </c>
      <c r="E97" s="649">
        <f>IF(E82=0,0,E70/E82)</f>
        <v>16040.30298789448</v>
      </c>
    </row>
    <row r="98" spans="1:5" ht="26.1" customHeight="1" x14ac:dyDescent="0.25">
      <c r="A98" s="650">
        <v>3</v>
      </c>
      <c r="B98" s="651" t="s">
        <v>975</v>
      </c>
      <c r="C98" s="654">
        <f>+C96+C97</f>
        <v>70951.329889298882</v>
      </c>
      <c r="D98" s="654">
        <f>+D96+D97</f>
        <v>72934.849137931029</v>
      </c>
      <c r="E98" s="654">
        <f>+E96+E97</f>
        <v>74717.770624868805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976</v>
      </c>
      <c r="B100" s="642" t="s">
        <v>977</v>
      </c>
    </row>
    <row r="101" spans="1:5" ht="26.1" customHeight="1" x14ac:dyDescent="0.25">
      <c r="A101" s="639">
        <v>1</v>
      </c>
      <c r="B101" s="640" t="s">
        <v>978</v>
      </c>
      <c r="C101" s="641">
        <f>IF(C83=0,0,C75/C83)</f>
        <v>72841.466363176529</v>
      </c>
      <c r="D101" s="641">
        <f>IF(D83=0,0,D75/D83)</f>
        <v>74208.408213755567</v>
      </c>
      <c r="E101" s="641">
        <f>IF(E83=0,0,E75/E83)</f>
        <v>75643.604006612863</v>
      </c>
    </row>
    <row r="102" spans="1:5" ht="26.1" customHeight="1" x14ac:dyDescent="0.25">
      <c r="A102" s="639">
        <v>2</v>
      </c>
      <c r="B102" s="640" t="s">
        <v>979</v>
      </c>
      <c r="C102" s="658">
        <f>IF(C83=0,0,C76/C83)</f>
        <v>16523.719271623671</v>
      </c>
      <c r="D102" s="658">
        <f>IF(D83=0,0,D76/D83)</f>
        <v>18020.309747649677</v>
      </c>
      <c r="E102" s="658">
        <f>IF(E83=0,0,E76/E83)</f>
        <v>20678.232519692698</v>
      </c>
    </row>
    <row r="103" spans="1:5" ht="26.1" customHeight="1" x14ac:dyDescent="0.25">
      <c r="A103" s="650">
        <v>3</v>
      </c>
      <c r="B103" s="651" t="s">
        <v>977</v>
      </c>
      <c r="C103" s="654">
        <f>+C101+C102</f>
        <v>89365.185634800204</v>
      </c>
      <c r="D103" s="654">
        <f>+D101+D102</f>
        <v>92228.717961405244</v>
      </c>
      <c r="E103" s="654">
        <f>+E101+E102</f>
        <v>96321.83652630556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980</v>
      </c>
      <c r="B107" s="634" t="s">
        <v>981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982</v>
      </c>
      <c r="C108" s="641">
        <f>IF(C19=0,0,C77/C19)</f>
        <v>3065.7835080169361</v>
      </c>
      <c r="D108" s="641">
        <f>IF(D19=0,0,D77/D19)</f>
        <v>3223.1966487402515</v>
      </c>
      <c r="E108" s="641">
        <f>IF(E19=0,0,E77/E19)</f>
        <v>3305.1720864269623</v>
      </c>
    </row>
    <row r="109" spans="1:5" ht="26.1" customHeight="1" x14ac:dyDescent="0.25">
      <c r="A109" s="639">
        <v>2</v>
      </c>
      <c r="B109" s="640" t="s">
        <v>983</v>
      </c>
      <c r="C109" s="641">
        <f>IF(C20=0,0,C77/C20)</f>
        <v>12652.175021483816</v>
      </c>
      <c r="D109" s="641">
        <f>IF(D20=0,0,D77/D20)</f>
        <v>13392.314915936198</v>
      </c>
      <c r="E109" s="641">
        <f>IF(E20=0,0,E77/E20)</f>
        <v>14297.761746661856</v>
      </c>
    </row>
    <row r="110" spans="1:5" ht="26.1" customHeight="1" x14ac:dyDescent="0.25">
      <c r="A110" s="639">
        <v>3</v>
      </c>
      <c r="B110" s="640" t="s">
        <v>984</v>
      </c>
      <c r="C110" s="641">
        <f>IF(C22=0,0,C77/C22)</f>
        <v>1319.1761317635726</v>
      </c>
      <c r="D110" s="641">
        <f>IF(D22=0,0,D77/D22)</f>
        <v>1416.5381925224124</v>
      </c>
      <c r="E110" s="641">
        <f>IF(E22=0,0,E77/E22)</f>
        <v>1514.5307971622169</v>
      </c>
    </row>
    <row r="111" spans="1:5" ht="26.1" customHeight="1" x14ac:dyDescent="0.25">
      <c r="A111" s="639">
        <v>4</v>
      </c>
      <c r="B111" s="640" t="s">
        <v>985</v>
      </c>
      <c r="C111" s="641">
        <f>IF(C23=0,0,C77/C23)</f>
        <v>5444.1049929297596</v>
      </c>
      <c r="D111" s="641">
        <f>IF(D23=0,0,D77/D23)</f>
        <v>5885.6866744775534</v>
      </c>
      <c r="E111" s="641">
        <f>IF(E23=0,0,E77/E23)</f>
        <v>6551.6711171358693</v>
      </c>
    </row>
    <row r="112" spans="1:5" ht="26.1" customHeight="1" x14ac:dyDescent="0.25">
      <c r="A112" s="639">
        <v>5</v>
      </c>
      <c r="B112" s="640" t="s">
        <v>986</v>
      </c>
      <c r="C112" s="641">
        <f>IF(C29=0,0,C77/C29)</f>
        <v>1118.8220683501481</v>
      </c>
      <c r="D112" s="641">
        <f>IF(D29=0,0,D77/D29)</f>
        <v>1196.5206323641503</v>
      </c>
      <c r="E112" s="641">
        <f>IF(E29=0,0,E77/E29)</f>
        <v>1248.1025633592537</v>
      </c>
    </row>
    <row r="113" spans="1:7" ht="25.5" customHeight="1" x14ac:dyDescent="0.25">
      <c r="A113" s="639">
        <v>6</v>
      </c>
      <c r="B113" s="640" t="s">
        <v>987</v>
      </c>
      <c r="C113" s="641">
        <f>IF(C30=0,0,C77/C30)</f>
        <v>4617.2642620225106</v>
      </c>
      <c r="D113" s="641">
        <f>IF(D30=0,0,D77/D30)</f>
        <v>4971.5182963778152</v>
      </c>
      <c r="E113" s="641">
        <f>IF(E30=0,0,E77/E30)</f>
        <v>5399.1358451776878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FILING&amp;R&amp;12MIDDLESEX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938143112</v>
      </c>
      <c r="D12" s="51">
        <v>1033672371</v>
      </c>
      <c r="E12" s="51">
        <f t="shared" ref="E12:E19" si="0">D12-C12</f>
        <v>95529259</v>
      </c>
      <c r="F12" s="70">
        <f t="shared" ref="F12:F19" si="1">IF(C12=0,0,E12/C12)</f>
        <v>0.10182802365445497</v>
      </c>
    </row>
    <row r="13" spans="1:8" ht="23.1" customHeight="1" x14ac:dyDescent="0.2">
      <c r="A13" s="25">
        <v>2</v>
      </c>
      <c r="B13" s="48" t="s">
        <v>72</v>
      </c>
      <c r="C13" s="51">
        <v>603550041</v>
      </c>
      <c r="D13" s="51">
        <v>690702791</v>
      </c>
      <c r="E13" s="51">
        <f t="shared" si="0"/>
        <v>87152750</v>
      </c>
      <c r="F13" s="70">
        <f t="shared" si="1"/>
        <v>0.14440020558295347</v>
      </c>
    </row>
    <row r="14" spans="1:8" ht="23.1" customHeight="1" x14ac:dyDescent="0.2">
      <c r="A14" s="25">
        <v>3</v>
      </c>
      <c r="B14" s="48" t="s">
        <v>73</v>
      </c>
      <c r="C14" s="51">
        <v>9520361</v>
      </c>
      <c r="D14" s="51">
        <v>6856094</v>
      </c>
      <c r="E14" s="51">
        <f t="shared" si="0"/>
        <v>-2664267</v>
      </c>
      <c r="F14" s="70">
        <f t="shared" si="1"/>
        <v>-0.27984936705656432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325072710</v>
      </c>
      <c r="D16" s="27">
        <f>D12-D13-D14-D15</f>
        <v>336113486</v>
      </c>
      <c r="E16" s="27">
        <f t="shared" si="0"/>
        <v>11040776</v>
      </c>
      <c r="F16" s="28">
        <f t="shared" si="1"/>
        <v>3.396401992649583E-2</v>
      </c>
    </row>
    <row r="17" spans="1:7" ht="23.1" customHeight="1" x14ac:dyDescent="0.2">
      <c r="A17" s="25">
        <v>5</v>
      </c>
      <c r="B17" s="48" t="s">
        <v>76</v>
      </c>
      <c r="C17" s="51">
        <v>9611535</v>
      </c>
      <c r="D17" s="51">
        <v>9543630</v>
      </c>
      <c r="E17" s="51">
        <f t="shared" si="0"/>
        <v>-67905</v>
      </c>
      <c r="F17" s="70">
        <f t="shared" si="1"/>
        <v>-7.0649485227905848E-3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334684245</v>
      </c>
      <c r="D19" s="27">
        <f>SUM(D16:D18)</f>
        <v>345657116</v>
      </c>
      <c r="E19" s="27">
        <f t="shared" si="0"/>
        <v>10972871</v>
      </c>
      <c r="F19" s="28">
        <f t="shared" si="1"/>
        <v>3.278574107962566E-2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149975193</v>
      </c>
      <c r="D22" s="51">
        <v>155568636</v>
      </c>
      <c r="E22" s="51">
        <f t="shared" ref="E22:E31" si="2">D22-C22</f>
        <v>5593443</v>
      </c>
      <c r="F22" s="70">
        <f t="shared" ref="F22:F31" si="3">IF(C22=0,0,E22/C22)</f>
        <v>3.7295787977415708E-2</v>
      </c>
    </row>
    <row r="23" spans="1:7" ht="23.1" customHeight="1" x14ac:dyDescent="0.2">
      <c r="A23" s="25">
        <v>2</v>
      </c>
      <c r="B23" s="48" t="s">
        <v>81</v>
      </c>
      <c r="C23" s="51">
        <v>36419046</v>
      </c>
      <c r="D23" s="51">
        <v>42526853</v>
      </c>
      <c r="E23" s="51">
        <f t="shared" si="2"/>
        <v>6107807</v>
      </c>
      <c r="F23" s="70">
        <f t="shared" si="3"/>
        <v>0.16770914317744623</v>
      </c>
    </row>
    <row r="24" spans="1:7" ht="23.1" customHeight="1" x14ac:dyDescent="0.2">
      <c r="A24" s="25">
        <v>3</v>
      </c>
      <c r="B24" s="48" t="s">
        <v>82</v>
      </c>
      <c r="C24" s="51">
        <v>2502017</v>
      </c>
      <c r="D24" s="51">
        <v>3005545</v>
      </c>
      <c r="E24" s="51">
        <f t="shared" si="2"/>
        <v>503528</v>
      </c>
      <c r="F24" s="70">
        <f t="shared" si="3"/>
        <v>0.2012488324419858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31045899</v>
      </c>
      <c r="D25" s="51">
        <v>33144537</v>
      </c>
      <c r="E25" s="51">
        <f t="shared" si="2"/>
        <v>2098638</v>
      </c>
      <c r="F25" s="70">
        <f t="shared" si="3"/>
        <v>6.7597913656808589E-2</v>
      </c>
    </row>
    <row r="26" spans="1:7" ht="23.1" customHeight="1" x14ac:dyDescent="0.2">
      <c r="A26" s="25">
        <v>5</v>
      </c>
      <c r="B26" s="48" t="s">
        <v>84</v>
      </c>
      <c r="C26" s="51">
        <v>21231661</v>
      </c>
      <c r="D26" s="51">
        <v>21736910</v>
      </c>
      <c r="E26" s="51">
        <f t="shared" si="2"/>
        <v>505249</v>
      </c>
      <c r="F26" s="70">
        <f t="shared" si="3"/>
        <v>2.3796960586362038E-2</v>
      </c>
    </row>
    <row r="27" spans="1:7" ht="23.1" customHeight="1" x14ac:dyDescent="0.2">
      <c r="A27" s="25">
        <v>6</v>
      </c>
      <c r="B27" s="48" t="s">
        <v>85</v>
      </c>
      <c r="C27" s="51">
        <v>11858436</v>
      </c>
      <c r="D27" s="51">
        <v>13570742</v>
      </c>
      <c r="E27" s="51">
        <f t="shared" si="2"/>
        <v>1712306</v>
      </c>
      <c r="F27" s="70">
        <f t="shared" si="3"/>
        <v>0.1443956015784881</v>
      </c>
    </row>
    <row r="28" spans="1:7" ht="23.1" customHeight="1" x14ac:dyDescent="0.2">
      <c r="A28" s="25">
        <v>7</v>
      </c>
      <c r="B28" s="48" t="s">
        <v>86</v>
      </c>
      <c r="C28" s="51">
        <v>3718716</v>
      </c>
      <c r="D28" s="51">
        <v>3242228</v>
      </c>
      <c r="E28" s="51">
        <f t="shared" si="2"/>
        <v>-476488</v>
      </c>
      <c r="F28" s="70">
        <f t="shared" si="3"/>
        <v>-0.12813239838697013</v>
      </c>
    </row>
    <row r="29" spans="1:7" ht="23.1" customHeight="1" x14ac:dyDescent="0.2">
      <c r="A29" s="25">
        <v>8</v>
      </c>
      <c r="B29" s="48" t="s">
        <v>87</v>
      </c>
      <c r="C29" s="51">
        <v>3980367</v>
      </c>
      <c r="D29" s="51">
        <v>2640281</v>
      </c>
      <c r="E29" s="51">
        <f t="shared" si="2"/>
        <v>-1340086</v>
      </c>
      <c r="F29" s="70">
        <f t="shared" si="3"/>
        <v>-0.33667398006264249</v>
      </c>
    </row>
    <row r="30" spans="1:7" ht="23.1" customHeight="1" x14ac:dyDescent="0.2">
      <c r="A30" s="25">
        <v>9</v>
      </c>
      <c r="B30" s="48" t="s">
        <v>88</v>
      </c>
      <c r="C30" s="51">
        <v>51790175</v>
      </c>
      <c r="D30" s="51">
        <v>53079916</v>
      </c>
      <c r="E30" s="51">
        <f t="shared" si="2"/>
        <v>1289741</v>
      </c>
      <c r="F30" s="70">
        <f t="shared" si="3"/>
        <v>2.4903198338294859E-2</v>
      </c>
    </row>
    <row r="31" spans="1:7" ht="23.1" customHeight="1" x14ac:dyDescent="0.25">
      <c r="A31" s="29"/>
      <c r="B31" s="71" t="s">
        <v>89</v>
      </c>
      <c r="C31" s="27">
        <f>SUM(C22:C30)</f>
        <v>312521510</v>
      </c>
      <c r="D31" s="27">
        <f>SUM(D22:D30)</f>
        <v>328515648</v>
      </c>
      <c r="E31" s="27">
        <f t="shared" si="2"/>
        <v>15994138</v>
      </c>
      <c r="F31" s="28">
        <f t="shared" si="3"/>
        <v>5.1177718935250249E-2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22162735</v>
      </c>
      <c r="D33" s="27">
        <f>+D19-D31</f>
        <v>17141468</v>
      </c>
      <c r="E33" s="27">
        <f>D33-C33</f>
        <v>-5021267</v>
      </c>
      <c r="F33" s="28">
        <f>IF(C33=0,0,E33/C33)</f>
        <v>-0.22656350852004503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3799040</v>
      </c>
      <c r="D36" s="51">
        <v>4985668</v>
      </c>
      <c r="E36" s="51">
        <f>D36-C36</f>
        <v>1186628</v>
      </c>
      <c r="F36" s="70">
        <f>IF(C36=0,0,E36/C36)</f>
        <v>0.31234943564690026</v>
      </c>
    </row>
    <row r="37" spans="1:6" ht="23.1" customHeight="1" x14ac:dyDescent="0.2">
      <c r="A37" s="44">
        <v>2</v>
      </c>
      <c r="B37" s="48" t="s">
        <v>93</v>
      </c>
      <c r="C37" s="51">
        <v>491000</v>
      </c>
      <c r="D37" s="51">
        <v>471844</v>
      </c>
      <c r="E37" s="51">
        <f>D37-C37</f>
        <v>-19156</v>
      </c>
      <c r="F37" s="70">
        <f>IF(C37=0,0,E37/C37)</f>
        <v>-3.9014256619144601E-2</v>
      </c>
    </row>
    <row r="38" spans="1:6" ht="23.1" customHeight="1" x14ac:dyDescent="0.2">
      <c r="A38" s="44">
        <v>3</v>
      </c>
      <c r="B38" s="48" t="s">
        <v>94</v>
      </c>
      <c r="C38" s="51">
        <v>-1511000</v>
      </c>
      <c r="D38" s="51">
        <v>-1079790</v>
      </c>
      <c r="E38" s="51">
        <f>D38-C38</f>
        <v>431210</v>
      </c>
      <c r="F38" s="70">
        <f>IF(C38=0,0,E38/C38)</f>
        <v>-0.28538054268696228</v>
      </c>
    </row>
    <row r="39" spans="1:6" ht="23.1" customHeight="1" x14ac:dyDescent="0.25">
      <c r="A39" s="20"/>
      <c r="B39" s="71" t="s">
        <v>95</v>
      </c>
      <c r="C39" s="27">
        <f>SUM(C36:C38)</f>
        <v>2779040</v>
      </c>
      <c r="D39" s="27">
        <f>SUM(D36:D38)</f>
        <v>4377722</v>
      </c>
      <c r="E39" s="27">
        <f>D39-C39</f>
        <v>1598682</v>
      </c>
      <c r="F39" s="28">
        <f>IF(C39=0,0,E39/C39)</f>
        <v>0.57526411998387927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24941775</v>
      </c>
      <c r="D41" s="27">
        <f>D33+D39</f>
        <v>21519190</v>
      </c>
      <c r="E41" s="27">
        <f>D41-C41</f>
        <v>-3422585</v>
      </c>
      <c r="F41" s="28">
        <f>IF(C41=0,0,E41/C41)</f>
        <v>-0.13722299234918126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24941775</v>
      </c>
      <c r="D48" s="27">
        <f>D41+D46</f>
        <v>21519190</v>
      </c>
      <c r="E48" s="27">
        <f>D48-C48</f>
        <v>-3422585</v>
      </c>
      <c r="F48" s="28">
        <f>IF(C48=0,0,E48/C48)</f>
        <v>-0.13722299234918126</v>
      </c>
    </row>
    <row r="49" spans="1:6" ht="23.1" customHeight="1" x14ac:dyDescent="0.2">
      <c r="A49" s="44"/>
      <c r="B49" s="48" t="s">
        <v>102</v>
      </c>
      <c r="C49" s="51">
        <v>6907000</v>
      </c>
      <c r="D49" s="51">
        <v>3407000</v>
      </c>
      <c r="E49" s="51">
        <f>D49-C49</f>
        <v>-3500000</v>
      </c>
      <c r="F49" s="70">
        <f>IF(C49=0,0,E49/C49)</f>
        <v>-0.50673230056464458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FILING&amp;RMIDDLESEX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211662804</v>
      </c>
      <c r="D14" s="97">
        <v>238091717</v>
      </c>
      <c r="E14" s="97">
        <f t="shared" ref="E14:E25" si="0">D14-C14</f>
        <v>26428913</v>
      </c>
      <c r="F14" s="98">
        <f t="shared" ref="F14:F25" si="1">IF(C14=0,0,E14/C14)</f>
        <v>0.12486328490668583</v>
      </c>
    </row>
    <row r="15" spans="1:6" ht="18" customHeight="1" x14ac:dyDescent="0.25">
      <c r="A15" s="99">
        <v>2</v>
      </c>
      <c r="B15" s="100" t="s">
        <v>113</v>
      </c>
      <c r="C15" s="97">
        <v>26273908</v>
      </c>
      <c r="D15" s="97">
        <v>36648686</v>
      </c>
      <c r="E15" s="97">
        <f t="shared" si="0"/>
        <v>10374778</v>
      </c>
      <c r="F15" s="98">
        <f t="shared" si="1"/>
        <v>0.3948699980223726</v>
      </c>
    </row>
    <row r="16" spans="1:6" ht="18" customHeight="1" x14ac:dyDescent="0.25">
      <c r="A16" s="99">
        <v>3</v>
      </c>
      <c r="B16" s="100" t="s">
        <v>114</v>
      </c>
      <c r="C16" s="97">
        <v>23622846</v>
      </c>
      <c r="D16" s="97">
        <v>39980828</v>
      </c>
      <c r="E16" s="97">
        <f t="shared" si="0"/>
        <v>16357982</v>
      </c>
      <c r="F16" s="98">
        <f t="shared" si="1"/>
        <v>0.69246448967241292</v>
      </c>
    </row>
    <row r="17" spans="1:6" ht="18" customHeight="1" x14ac:dyDescent="0.25">
      <c r="A17" s="99">
        <v>4</v>
      </c>
      <c r="B17" s="100" t="s">
        <v>115</v>
      </c>
      <c r="C17" s="97">
        <v>16232499</v>
      </c>
      <c r="D17" s="97">
        <v>15751623</v>
      </c>
      <c r="E17" s="97">
        <f t="shared" si="0"/>
        <v>-480876</v>
      </c>
      <c r="F17" s="98">
        <f t="shared" si="1"/>
        <v>-2.9624274118236506E-2</v>
      </c>
    </row>
    <row r="18" spans="1:6" ht="18" customHeight="1" x14ac:dyDescent="0.25">
      <c r="A18" s="99">
        <v>5</v>
      </c>
      <c r="B18" s="100" t="s">
        <v>116</v>
      </c>
      <c r="C18" s="97">
        <v>915983</v>
      </c>
      <c r="D18" s="97">
        <v>1167799</v>
      </c>
      <c r="E18" s="97">
        <f t="shared" si="0"/>
        <v>251816</v>
      </c>
      <c r="F18" s="98">
        <f t="shared" si="1"/>
        <v>0.27491339904779893</v>
      </c>
    </row>
    <row r="19" spans="1:6" ht="18" customHeight="1" x14ac:dyDescent="0.25">
      <c r="A19" s="99">
        <v>6</v>
      </c>
      <c r="B19" s="100" t="s">
        <v>117</v>
      </c>
      <c r="C19" s="97">
        <v>12059054</v>
      </c>
      <c r="D19" s="97">
        <v>14410217</v>
      </c>
      <c r="E19" s="97">
        <f t="shared" si="0"/>
        <v>2351163</v>
      </c>
      <c r="F19" s="98">
        <f t="shared" si="1"/>
        <v>0.194970766363597</v>
      </c>
    </row>
    <row r="20" spans="1:6" ht="18" customHeight="1" x14ac:dyDescent="0.25">
      <c r="A20" s="99">
        <v>7</v>
      </c>
      <c r="B20" s="100" t="s">
        <v>118</v>
      </c>
      <c r="C20" s="97">
        <v>100461477</v>
      </c>
      <c r="D20" s="97">
        <v>116019193</v>
      </c>
      <c r="E20" s="97">
        <f t="shared" si="0"/>
        <v>15557716</v>
      </c>
      <c r="F20" s="98">
        <f t="shared" si="1"/>
        <v>0.15486250515707628</v>
      </c>
    </row>
    <row r="21" spans="1:6" ht="18" customHeight="1" x14ac:dyDescent="0.25">
      <c r="A21" s="99">
        <v>8</v>
      </c>
      <c r="B21" s="100" t="s">
        <v>119</v>
      </c>
      <c r="C21" s="97">
        <v>5946978</v>
      </c>
      <c r="D21" s="97">
        <v>5279628</v>
      </c>
      <c r="E21" s="97">
        <f t="shared" si="0"/>
        <v>-667350</v>
      </c>
      <c r="F21" s="98">
        <f t="shared" si="1"/>
        <v>-0.11221665861215561</v>
      </c>
    </row>
    <row r="22" spans="1:6" ht="18" customHeight="1" x14ac:dyDescent="0.25">
      <c r="A22" s="99">
        <v>9</v>
      </c>
      <c r="B22" s="100" t="s">
        <v>120</v>
      </c>
      <c r="C22" s="97">
        <v>7173325</v>
      </c>
      <c r="D22" s="97">
        <v>6310560</v>
      </c>
      <c r="E22" s="97">
        <f t="shared" si="0"/>
        <v>-862765</v>
      </c>
      <c r="F22" s="98">
        <f t="shared" si="1"/>
        <v>-0.12027407095036123</v>
      </c>
    </row>
    <row r="23" spans="1:6" ht="18" customHeight="1" x14ac:dyDescent="0.25">
      <c r="A23" s="99">
        <v>10</v>
      </c>
      <c r="B23" s="100" t="s">
        <v>121</v>
      </c>
      <c r="C23" s="97">
        <v>7948511</v>
      </c>
      <c r="D23" s="97">
        <v>0</v>
      </c>
      <c r="E23" s="97">
        <f t="shared" si="0"/>
        <v>-7948511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412297385</v>
      </c>
      <c r="D25" s="103">
        <f>SUM(D14:D24)</f>
        <v>473660251</v>
      </c>
      <c r="E25" s="103">
        <f t="shared" si="0"/>
        <v>61362866</v>
      </c>
      <c r="F25" s="104">
        <f t="shared" si="1"/>
        <v>0.14883156729213792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150668930</v>
      </c>
      <c r="D27" s="97">
        <v>171332425</v>
      </c>
      <c r="E27" s="97">
        <f t="shared" ref="E27:E38" si="2">D27-C27</f>
        <v>20663495</v>
      </c>
      <c r="F27" s="98">
        <f t="shared" ref="F27:F38" si="3">IF(C27=0,0,E27/C27)</f>
        <v>0.13714503049832505</v>
      </c>
    </row>
    <row r="28" spans="1:6" ht="18" customHeight="1" x14ac:dyDescent="0.25">
      <c r="A28" s="99">
        <v>2</v>
      </c>
      <c r="B28" s="100" t="s">
        <v>113</v>
      </c>
      <c r="C28" s="97">
        <v>28659430</v>
      </c>
      <c r="D28" s="97">
        <v>30890904</v>
      </c>
      <c r="E28" s="97">
        <f t="shared" si="2"/>
        <v>2231474</v>
      </c>
      <c r="F28" s="98">
        <f t="shared" si="3"/>
        <v>7.7861771849614597E-2</v>
      </c>
    </row>
    <row r="29" spans="1:6" ht="18" customHeight="1" x14ac:dyDescent="0.25">
      <c r="A29" s="99">
        <v>3</v>
      </c>
      <c r="B29" s="100" t="s">
        <v>114</v>
      </c>
      <c r="C29" s="97">
        <v>26209332</v>
      </c>
      <c r="D29" s="97">
        <v>44321769</v>
      </c>
      <c r="E29" s="97">
        <f t="shared" si="2"/>
        <v>18112437</v>
      </c>
      <c r="F29" s="98">
        <f t="shared" si="3"/>
        <v>0.69106824241075659</v>
      </c>
    </row>
    <row r="30" spans="1:6" ht="18" customHeight="1" x14ac:dyDescent="0.25">
      <c r="A30" s="99">
        <v>4</v>
      </c>
      <c r="B30" s="100" t="s">
        <v>115</v>
      </c>
      <c r="C30" s="97">
        <v>32920050</v>
      </c>
      <c r="D30" s="97">
        <v>37044595</v>
      </c>
      <c r="E30" s="97">
        <f t="shared" si="2"/>
        <v>4124545</v>
      </c>
      <c r="F30" s="98">
        <f t="shared" si="3"/>
        <v>0.12528975502771109</v>
      </c>
    </row>
    <row r="31" spans="1:6" ht="18" customHeight="1" x14ac:dyDescent="0.25">
      <c r="A31" s="99">
        <v>5</v>
      </c>
      <c r="B31" s="100" t="s">
        <v>116</v>
      </c>
      <c r="C31" s="97">
        <v>1918950</v>
      </c>
      <c r="D31" s="97">
        <v>2219940</v>
      </c>
      <c r="E31" s="97">
        <f t="shared" si="2"/>
        <v>300990</v>
      </c>
      <c r="F31" s="98">
        <f t="shared" si="3"/>
        <v>0.15685140311107637</v>
      </c>
    </row>
    <row r="32" spans="1:6" ht="18" customHeight="1" x14ac:dyDescent="0.25">
      <c r="A32" s="99">
        <v>6</v>
      </c>
      <c r="B32" s="100" t="s">
        <v>117</v>
      </c>
      <c r="C32" s="97">
        <v>25948383</v>
      </c>
      <c r="D32" s="97">
        <v>27579363</v>
      </c>
      <c r="E32" s="97">
        <f t="shared" si="2"/>
        <v>1630980</v>
      </c>
      <c r="F32" s="98">
        <f t="shared" si="3"/>
        <v>6.2854783668022787E-2</v>
      </c>
    </row>
    <row r="33" spans="1:6" ht="18" customHeight="1" x14ac:dyDescent="0.25">
      <c r="A33" s="99">
        <v>7</v>
      </c>
      <c r="B33" s="100" t="s">
        <v>118</v>
      </c>
      <c r="C33" s="97">
        <v>224756617</v>
      </c>
      <c r="D33" s="97">
        <v>223074772</v>
      </c>
      <c r="E33" s="97">
        <f t="shared" si="2"/>
        <v>-1681845</v>
      </c>
      <c r="F33" s="98">
        <f t="shared" si="3"/>
        <v>-7.4829610022115614E-3</v>
      </c>
    </row>
    <row r="34" spans="1:6" ht="18" customHeight="1" x14ac:dyDescent="0.25">
      <c r="A34" s="99">
        <v>8</v>
      </c>
      <c r="B34" s="100" t="s">
        <v>119</v>
      </c>
      <c r="C34" s="97">
        <v>11395315</v>
      </c>
      <c r="D34" s="97">
        <v>9642163</v>
      </c>
      <c r="E34" s="97">
        <f t="shared" si="2"/>
        <v>-1753152</v>
      </c>
      <c r="F34" s="98">
        <f t="shared" si="3"/>
        <v>-0.15384848948888205</v>
      </c>
    </row>
    <row r="35" spans="1:6" ht="18" customHeight="1" x14ac:dyDescent="0.25">
      <c r="A35" s="99">
        <v>9</v>
      </c>
      <c r="B35" s="100" t="s">
        <v>120</v>
      </c>
      <c r="C35" s="97">
        <v>14092307</v>
      </c>
      <c r="D35" s="97">
        <v>13906189</v>
      </c>
      <c r="E35" s="97">
        <f t="shared" si="2"/>
        <v>-186118</v>
      </c>
      <c r="F35" s="98">
        <f t="shared" si="3"/>
        <v>-1.3207063967595937E-2</v>
      </c>
    </row>
    <row r="36" spans="1:6" ht="18" customHeight="1" x14ac:dyDescent="0.25">
      <c r="A36" s="99">
        <v>10</v>
      </c>
      <c r="B36" s="100" t="s">
        <v>121</v>
      </c>
      <c r="C36" s="97">
        <v>9276414</v>
      </c>
      <c r="D36" s="97">
        <v>0</v>
      </c>
      <c r="E36" s="97">
        <f t="shared" si="2"/>
        <v>-9276414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525845728</v>
      </c>
      <c r="D38" s="103">
        <f>SUM(D27:D37)</f>
        <v>560012120</v>
      </c>
      <c r="E38" s="103">
        <f t="shared" si="2"/>
        <v>34166392</v>
      </c>
      <c r="F38" s="104">
        <f t="shared" si="3"/>
        <v>6.4974174326657266E-2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362331734</v>
      </c>
      <c r="D41" s="103">
        <f t="shared" si="4"/>
        <v>409424142</v>
      </c>
      <c r="E41" s="107">
        <f t="shared" ref="E41:E52" si="5">D41-C41</f>
        <v>47092408</v>
      </c>
      <c r="F41" s="108">
        <f t="shared" ref="F41:F52" si="6">IF(C41=0,0,E41/C41)</f>
        <v>0.12997042097339451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54933338</v>
      </c>
      <c r="D42" s="103">
        <f t="shared" si="4"/>
        <v>67539590</v>
      </c>
      <c r="E42" s="107">
        <f t="shared" si="5"/>
        <v>12606252</v>
      </c>
      <c r="F42" s="108">
        <f t="shared" si="6"/>
        <v>0.22948272322355506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49832178</v>
      </c>
      <c r="D43" s="103">
        <f t="shared" si="4"/>
        <v>84302597</v>
      </c>
      <c r="E43" s="107">
        <f t="shared" si="5"/>
        <v>34470419</v>
      </c>
      <c r="F43" s="108">
        <f t="shared" si="6"/>
        <v>0.69173013067981892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49152549</v>
      </c>
      <c r="D44" s="103">
        <f t="shared" si="4"/>
        <v>52796218</v>
      </c>
      <c r="E44" s="107">
        <f t="shared" si="5"/>
        <v>3643669</v>
      </c>
      <c r="F44" s="108">
        <f t="shared" si="6"/>
        <v>7.412980759146387E-2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2834933</v>
      </c>
      <c r="D45" s="103">
        <f t="shared" si="4"/>
        <v>3387739</v>
      </c>
      <c r="E45" s="107">
        <f t="shared" si="5"/>
        <v>552806</v>
      </c>
      <c r="F45" s="108">
        <f t="shared" si="6"/>
        <v>0.19499790647609661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38007437</v>
      </c>
      <c r="D46" s="103">
        <f t="shared" si="4"/>
        <v>41989580</v>
      </c>
      <c r="E46" s="107">
        <f t="shared" si="5"/>
        <v>3982143</v>
      </c>
      <c r="F46" s="108">
        <f t="shared" si="6"/>
        <v>0.10477273171563765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325218094</v>
      </c>
      <c r="D47" s="103">
        <f t="shared" si="4"/>
        <v>339093965</v>
      </c>
      <c r="E47" s="107">
        <f t="shared" si="5"/>
        <v>13875871</v>
      </c>
      <c r="F47" s="108">
        <f t="shared" si="6"/>
        <v>4.2666356073041867E-2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17342293</v>
      </c>
      <c r="D48" s="103">
        <f t="shared" si="4"/>
        <v>14921791</v>
      </c>
      <c r="E48" s="107">
        <f t="shared" si="5"/>
        <v>-2420502</v>
      </c>
      <c r="F48" s="108">
        <f t="shared" si="6"/>
        <v>-0.13957220074646415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21265632</v>
      </c>
      <c r="D49" s="103">
        <f t="shared" si="4"/>
        <v>20216749</v>
      </c>
      <c r="E49" s="107">
        <f t="shared" si="5"/>
        <v>-1048883</v>
      </c>
      <c r="F49" s="108">
        <f t="shared" si="6"/>
        <v>-4.9322916901787826E-2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17224925</v>
      </c>
      <c r="D50" s="103">
        <f t="shared" si="4"/>
        <v>0</v>
      </c>
      <c r="E50" s="107">
        <f t="shared" si="5"/>
        <v>-17224925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938143113</v>
      </c>
      <c r="D52" s="112">
        <f>SUM(D41:D51)</f>
        <v>1033672371</v>
      </c>
      <c r="E52" s="111">
        <f t="shared" si="5"/>
        <v>95529258</v>
      </c>
      <c r="F52" s="113">
        <f t="shared" si="6"/>
        <v>0.10182802247997742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61063498</v>
      </c>
      <c r="D57" s="97">
        <v>59007094</v>
      </c>
      <c r="E57" s="97">
        <f t="shared" ref="E57:E68" si="7">D57-C57</f>
        <v>-2056404</v>
      </c>
      <c r="F57" s="98">
        <f t="shared" ref="F57:F68" si="8">IF(C57=0,0,E57/C57)</f>
        <v>-3.3676485418506485E-2</v>
      </c>
    </row>
    <row r="58" spans="1:6" ht="18" customHeight="1" x14ac:dyDescent="0.25">
      <c r="A58" s="99">
        <v>2</v>
      </c>
      <c r="B58" s="100" t="s">
        <v>113</v>
      </c>
      <c r="C58" s="97">
        <v>7246065</v>
      </c>
      <c r="D58" s="97">
        <v>9621752</v>
      </c>
      <c r="E58" s="97">
        <f t="shared" si="7"/>
        <v>2375687</v>
      </c>
      <c r="F58" s="98">
        <f t="shared" si="8"/>
        <v>0.32785891376905946</v>
      </c>
    </row>
    <row r="59" spans="1:6" ht="18" customHeight="1" x14ac:dyDescent="0.25">
      <c r="A59" s="99">
        <v>3</v>
      </c>
      <c r="B59" s="100" t="s">
        <v>114</v>
      </c>
      <c r="C59" s="97">
        <v>6007149</v>
      </c>
      <c r="D59" s="97">
        <v>8773200</v>
      </c>
      <c r="E59" s="97">
        <f t="shared" si="7"/>
        <v>2766051</v>
      </c>
      <c r="F59" s="98">
        <f t="shared" si="8"/>
        <v>0.46045986207433842</v>
      </c>
    </row>
    <row r="60" spans="1:6" ht="18" customHeight="1" x14ac:dyDescent="0.25">
      <c r="A60" s="99">
        <v>4</v>
      </c>
      <c r="B60" s="100" t="s">
        <v>115</v>
      </c>
      <c r="C60" s="97">
        <v>3970893</v>
      </c>
      <c r="D60" s="97">
        <v>3648451</v>
      </c>
      <c r="E60" s="97">
        <f t="shared" si="7"/>
        <v>-322442</v>
      </c>
      <c r="F60" s="98">
        <f t="shared" si="8"/>
        <v>-8.1201382157615423E-2</v>
      </c>
    </row>
    <row r="61" spans="1:6" ht="18" customHeight="1" x14ac:dyDescent="0.25">
      <c r="A61" s="99">
        <v>5</v>
      </c>
      <c r="B61" s="100" t="s">
        <v>116</v>
      </c>
      <c r="C61" s="97">
        <v>195944</v>
      </c>
      <c r="D61" s="97">
        <v>222060</v>
      </c>
      <c r="E61" s="97">
        <f t="shared" si="7"/>
        <v>26116</v>
      </c>
      <c r="F61" s="98">
        <f t="shared" si="8"/>
        <v>0.13328297881027232</v>
      </c>
    </row>
    <row r="62" spans="1:6" ht="18" customHeight="1" x14ac:dyDescent="0.25">
      <c r="A62" s="99">
        <v>6</v>
      </c>
      <c r="B62" s="100" t="s">
        <v>117</v>
      </c>
      <c r="C62" s="97">
        <v>4901096</v>
      </c>
      <c r="D62" s="97">
        <v>5820345</v>
      </c>
      <c r="E62" s="97">
        <f t="shared" si="7"/>
        <v>919249</v>
      </c>
      <c r="F62" s="98">
        <f t="shared" si="8"/>
        <v>0.18755988456459535</v>
      </c>
    </row>
    <row r="63" spans="1:6" ht="18" customHeight="1" x14ac:dyDescent="0.25">
      <c r="A63" s="99">
        <v>7</v>
      </c>
      <c r="B63" s="100" t="s">
        <v>118</v>
      </c>
      <c r="C63" s="97">
        <v>46436892</v>
      </c>
      <c r="D63" s="97">
        <v>52225888</v>
      </c>
      <c r="E63" s="97">
        <f t="shared" si="7"/>
        <v>5788996</v>
      </c>
      <c r="F63" s="98">
        <f t="shared" si="8"/>
        <v>0.12466372641821076</v>
      </c>
    </row>
    <row r="64" spans="1:6" ht="18" customHeight="1" x14ac:dyDescent="0.25">
      <c r="A64" s="99">
        <v>8</v>
      </c>
      <c r="B64" s="100" t="s">
        <v>119</v>
      </c>
      <c r="C64" s="97">
        <v>4220985</v>
      </c>
      <c r="D64" s="97">
        <v>3699313</v>
      </c>
      <c r="E64" s="97">
        <f t="shared" si="7"/>
        <v>-521672</v>
      </c>
      <c r="F64" s="98">
        <f t="shared" si="8"/>
        <v>-0.1235901098914116</v>
      </c>
    </row>
    <row r="65" spans="1:6" ht="18" customHeight="1" x14ac:dyDescent="0.25">
      <c r="A65" s="99">
        <v>9</v>
      </c>
      <c r="B65" s="100" t="s">
        <v>120</v>
      </c>
      <c r="C65" s="97">
        <v>2154497</v>
      </c>
      <c r="D65" s="97">
        <v>4381062</v>
      </c>
      <c r="E65" s="97">
        <f t="shared" si="7"/>
        <v>2226565</v>
      </c>
      <c r="F65" s="98">
        <f t="shared" si="8"/>
        <v>1.0334500349733604</v>
      </c>
    </row>
    <row r="66" spans="1:6" ht="18" customHeight="1" x14ac:dyDescent="0.25">
      <c r="A66" s="99">
        <v>10</v>
      </c>
      <c r="B66" s="100" t="s">
        <v>121</v>
      </c>
      <c r="C66" s="97">
        <v>-1796300</v>
      </c>
      <c r="D66" s="97">
        <v>0</v>
      </c>
      <c r="E66" s="97">
        <f t="shared" si="7"/>
        <v>1796300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134400719</v>
      </c>
      <c r="D68" s="103">
        <f>SUM(D57:D67)</f>
        <v>147399165</v>
      </c>
      <c r="E68" s="103">
        <f t="shared" si="7"/>
        <v>12998446</v>
      </c>
      <c r="F68" s="104">
        <f t="shared" si="8"/>
        <v>9.6714110584482815E-2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38804921</v>
      </c>
      <c r="D70" s="97">
        <v>39742768</v>
      </c>
      <c r="E70" s="97">
        <f t="shared" ref="E70:E81" si="9">D70-C70</f>
        <v>937847</v>
      </c>
      <c r="F70" s="98">
        <f t="shared" ref="F70:F81" si="10">IF(C70=0,0,E70/C70)</f>
        <v>2.4168249176438214E-2</v>
      </c>
    </row>
    <row r="71" spans="1:6" ht="18" customHeight="1" x14ac:dyDescent="0.25">
      <c r="A71" s="99">
        <v>2</v>
      </c>
      <c r="B71" s="100" t="s">
        <v>113</v>
      </c>
      <c r="C71" s="97">
        <v>5446437</v>
      </c>
      <c r="D71" s="97">
        <v>6012967</v>
      </c>
      <c r="E71" s="97">
        <f t="shared" si="9"/>
        <v>566530</v>
      </c>
      <c r="F71" s="98">
        <f t="shared" si="10"/>
        <v>0.10401846197798671</v>
      </c>
    </row>
    <row r="72" spans="1:6" ht="18" customHeight="1" x14ac:dyDescent="0.25">
      <c r="A72" s="99">
        <v>3</v>
      </c>
      <c r="B72" s="100" t="s">
        <v>114</v>
      </c>
      <c r="C72" s="97">
        <v>7176278</v>
      </c>
      <c r="D72" s="97">
        <v>9069746</v>
      </c>
      <c r="E72" s="97">
        <f t="shared" si="9"/>
        <v>1893468</v>
      </c>
      <c r="F72" s="98">
        <f t="shared" si="10"/>
        <v>0.26385098236160864</v>
      </c>
    </row>
    <row r="73" spans="1:6" ht="18" customHeight="1" x14ac:dyDescent="0.25">
      <c r="A73" s="99">
        <v>4</v>
      </c>
      <c r="B73" s="100" t="s">
        <v>115</v>
      </c>
      <c r="C73" s="97">
        <v>10367539</v>
      </c>
      <c r="D73" s="97">
        <v>10780649</v>
      </c>
      <c r="E73" s="97">
        <f t="shared" si="9"/>
        <v>413110</v>
      </c>
      <c r="F73" s="98">
        <f t="shared" si="10"/>
        <v>3.9846486229760024E-2</v>
      </c>
    </row>
    <row r="74" spans="1:6" ht="18" customHeight="1" x14ac:dyDescent="0.25">
      <c r="A74" s="99">
        <v>5</v>
      </c>
      <c r="B74" s="100" t="s">
        <v>116</v>
      </c>
      <c r="C74" s="97">
        <v>437709</v>
      </c>
      <c r="D74" s="97">
        <v>564855</v>
      </c>
      <c r="E74" s="97">
        <f t="shared" si="9"/>
        <v>127146</v>
      </c>
      <c r="F74" s="98">
        <f t="shared" si="10"/>
        <v>0.29048066180955839</v>
      </c>
    </row>
    <row r="75" spans="1:6" ht="18" customHeight="1" x14ac:dyDescent="0.25">
      <c r="A75" s="99">
        <v>6</v>
      </c>
      <c r="B75" s="100" t="s">
        <v>117</v>
      </c>
      <c r="C75" s="97">
        <v>11644230</v>
      </c>
      <c r="D75" s="97">
        <v>11522574</v>
      </c>
      <c r="E75" s="97">
        <f t="shared" si="9"/>
        <v>-121656</v>
      </c>
      <c r="F75" s="98">
        <f t="shared" si="10"/>
        <v>-1.0447749657985114E-2</v>
      </c>
    </row>
    <row r="76" spans="1:6" ht="18" customHeight="1" x14ac:dyDescent="0.25">
      <c r="A76" s="99">
        <v>7</v>
      </c>
      <c r="B76" s="100" t="s">
        <v>118</v>
      </c>
      <c r="C76" s="97">
        <v>100180952</v>
      </c>
      <c r="D76" s="97">
        <v>95317842</v>
      </c>
      <c r="E76" s="97">
        <f t="shared" si="9"/>
        <v>-4863110</v>
      </c>
      <c r="F76" s="98">
        <f t="shared" si="10"/>
        <v>-4.8543260000164505E-2</v>
      </c>
    </row>
    <row r="77" spans="1:6" ht="18" customHeight="1" x14ac:dyDescent="0.25">
      <c r="A77" s="99">
        <v>8</v>
      </c>
      <c r="B77" s="100" t="s">
        <v>119</v>
      </c>
      <c r="C77" s="97">
        <v>7560134</v>
      </c>
      <c r="D77" s="97">
        <v>6382728</v>
      </c>
      <c r="E77" s="97">
        <f t="shared" si="9"/>
        <v>-1177406</v>
      </c>
      <c r="F77" s="98">
        <f t="shared" si="10"/>
        <v>-0.15573877394236663</v>
      </c>
    </row>
    <row r="78" spans="1:6" ht="18" customHeight="1" x14ac:dyDescent="0.25">
      <c r="A78" s="99">
        <v>9</v>
      </c>
      <c r="B78" s="100" t="s">
        <v>120</v>
      </c>
      <c r="C78" s="97">
        <v>4402842</v>
      </c>
      <c r="D78" s="97">
        <v>3756191</v>
      </c>
      <c r="E78" s="97">
        <f t="shared" si="9"/>
        <v>-646651</v>
      </c>
      <c r="F78" s="98">
        <f t="shared" si="10"/>
        <v>-0.1468712708745851</v>
      </c>
    </row>
    <row r="79" spans="1:6" ht="18" customHeight="1" x14ac:dyDescent="0.25">
      <c r="A79" s="99">
        <v>10</v>
      </c>
      <c r="B79" s="100" t="s">
        <v>121</v>
      </c>
      <c r="C79" s="97">
        <v>-755657</v>
      </c>
      <c r="D79" s="97">
        <v>0</v>
      </c>
      <c r="E79" s="97">
        <f t="shared" si="9"/>
        <v>755657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185265385</v>
      </c>
      <c r="D81" s="103">
        <f>SUM(D70:D80)</f>
        <v>183150320</v>
      </c>
      <c r="E81" s="103">
        <f t="shared" si="9"/>
        <v>-2115065</v>
      </c>
      <c r="F81" s="104">
        <f t="shared" si="10"/>
        <v>-1.1416406793962077E-2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99868419</v>
      </c>
      <c r="D84" s="103">
        <f t="shared" si="11"/>
        <v>98749862</v>
      </c>
      <c r="E84" s="103">
        <f t="shared" ref="E84:E95" si="12">D84-C84</f>
        <v>-1118557</v>
      </c>
      <c r="F84" s="104">
        <f t="shared" ref="F84:F95" si="13">IF(C84=0,0,E84/C84)</f>
        <v>-1.1200307476580761E-2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12692502</v>
      </c>
      <c r="D85" s="103">
        <f t="shared" si="11"/>
        <v>15634719</v>
      </c>
      <c r="E85" s="103">
        <f t="shared" si="12"/>
        <v>2942217</v>
      </c>
      <c r="F85" s="104">
        <f t="shared" si="13"/>
        <v>0.23180748760173525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13183427</v>
      </c>
      <c r="D86" s="103">
        <f t="shared" si="11"/>
        <v>17842946</v>
      </c>
      <c r="E86" s="103">
        <f t="shared" si="12"/>
        <v>4659519</v>
      </c>
      <c r="F86" s="104">
        <f t="shared" si="13"/>
        <v>0.35343761527256912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14338432</v>
      </c>
      <c r="D87" s="103">
        <f t="shared" si="11"/>
        <v>14429100</v>
      </c>
      <c r="E87" s="103">
        <f t="shared" si="12"/>
        <v>90668</v>
      </c>
      <c r="F87" s="104">
        <f t="shared" si="13"/>
        <v>6.3234250439657561E-3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633653</v>
      </c>
      <c r="D88" s="103">
        <f t="shared" si="11"/>
        <v>786915</v>
      </c>
      <c r="E88" s="103">
        <f t="shared" si="12"/>
        <v>153262</v>
      </c>
      <c r="F88" s="104">
        <f t="shared" si="13"/>
        <v>0.24187055060103874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16545326</v>
      </c>
      <c r="D89" s="103">
        <f t="shared" si="11"/>
        <v>17342919</v>
      </c>
      <c r="E89" s="103">
        <f t="shared" si="12"/>
        <v>797593</v>
      </c>
      <c r="F89" s="104">
        <f t="shared" si="13"/>
        <v>4.8206544857441913E-2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146617844</v>
      </c>
      <c r="D90" s="103">
        <f t="shared" si="11"/>
        <v>147543730</v>
      </c>
      <c r="E90" s="103">
        <f t="shared" si="12"/>
        <v>925886</v>
      </c>
      <c r="F90" s="104">
        <f t="shared" si="13"/>
        <v>6.3149612266839772E-3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11781119</v>
      </c>
      <c r="D91" s="103">
        <f t="shared" si="11"/>
        <v>10082041</v>
      </c>
      <c r="E91" s="103">
        <f t="shared" si="12"/>
        <v>-1699078</v>
      </c>
      <c r="F91" s="104">
        <f t="shared" si="13"/>
        <v>-0.14422042592049195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6557339</v>
      </c>
      <c r="D92" s="103">
        <f t="shared" si="11"/>
        <v>8137253</v>
      </c>
      <c r="E92" s="103">
        <f t="shared" si="12"/>
        <v>1579914</v>
      </c>
      <c r="F92" s="104">
        <f t="shared" si="13"/>
        <v>0.24093828304438736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-2551957</v>
      </c>
      <c r="D93" s="103">
        <f t="shared" si="11"/>
        <v>0</v>
      </c>
      <c r="E93" s="103">
        <f t="shared" si="12"/>
        <v>2551957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319666104</v>
      </c>
      <c r="D95" s="112">
        <f>SUM(D84:D94)</f>
        <v>330549485</v>
      </c>
      <c r="E95" s="112">
        <f t="shared" si="12"/>
        <v>10883381</v>
      </c>
      <c r="F95" s="113">
        <f t="shared" si="13"/>
        <v>3.4046090166632119E-2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6435</v>
      </c>
      <c r="D100" s="117">
        <v>6446</v>
      </c>
      <c r="E100" s="117">
        <f t="shared" ref="E100:E111" si="14">D100-C100</f>
        <v>11</v>
      </c>
      <c r="F100" s="98">
        <f t="shared" ref="F100:F111" si="15">IF(C100=0,0,E100/C100)</f>
        <v>1.7094017094017094E-3</v>
      </c>
    </row>
    <row r="101" spans="1:6" ht="18" customHeight="1" x14ac:dyDescent="0.25">
      <c r="A101" s="99">
        <v>2</v>
      </c>
      <c r="B101" s="100" t="s">
        <v>113</v>
      </c>
      <c r="C101" s="117">
        <v>769</v>
      </c>
      <c r="D101" s="117">
        <v>927</v>
      </c>
      <c r="E101" s="117">
        <f t="shared" si="14"/>
        <v>158</v>
      </c>
      <c r="F101" s="98">
        <f t="shared" si="15"/>
        <v>0.20546163849154747</v>
      </c>
    </row>
    <row r="102" spans="1:6" ht="18" customHeight="1" x14ac:dyDescent="0.25">
      <c r="A102" s="99">
        <v>3</v>
      </c>
      <c r="B102" s="100" t="s">
        <v>114</v>
      </c>
      <c r="C102" s="117">
        <v>711</v>
      </c>
      <c r="D102" s="117">
        <v>1121</v>
      </c>
      <c r="E102" s="117">
        <f t="shared" si="14"/>
        <v>410</v>
      </c>
      <c r="F102" s="98">
        <f t="shared" si="15"/>
        <v>0.57665260196905765</v>
      </c>
    </row>
    <row r="103" spans="1:6" ht="18" customHeight="1" x14ac:dyDescent="0.25">
      <c r="A103" s="99">
        <v>4</v>
      </c>
      <c r="B103" s="100" t="s">
        <v>115</v>
      </c>
      <c r="C103" s="117">
        <v>954</v>
      </c>
      <c r="D103" s="117">
        <v>907</v>
      </c>
      <c r="E103" s="117">
        <f t="shared" si="14"/>
        <v>-47</v>
      </c>
      <c r="F103" s="98">
        <f t="shared" si="15"/>
        <v>-4.9266247379454925E-2</v>
      </c>
    </row>
    <row r="104" spans="1:6" ht="18" customHeight="1" x14ac:dyDescent="0.25">
      <c r="A104" s="99">
        <v>5</v>
      </c>
      <c r="B104" s="100" t="s">
        <v>116</v>
      </c>
      <c r="C104" s="117">
        <v>43</v>
      </c>
      <c r="D104" s="117">
        <v>48</v>
      </c>
      <c r="E104" s="117">
        <f t="shared" si="14"/>
        <v>5</v>
      </c>
      <c r="F104" s="98">
        <f t="shared" si="15"/>
        <v>0.11627906976744186</v>
      </c>
    </row>
    <row r="105" spans="1:6" ht="18" customHeight="1" x14ac:dyDescent="0.25">
      <c r="A105" s="99">
        <v>6</v>
      </c>
      <c r="B105" s="100" t="s">
        <v>117</v>
      </c>
      <c r="C105" s="117">
        <v>408</v>
      </c>
      <c r="D105" s="117">
        <v>391</v>
      </c>
      <c r="E105" s="117">
        <f t="shared" si="14"/>
        <v>-17</v>
      </c>
      <c r="F105" s="98">
        <f t="shared" si="15"/>
        <v>-4.1666666666666664E-2</v>
      </c>
    </row>
    <row r="106" spans="1:6" ht="18" customHeight="1" x14ac:dyDescent="0.25">
      <c r="A106" s="99">
        <v>7</v>
      </c>
      <c r="B106" s="100" t="s">
        <v>118</v>
      </c>
      <c r="C106" s="117">
        <v>3976</v>
      </c>
      <c r="D106" s="117">
        <v>3735</v>
      </c>
      <c r="E106" s="117">
        <f t="shared" si="14"/>
        <v>-241</v>
      </c>
      <c r="F106" s="98">
        <f t="shared" si="15"/>
        <v>-6.0613682092555334E-2</v>
      </c>
    </row>
    <row r="107" spans="1:6" ht="18" customHeight="1" x14ac:dyDescent="0.25">
      <c r="A107" s="99">
        <v>8</v>
      </c>
      <c r="B107" s="100" t="s">
        <v>119</v>
      </c>
      <c r="C107" s="117">
        <v>91</v>
      </c>
      <c r="D107" s="117">
        <v>79</v>
      </c>
      <c r="E107" s="117">
        <f t="shared" si="14"/>
        <v>-12</v>
      </c>
      <c r="F107" s="98">
        <f t="shared" si="15"/>
        <v>-0.13186813186813187</v>
      </c>
    </row>
    <row r="108" spans="1:6" ht="18" customHeight="1" x14ac:dyDescent="0.25">
      <c r="A108" s="99">
        <v>9</v>
      </c>
      <c r="B108" s="100" t="s">
        <v>120</v>
      </c>
      <c r="C108" s="117">
        <v>242</v>
      </c>
      <c r="D108" s="117">
        <v>201</v>
      </c>
      <c r="E108" s="117">
        <f t="shared" si="14"/>
        <v>-41</v>
      </c>
      <c r="F108" s="98">
        <f t="shared" si="15"/>
        <v>-0.16942148760330578</v>
      </c>
    </row>
    <row r="109" spans="1:6" ht="18" customHeight="1" x14ac:dyDescent="0.25">
      <c r="A109" s="99">
        <v>10</v>
      </c>
      <c r="B109" s="100" t="s">
        <v>121</v>
      </c>
      <c r="C109" s="117">
        <v>289</v>
      </c>
      <c r="D109" s="117">
        <v>0</v>
      </c>
      <c r="E109" s="117">
        <f t="shared" si="14"/>
        <v>-289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13918</v>
      </c>
      <c r="D111" s="118">
        <f>SUM(D100:D110)</f>
        <v>13855</v>
      </c>
      <c r="E111" s="118">
        <f t="shared" si="14"/>
        <v>-63</v>
      </c>
      <c r="F111" s="104">
        <f t="shared" si="15"/>
        <v>-4.5265124299468315E-3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30211</v>
      </c>
      <c r="D113" s="117">
        <v>30988</v>
      </c>
      <c r="E113" s="117">
        <f t="shared" ref="E113:E124" si="16">D113-C113</f>
        <v>777</v>
      </c>
      <c r="F113" s="98">
        <f t="shared" ref="F113:F124" si="17">IF(C113=0,0,E113/C113)</f>
        <v>2.5719108933832047E-2</v>
      </c>
    </row>
    <row r="114" spans="1:6" ht="18" customHeight="1" x14ac:dyDescent="0.25">
      <c r="A114" s="99">
        <v>2</v>
      </c>
      <c r="B114" s="100" t="s">
        <v>113</v>
      </c>
      <c r="C114" s="117">
        <v>3339</v>
      </c>
      <c r="D114" s="117">
        <v>4206</v>
      </c>
      <c r="E114" s="117">
        <f t="shared" si="16"/>
        <v>867</v>
      </c>
      <c r="F114" s="98">
        <f t="shared" si="17"/>
        <v>0.25965858041329737</v>
      </c>
    </row>
    <row r="115" spans="1:6" ht="18" customHeight="1" x14ac:dyDescent="0.25">
      <c r="A115" s="99">
        <v>3</v>
      </c>
      <c r="B115" s="100" t="s">
        <v>114</v>
      </c>
      <c r="C115" s="117">
        <v>3688</v>
      </c>
      <c r="D115" s="117">
        <v>6073</v>
      </c>
      <c r="E115" s="117">
        <f t="shared" si="16"/>
        <v>2385</v>
      </c>
      <c r="F115" s="98">
        <f t="shared" si="17"/>
        <v>0.64669197396963118</v>
      </c>
    </row>
    <row r="116" spans="1:6" ht="18" customHeight="1" x14ac:dyDescent="0.25">
      <c r="A116" s="99">
        <v>4</v>
      </c>
      <c r="B116" s="100" t="s">
        <v>115</v>
      </c>
      <c r="C116" s="117">
        <v>2880</v>
      </c>
      <c r="D116" s="117">
        <v>2644</v>
      </c>
      <c r="E116" s="117">
        <f t="shared" si="16"/>
        <v>-236</v>
      </c>
      <c r="F116" s="98">
        <f t="shared" si="17"/>
        <v>-8.1944444444444445E-2</v>
      </c>
    </row>
    <row r="117" spans="1:6" ht="18" customHeight="1" x14ac:dyDescent="0.25">
      <c r="A117" s="99">
        <v>5</v>
      </c>
      <c r="B117" s="100" t="s">
        <v>116</v>
      </c>
      <c r="C117" s="117">
        <v>143</v>
      </c>
      <c r="D117" s="117">
        <v>163</v>
      </c>
      <c r="E117" s="117">
        <f t="shared" si="16"/>
        <v>20</v>
      </c>
      <c r="F117" s="98">
        <f t="shared" si="17"/>
        <v>0.13986013986013987</v>
      </c>
    </row>
    <row r="118" spans="1:6" ht="18" customHeight="1" x14ac:dyDescent="0.25">
      <c r="A118" s="99">
        <v>6</v>
      </c>
      <c r="B118" s="100" t="s">
        <v>117</v>
      </c>
      <c r="C118" s="117">
        <v>1551</v>
      </c>
      <c r="D118" s="117">
        <v>1601</v>
      </c>
      <c r="E118" s="117">
        <f t="shared" si="16"/>
        <v>50</v>
      </c>
      <c r="F118" s="98">
        <f t="shared" si="17"/>
        <v>3.2237266279819474E-2</v>
      </c>
    </row>
    <row r="119" spans="1:6" ht="18" customHeight="1" x14ac:dyDescent="0.25">
      <c r="A119" s="99">
        <v>7</v>
      </c>
      <c r="B119" s="100" t="s">
        <v>118</v>
      </c>
      <c r="C119" s="117">
        <v>12984</v>
      </c>
      <c r="D119" s="117">
        <v>13174</v>
      </c>
      <c r="E119" s="117">
        <f t="shared" si="16"/>
        <v>190</v>
      </c>
      <c r="F119" s="98">
        <f t="shared" si="17"/>
        <v>1.463339494762785E-2</v>
      </c>
    </row>
    <row r="120" spans="1:6" ht="18" customHeight="1" x14ac:dyDescent="0.25">
      <c r="A120" s="99">
        <v>8</v>
      </c>
      <c r="B120" s="100" t="s">
        <v>119</v>
      </c>
      <c r="C120" s="117">
        <v>298</v>
      </c>
      <c r="D120" s="117">
        <v>219</v>
      </c>
      <c r="E120" s="117">
        <f t="shared" si="16"/>
        <v>-79</v>
      </c>
      <c r="F120" s="98">
        <f t="shared" si="17"/>
        <v>-0.2651006711409396</v>
      </c>
    </row>
    <row r="121" spans="1:6" ht="18" customHeight="1" x14ac:dyDescent="0.25">
      <c r="A121" s="99">
        <v>9</v>
      </c>
      <c r="B121" s="100" t="s">
        <v>120</v>
      </c>
      <c r="C121" s="117">
        <v>1126</v>
      </c>
      <c r="D121" s="117">
        <v>867</v>
      </c>
      <c r="E121" s="117">
        <f t="shared" si="16"/>
        <v>-259</v>
      </c>
      <c r="F121" s="98">
        <f t="shared" si="17"/>
        <v>-0.23001776198934282</v>
      </c>
    </row>
    <row r="122" spans="1:6" ht="18" customHeight="1" x14ac:dyDescent="0.25">
      <c r="A122" s="99">
        <v>10</v>
      </c>
      <c r="B122" s="100" t="s">
        <v>121</v>
      </c>
      <c r="C122" s="117">
        <v>1609</v>
      </c>
      <c r="D122" s="117">
        <v>0</v>
      </c>
      <c r="E122" s="117">
        <f t="shared" si="16"/>
        <v>-1609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57829</v>
      </c>
      <c r="D124" s="118">
        <f>SUM(D113:D123)</f>
        <v>59935</v>
      </c>
      <c r="E124" s="118">
        <f t="shared" si="16"/>
        <v>2106</v>
      </c>
      <c r="F124" s="104">
        <f t="shared" si="17"/>
        <v>3.6417714295595635E-2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224686</v>
      </c>
      <c r="D126" s="117">
        <v>223677</v>
      </c>
      <c r="E126" s="117">
        <f t="shared" ref="E126:E137" si="18">D126-C126</f>
        <v>-1009</v>
      </c>
      <c r="F126" s="98">
        <f t="shared" ref="F126:F137" si="19">IF(C126=0,0,E126/C126)</f>
        <v>-4.4907114818012695E-3</v>
      </c>
    </row>
    <row r="127" spans="1:6" ht="18" customHeight="1" x14ac:dyDescent="0.25">
      <c r="A127" s="99">
        <v>2</v>
      </c>
      <c r="B127" s="100" t="s">
        <v>113</v>
      </c>
      <c r="C127" s="117">
        <v>34006</v>
      </c>
      <c r="D127" s="117">
        <v>34939</v>
      </c>
      <c r="E127" s="117">
        <f t="shared" si="18"/>
        <v>933</v>
      </c>
      <c r="F127" s="98">
        <f t="shared" si="19"/>
        <v>2.743633476445333E-2</v>
      </c>
    </row>
    <row r="128" spans="1:6" ht="18" customHeight="1" x14ac:dyDescent="0.25">
      <c r="A128" s="99">
        <v>3</v>
      </c>
      <c r="B128" s="100" t="s">
        <v>114</v>
      </c>
      <c r="C128" s="117">
        <v>41957</v>
      </c>
      <c r="D128" s="117">
        <v>52504</v>
      </c>
      <c r="E128" s="117">
        <f t="shared" si="18"/>
        <v>10547</v>
      </c>
      <c r="F128" s="98">
        <f t="shared" si="19"/>
        <v>0.25137640918082799</v>
      </c>
    </row>
    <row r="129" spans="1:6" ht="18" customHeight="1" x14ac:dyDescent="0.25">
      <c r="A129" s="99">
        <v>4</v>
      </c>
      <c r="B129" s="100" t="s">
        <v>115</v>
      </c>
      <c r="C129" s="117">
        <v>47184</v>
      </c>
      <c r="D129" s="117">
        <v>47486</v>
      </c>
      <c r="E129" s="117">
        <f t="shared" si="18"/>
        <v>302</v>
      </c>
      <c r="F129" s="98">
        <f t="shared" si="19"/>
        <v>6.4004747371990507E-3</v>
      </c>
    </row>
    <row r="130" spans="1:6" ht="18" customHeight="1" x14ac:dyDescent="0.25">
      <c r="A130" s="99">
        <v>5</v>
      </c>
      <c r="B130" s="100" t="s">
        <v>116</v>
      </c>
      <c r="C130" s="117">
        <v>2375</v>
      </c>
      <c r="D130" s="117">
        <v>2382</v>
      </c>
      <c r="E130" s="117">
        <f t="shared" si="18"/>
        <v>7</v>
      </c>
      <c r="F130" s="98">
        <f t="shared" si="19"/>
        <v>2.9473684210526317E-3</v>
      </c>
    </row>
    <row r="131" spans="1:6" ht="18" customHeight="1" x14ac:dyDescent="0.25">
      <c r="A131" s="99">
        <v>6</v>
      </c>
      <c r="B131" s="100" t="s">
        <v>117</v>
      </c>
      <c r="C131" s="117">
        <v>27746</v>
      </c>
      <c r="D131" s="117">
        <v>27338</v>
      </c>
      <c r="E131" s="117">
        <f t="shared" si="18"/>
        <v>-408</v>
      </c>
      <c r="F131" s="98">
        <f t="shared" si="19"/>
        <v>-1.4704822316730339E-2</v>
      </c>
    </row>
    <row r="132" spans="1:6" ht="18" customHeight="1" x14ac:dyDescent="0.25">
      <c r="A132" s="99">
        <v>7</v>
      </c>
      <c r="B132" s="100" t="s">
        <v>118</v>
      </c>
      <c r="C132" s="117">
        <v>238347</v>
      </c>
      <c r="D132" s="117">
        <v>226788</v>
      </c>
      <c r="E132" s="117">
        <f t="shared" si="18"/>
        <v>-11559</v>
      </c>
      <c r="F132" s="98">
        <f t="shared" si="19"/>
        <v>-4.8496519779984641E-2</v>
      </c>
    </row>
    <row r="133" spans="1:6" ht="18" customHeight="1" x14ac:dyDescent="0.25">
      <c r="A133" s="99">
        <v>8</v>
      </c>
      <c r="B133" s="100" t="s">
        <v>119</v>
      </c>
      <c r="C133" s="117">
        <v>18377</v>
      </c>
      <c r="D133" s="117">
        <v>17782</v>
      </c>
      <c r="E133" s="117">
        <f t="shared" si="18"/>
        <v>-595</v>
      </c>
      <c r="F133" s="98">
        <f t="shared" si="19"/>
        <v>-3.2377428307123035E-2</v>
      </c>
    </row>
    <row r="134" spans="1:6" ht="18" customHeight="1" x14ac:dyDescent="0.25">
      <c r="A134" s="99">
        <v>9</v>
      </c>
      <c r="B134" s="100" t="s">
        <v>120</v>
      </c>
      <c r="C134" s="117">
        <v>15535</v>
      </c>
      <c r="D134" s="117">
        <v>14357</v>
      </c>
      <c r="E134" s="117">
        <f t="shared" si="18"/>
        <v>-1178</v>
      </c>
      <c r="F134" s="98">
        <f t="shared" si="19"/>
        <v>-7.5828773736723531E-2</v>
      </c>
    </row>
    <row r="135" spans="1:6" ht="18" customHeight="1" x14ac:dyDescent="0.25">
      <c r="A135" s="99">
        <v>10</v>
      </c>
      <c r="B135" s="100" t="s">
        <v>121</v>
      </c>
      <c r="C135" s="117">
        <v>7748</v>
      </c>
      <c r="D135" s="117">
        <v>0</v>
      </c>
      <c r="E135" s="117">
        <f t="shared" si="18"/>
        <v>-7748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657961</v>
      </c>
      <c r="D137" s="118">
        <f>SUM(D126:D136)</f>
        <v>647253</v>
      </c>
      <c r="E137" s="118">
        <f t="shared" si="18"/>
        <v>-10708</v>
      </c>
      <c r="F137" s="104">
        <f t="shared" si="19"/>
        <v>-1.6274520830261974E-2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44127854</v>
      </c>
      <c r="D142" s="97">
        <v>53141470</v>
      </c>
      <c r="E142" s="97">
        <f t="shared" ref="E142:E153" si="20">D142-C142</f>
        <v>9013616</v>
      </c>
      <c r="F142" s="98">
        <f t="shared" ref="F142:F153" si="21">IF(C142=0,0,E142/C142)</f>
        <v>0.20426137196701205</v>
      </c>
    </row>
    <row r="143" spans="1:6" ht="18" customHeight="1" x14ac:dyDescent="0.25">
      <c r="A143" s="99">
        <v>2</v>
      </c>
      <c r="B143" s="100" t="s">
        <v>113</v>
      </c>
      <c r="C143" s="97">
        <v>6969957</v>
      </c>
      <c r="D143" s="97">
        <v>8823662</v>
      </c>
      <c r="E143" s="97">
        <f t="shared" si="20"/>
        <v>1853705</v>
      </c>
      <c r="F143" s="98">
        <f t="shared" si="21"/>
        <v>0.26595644707707666</v>
      </c>
    </row>
    <row r="144" spans="1:6" ht="18" customHeight="1" x14ac:dyDescent="0.25">
      <c r="A144" s="99">
        <v>3</v>
      </c>
      <c r="B144" s="100" t="s">
        <v>114</v>
      </c>
      <c r="C144" s="97">
        <v>10748490</v>
      </c>
      <c r="D144" s="97">
        <v>20069359</v>
      </c>
      <c r="E144" s="97">
        <f t="shared" si="20"/>
        <v>9320869</v>
      </c>
      <c r="F144" s="98">
        <f t="shared" si="21"/>
        <v>0.86717938984917886</v>
      </c>
    </row>
    <row r="145" spans="1:6" ht="18" customHeight="1" x14ac:dyDescent="0.25">
      <c r="A145" s="99">
        <v>4</v>
      </c>
      <c r="B145" s="100" t="s">
        <v>115</v>
      </c>
      <c r="C145" s="97">
        <v>14172434</v>
      </c>
      <c r="D145" s="97">
        <v>15496960</v>
      </c>
      <c r="E145" s="97">
        <f t="shared" si="20"/>
        <v>1324526</v>
      </c>
      <c r="F145" s="98">
        <f t="shared" si="21"/>
        <v>9.3457905678022563E-2</v>
      </c>
    </row>
    <row r="146" spans="1:6" ht="18" customHeight="1" x14ac:dyDescent="0.25">
      <c r="A146" s="99">
        <v>5</v>
      </c>
      <c r="B146" s="100" t="s">
        <v>116</v>
      </c>
      <c r="C146" s="97">
        <v>933398</v>
      </c>
      <c r="D146" s="97">
        <v>1037415</v>
      </c>
      <c r="E146" s="97">
        <f t="shared" si="20"/>
        <v>104017</v>
      </c>
      <c r="F146" s="98">
        <f t="shared" si="21"/>
        <v>0.11143906457909702</v>
      </c>
    </row>
    <row r="147" spans="1:6" ht="18" customHeight="1" x14ac:dyDescent="0.25">
      <c r="A147" s="99">
        <v>6</v>
      </c>
      <c r="B147" s="100" t="s">
        <v>117</v>
      </c>
      <c r="C147" s="97">
        <v>7013887</v>
      </c>
      <c r="D147" s="97">
        <v>7361463</v>
      </c>
      <c r="E147" s="97">
        <f t="shared" si="20"/>
        <v>347576</v>
      </c>
      <c r="F147" s="98">
        <f t="shared" si="21"/>
        <v>4.9555403444623503E-2</v>
      </c>
    </row>
    <row r="148" spans="1:6" ht="18" customHeight="1" x14ac:dyDescent="0.25">
      <c r="A148" s="99">
        <v>7</v>
      </c>
      <c r="B148" s="100" t="s">
        <v>118</v>
      </c>
      <c r="C148" s="97">
        <v>63484614</v>
      </c>
      <c r="D148" s="97">
        <v>68511656</v>
      </c>
      <c r="E148" s="97">
        <f t="shared" si="20"/>
        <v>5027042</v>
      </c>
      <c r="F148" s="98">
        <f t="shared" si="21"/>
        <v>7.9185202260188589E-2</v>
      </c>
    </row>
    <row r="149" spans="1:6" ht="18" customHeight="1" x14ac:dyDescent="0.25">
      <c r="A149" s="99">
        <v>8</v>
      </c>
      <c r="B149" s="100" t="s">
        <v>119</v>
      </c>
      <c r="C149" s="97">
        <v>2207480</v>
      </c>
      <c r="D149" s="97">
        <v>2480464</v>
      </c>
      <c r="E149" s="97">
        <f t="shared" si="20"/>
        <v>272984</v>
      </c>
      <c r="F149" s="98">
        <f t="shared" si="21"/>
        <v>0.12366318154637868</v>
      </c>
    </row>
    <row r="150" spans="1:6" ht="18" customHeight="1" x14ac:dyDescent="0.25">
      <c r="A150" s="99">
        <v>9</v>
      </c>
      <c r="B150" s="100" t="s">
        <v>120</v>
      </c>
      <c r="C150" s="97">
        <v>9596944</v>
      </c>
      <c r="D150" s="97">
        <v>9522620</v>
      </c>
      <c r="E150" s="97">
        <f t="shared" si="20"/>
        <v>-74324</v>
      </c>
      <c r="F150" s="98">
        <f t="shared" si="21"/>
        <v>-7.7445486813302235E-3</v>
      </c>
    </row>
    <row r="151" spans="1:6" ht="18" customHeight="1" x14ac:dyDescent="0.25">
      <c r="A151" s="99">
        <v>10</v>
      </c>
      <c r="B151" s="100" t="s">
        <v>121</v>
      </c>
      <c r="C151" s="97">
        <v>5348470</v>
      </c>
      <c r="D151" s="97">
        <v>0</v>
      </c>
      <c r="E151" s="97">
        <f t="shared" si="20"/>
        <v>-5348470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164603528</v>
      </c>
      <c r="D153" s="103">
        <f>SUM(D142:D152)</f>
        <v>186445069</v>
      </c>
      <c r="E153" s="103">
        <f t="shared" si="20"/>
        <v>21841541</v>
      </c>
      <c r="F153" s="104">
        <f t="shared" si="21"/>
        <v>0.13269181569425414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7182062</v>
      </c>
      <c r="D155" s="97">
        <v>7649984</v>
      </c>
      <c r="E155" s="97">
        <f t="shared" ref="E155:E166" si="22">D155-C155</f>
        <v>467922</v>
      </c>
      <c r="F155" s="98">
        <f t="shared" ref="F155:F166" si="23">IF(C155=0,0,E155/C155)</f>
        <v>6.5151484350873048E-2</v>
      </c>
    </row>
    <row r="156" spans="1:6" ht="18" customHeight="1" x14ac:dyDescent="0.25">
      <c r="A156" s="99">
        <v>2</v>
      </c>
      <c r="B156" s="100" t="s">
        <v>113</v>
      </c>
      <c r="C156" s="97">
        <v>1200441</v>
      </c>
      <c r="D156" s="97">
        <v>1293700</v>
      </c>
      <c r="E156" s="97">
        <f t="shared" si="22"/>
        <v>93259</v>
      </c>
      <c r="F156" s="98">
        <f t="shared" si="23"/>
        <v>7.7687283256736489E-2</v>
      </c>
    </row>
    <row r="157" spans="1:6" ht="18" customHeight="1" x14ac:dyDescent="0.25">
      <c r="A157" s="99">
        <v>3</v>
      </c>
      <c r="B157" s="100" t="s">
        <v>114</v>
      </c>
      <c r="C157" s="97">
        <v>1711053</v>
      </c>
      <c r="D157" s="97">
        <v>3878072</v>
      </c>
      <c r="E157" s="97">
        <f t="shared" si="22"/>
        <v>2167019</v>
      </c>
      <c r="F157" s="98">
        <f t="shared" si="23"/>
        <v>1.2664826863925314</v>
      </c>
    </row>
    <row r="158" spans="1:6" ht="18" customHeight="1" x14ac:dyDescent="0.25">
      <c r="A158" s="99">
        <v>4</v>
      </c>
      <c r="B158" s="100" t="s">
        <v>115</v>
      </c>
      <c r="C158" s="97">
        <v>4256418</v>
      </c>
      <c r="D158" s="97">
        <v>3869779</v>
      </c>
      <c r="E158" s="97">
        <f t="shared" si="22"/>
        <v>-386639</v>
      </c>
      <c r="F158" s="98">
        <f t="shared" si="23"/>
        <v>-9.0836708236832001E-2</v>
      </c>
    </row>
    <row r="159" spans="1:6" ht="18" customHeight="1" x14ac:dyDescent="0.25">
      <c r="A159" s="99">
        <v>5</v>
      </c>
      <c r="B159" s="100" t="s">
        <v>116</v>
      </c>
      <c r="C159" s="97">
        <v>230685</v>
      </c>
      <c r="D159" s="97">
        <v>235290</v>
      </c>
      <c r="E159" s="97">
        <f t="shared" si="22"/>
        <v>4605</v>
      </c>
      <c r="F159" s="98">
        <f t="shared" si="23"/>
        <v>1.9962286234475584E-2</v>
      </c>
    </row>
    <row r="160" spans="1:6" ht="18" customHeight="1" x14ac:dyDescent="0.25">
      <c r="A160" s="99">
        <v>6</v>
      </c>
      <c r="B160" s="100" t="s">
        <v>117</v>
      </c>
      <c r="C160" s="97">
        <v>2066344</v>
      </c>
      <c r="D160" s="97">
        <v>2075124</v>
      </c>
      <c r="E160" s="97">
        <f t="shared" si="22"/>
        <v>8780</v>
      </c>
      <c r="F160" s="98">
        <f t="shared" si="23"/>
        <v>4.2490504969162927E-3</v>
      </c>
    </row>
    <row r="161" spans="1:6" ht="18" customHeight="1" x14ac:dyDescent="0.25">
      <c r="A161" s="99">
        <v>7</v>
      </c>
      <c r="B161" s="100" t="s">
        <v>118</v>
      </c>
      <c r="C161" s="97">
        <v>29095030</v>
      </c>
      <c r="D161" s="97">
        <v>30575860</v>
      </c>
      <c r="E161" s="97">
        <f t="shared" si="22"/>
        <v>1480830</v>
      </c>
      <c r="F161" s="98">
        <f t="shared" si="23"/>
        <v>5.0896321467962052E-2</v>
      </c>
    </row>
    <row r="162" spans="1:6" ht="18" customHeight="1" x14ac:dyDescent="0.25">
      <c r="A162" s="99">
        <v>8</v>
      </c>
      <c r="B162" s="100" t="s">
        <v>119</v>
      </c>
      <c r="C162" s="97">
        <v>1333705</v>
      </c>
      <c r="D162" s="97">
        <v>1395125</v>
      </c>
      <c r="E162" s="97">
        <f t="shared" si="22"/>
        <v>61420</v>
      </c>
      <c r="F162" s="98">
        <f t="shared" si="23"/>
        <v>4.6052162959575017E-2</v>
      </c>
    </row>
    <row r="163" spans="1:6" ht="18" customHeight="1" x14ac:dyDescent="0.25">
      <c r="A163" s="99">
        <v>9</v>
      </c>
      <c r="B163" s="100" t="s">
        <v>120</v>
      </c>
      <c r="C163" s="97">
        <v>316871</v>
      </c>
      <c r="D163" s="97">
        <v>314768</v>
      </c>
      <c r="E163" s="97">
        <f t="shared" si="22"/>
        <v>-2103</v>
      </c>
      <c r="F163" s="98">
        <f t="shared" si="23"/>
        <v>-6.6367701683019273E-3</v>
      </c>
    </row>
    <row r="164" spans="1:6" ht="18" customHeight="1" x14ac:dyDescent="0.25">
      <c r="A164" s="99">
        <v>10</v>
      </c>
      <c r="B164" s="100" t="s">
        <v>121</v>
      </c>
      <c r="C164" s="97">
        <v>1080504</v>
      </c>
      <c r="D164" s="97">
        <v>0</v>
      </c>
      <c r="E164" s="97">
        <f t="shared" si="22"/>
        <v>-1080504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48473113</v>
      </c>
      <c r="D166" s="103">
        <f>SUM(D155:D165)</f>
        <v>51287702</v>
      </c>
      <c r="E166" s="103">
        <f t="shared" si="22"/>
        <v>2814589</v>
      </c>
      <c r="F166" s="104">
        <f t="shared" si="23"/>
        <v>5.806495242011793E-2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15805</v>
      </c>
      <c r="D168" s="117">
        <v>16343</v>
      </c>
      <c r="E168" s="117">
        <f t="shared" ref="E168:E179" si="24">D168-C168</f>
        <v>538</v>
      </c>
      <c r="F168" s="98">
        <f t="shared" ref="F168:F179" si="25">IF(C168=0,0,E168/C168)</f>
        <v>3.4039860803543182E-2</v>
      </c>
    </row>
    <row r="169" spans="1:6" ht="18" customHeight="1" x14ac:dyDescent="0.25">
      <c r="A169" s="99">
        <v>2</v>
      </c>
      <c r="B169" s="100" t="s">
        <v>113</v>
      </c>
      <c r="C169" s="117">
        <v>2311</v>
      </c>
      <c r="D169" s="117">
        <v>2663</v>
      </c>
      <c r="E169" s="117">
        <f t="shared" si="24"/>
        <v>352</v>
      </c>
      <c r="F169" s="98">
        <f t="shared" si="25"/>
        <v>0.1523150151449589</v>
      </c>
    </row>
    <row r="170" spans="1:6" ht="18" customHeight="1" x14ac:dyDescent="0.25">
      <c r="A170" s="99">
        <v>3</v>
      </c>
      <c r="B170" s="100" t="s">
        <v>114</v>
      </c>
      <c r="C170" s="117">
        <v>5049</v>
      </c>
      <c r="D170" s="117">
        <v>8760</v>
      </c>
      <c r="E170" s="117">
        <f t="shared" si="24"/>
        <v>3711</v>
      </c>
      <c r="F170" s="98">
        <f t="shared" si="25"/>
        <v>0.73499702911467613</v>
      </c>
    </row>
    <row r="171" spans="1:6" ht="18" customHeight="1" x14ac:dyDescent="0.25">
      <c r="A171" s="99">
        <v>4</v>
      </c>
      <c r="B171" s="100" t="s">
        <v>115</v>
      </c>
      <c r="C171" s="117">
        <v>11103</v>
      </c>
      <c r="D171" s="117">
        <v>11165</v>
      </c>
      <c r="E171" s="117">
        <f t="shared" si="24"/>
        <v>62</v>
      </c>
      <c r="F171" s="98">
        <f t="shared" si="25"/>
        <v>5.5840763757543004E-3</v>
      </c>
    </row>
    <row r="172" spans="1:6" ht="18" customHeight="1" x14ac:dyDescent="0.25">
      <c r="A172" s="99">
        <v>5</v>
      </c>
      <c r="B172" s="100" t="s">
        <v>116</v>
      </c>
      <c r="C172" s="117">
        <v>655</v>
      </c>
      <c r="D172" s="117">
        <v>739</v>
      </c>
      <c r="E172" s="117">
        <f t="shared" si="24"/>
        <v>84</v>
      </c>
      <c r="F172" s="98">
        <f t="shared" si="25"/>
        <v>0.12824427480916031</v>
      </c>
    </row>
    <row r="173" spans="1:6" ht="18" customHeight="1" x14ac:dyDescent="0.25">
      <c r="A173" s="99">
        <v>6</v>
      </c>
      <c r="B173" s="100" t="s">
        <v>117</v>
      </c>
      <c r="C173" s="117">
        <v>3962</v>
      </c>
      <c r="D173" s="117">
        <v>3712</v>
      </c>
      <c r="E173" s="117">
        <f t="shared" si="24"/>
        <v>-250</v>
      </c>
      <c r="F173" s="98">
        <f t="shared" si="25"/>
        <v>-6.3099444724886419E-2</v>
      </c>
    </row>
    <row r="174" spans="1:6" ht="18" customHeight="1" x14ac:dyDescent="0.25">
      <c r="A174" s="99">
        <v>7</v>
      </c>
      <c r="B174" s="100" t="s">
        <v>118</v>
      </c>
      <c r="C174" s="117">
        <v>36016</v>
      </c>
      <c r="D174" s="117">
        <v>35247</v>
      </c>
      <c r="E174" s="117">
        <f t="shared" si="24"/>
        <v>-769</v>
      </c>
      <c r="F174" s="98">
        <f t="shared" si="25"/>
        <v>-2.1351621501554865E-2</v>
      </c>
    </row>
    <row r="175" spans="1:6" ht="18" customHeight="1" x14ac:dyDescent="0.25">
      <c r="A175" s="99">
        <v>8</v>
      </c>
      <c r="B175" s="100" t="s">
        <v>119</v>
      </c>
      <c r="C175" s="117">
        <v>2038</v>
      </c>
      <c r="D175" s="117">
        <v>2174</v>
      </c>
      <c r="E175" s="117">
        <f t="shared" si="24"/>
        <v>136</v>
      </c>
      <c r="F175" s="98">
        <f t="shared" si="25"/>
        <v>6.6732090284592732E-2</v>
      </c>
    </row>
    <row r="176" spans="1:6" ht="18" customHeight="1" x14ac:dyDescent="0.25">
      <c r="A176" s="99">
        <v>9</v>
      </c>
      <c r="B176" s="100" t="s">
        <v>120</v>
      </c>
      <c r="C176" s="117">
        <v>6543</v>
      </c>
      <c r="D176" s="117">
        <v>6003</v>
      </c>
      <c r="E176" s="117">
        <f t="shared" si="24"/>
        <v>-540</v>
      </c>
      <c r="F176" s="98">
        <f t="shared" si="25"/>
        <v>-8.2530949105914714E-2</v>
      </c>
    </row>
    <row r="177" spans="1:6" ht="18" customHeight="1" x14ac:dyDescent="0.25">
      <c r="A177" s="99">
        <v>10</v>
      </c>
      <c r="B177" s="100" t="s">
        <v>121</v>
      </c>
      <c r="C177" s="117">
        <v>2499</v>
      </c>
      <c r="D177" s="117">
        <v>0</v>
      </c>
      <c r="E177" s="117">
        <f t="shared" si="24"/>
        <v>-2499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85981</v>
      </c>
      <c r="D179" s="118">
        <f>SUM(D168:D178)</f>
        <v>86806</v>
      </c>
      <c r="E179" s="118">
        <f t="shared" si="24"/>
        <v>825</v>
      </c>
      <c r="F179" s="104">
        <f t="shared" si="25"/>
        <v>9.5951431130133404E-3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56" fitToHeight="2" orientation="portrait" horizontalDpi="1200" verticalDpi="1200" r:id="rId1"/>
  <headerFooter>
    <oddHeader>&amp;LOFFICE OF HEALTH CARE ACCESS&amp;CTWELVE MONTHS ACTUAL FILING&amp;RMIDDLESEX HOSPITAL</oddHeader>
    <oddFooter>&amp;LREPORT 165&amp;C&amp;P of &amp;N&amp;R&amp;D,&amp;T</oddFooter>
  </headerFooter>
  <rowBreaks count="2" manualBreakCount="2">
    <brk id="68" max="5" man="1"/>
    <brk id="13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710937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45300265</v>
      </c>
      <c r="D15" s="146">
        <v>46575871</v>
      </c>
      <c r="E15" s="146">
        <f>+D15-C15</f>
        <v>1275606</v>
      </c>
      <c r="F15" s="150">
        <f>IF(C15=0,0,E15/C15)</f>
        <v>2.8158908121177658E-2</v>
      </c>
    </row>
    <row r="16" spans="1:7" ht="15" customHeight="1" x14ac:dyDescent="0.2">
      <c r="A16" s="141">
        <v>2</v>
      </c>
      <c r="B16" s="149" t="s">
        <v>158</v>
      </c>
      <c r="C16" s="146">
        <v>22986362</v>
      </c>
      <c r="D16" s="146">
        <v>25136796</v>
      </c>
      <c r="E16" s="146">
        <f>+D16-C16</f>
        <v>2150434</v>
      </c>
      <c r="F16" s="150">
        <f>IF(C16=0,0,E16/C16)</f>
        <v>9.3552603060893233E-2</v>
      </c>
    </row>
    <row r="17" spans="1:7" ht="15" customHeight="1" x14ac:dyDescent="0.2">
      <c r="A17" s="141">
        <v>3</v>
      </c>
      <c r="B17" s="149" t="s">
        <v>159</v>
      </c>
      <c r="C17" s="146">
        <v>81688566</v>
      </c>
      <c r="D17" s="146">
        <v>83855969</v>
      </c>
      <c r="E17" s="146">
        <f>+D17-C17</f>
        <v>2167403</v>
      </c>
      <c r="F17" s="150">
        <f>IF(C17=0,0,E17/C17)</f>
        <v>2.6532513742498553E-2</v>
      </c>
    </row>
    <row r="18" spans="1:7" ht="15.75" customHeight="1" x14ac:dyDescent="0.25">
      <c r="A18" s="141"/>
      <c r="B18" s="151" t="s">
        <v>160</v>
      </c>
      <c r="C18" s="147">
        <f>SUM(C15:C17)</f>
        <v>149975193</v>
      </c>
      <c r="D18" s="147">
        <f>SUM(D15:D17)</f>
        <v>155568636</v>
      </c>
      <c r="E18" s="147">
        <f>+D18-C18</f>
        <v>5593443</v>
      </c>
      <c r="F18" s="148">
        <f>IF(C18=0,0,E18/C18)</f>
        <v>3.7295787977415708E-2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11000436</v>
      </c>
      <c r="D21" s="146">
        <v>12732163</v>
      </c>
      <c r="E21" s="146">
        <f>+D21-C21</f>
        <v>1731727</v>
      </c>
      <c r="F21" s="150">
        <f>IF(C21=0,0,E21/C21)</f>
        <v>0.15742348757812871</v>
      </c>
    </row>
    <row r="22" spans="1:7" ht="15" customHeight="1" x14ac:dyDescent="0.2">
      <c r="A22" s="141">
        <v>2</v>
      </c>
      <c r="B22" s="149" t="s">
        <v>163</v>
      </c>
      <c r="C22" s="146">
        <v>5581866</v>
      </c>
      <c r="D22" s="146">
        <v>6871493</v>
      </c>
      <c r="E22" s="146">
        <f>+D22-C22</f>
        <v>1289627</v>
      </c>
      <c r="F22" s="150">
        <f>IF(C22=0,0,E22/C22)</f>
        <v>0.2310386884959259</v>
      </c>
    </row>
    <row r="23" spans="1:7" ht="15" customHeight="1" x14ac:dyDescent="0.2">
      <c r="A23" s="141">
        <v>3</v>
      </c>
      <c r="B23" s="149" t="s">
        <v>164</v>
      </c>
      <c r="C23" s="146">
        <v>19836744</v>
      </c>
      <c r="D23" s="146">
        <v>22923197</v>
      </c>
      <c r="E23" s="146">
        <f>+D23-C23</f>
        <v>3086453</v>
      </c>
      <c r="F23" s="150">
        <f>IF(C23=0,0,E23/C23)</f>
        <v>0.15559272227337309</v>
      </c>
    </row>
    <row r="24" spans="1:7" ht="15.75" customHeight="1" x14ac:dyDescent="0.25">
      <c r="A24" s="141"/>
      <c r="B24" s="151" t="s">
        <v>165</v>
      </c>
      <c r="C24" s="147">
        <f>SUM(C21:C23)</f>
        <v>36419046</v>
      </c>
      <c r="D24" s="147">
        <f>SUM(D21:D23)</f>
        <v>42526853</v>
      </c>
      <c r="E24" s="147">
        <f>+D24-C24</f>
        <v>6107807</v>
      </c>
      <c r="F24" s="148">
        <f>IF(C24=0,0,E24/C24)</f>
        <v>0.16770914317744623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192276</v>
      </c>
      <c r="D27" s="146">
        <v>496836</v>
      </c>
      <c r="E27" s="146">
        <f>+D27-C27</f>
        <v>304560</v>
      </c>
      <c r="F27" s="150">
        <f>IF(C27=0,0,E27/C27)</f>
        <v>1.5839730387567872</v>
      </c>
    </row>
    <row r="28" spans="1:7" ht="15" customHeight="1" x14ac:dyDescent="0.2">
      <c r="A28" s="141">
        <v>2</v>
      </c>
      <c r="B28" s="149" t="s">
        <v>168</v>
      </c>
      <c r="C28" s="146">
        <v>2502017</v>
      </c>
      <c r="D28" s="146">
        <v>3005545</v>
      </c>
      <c r="E28" s="146">
        <f>+D28-C28</f>
        <v>503528</v>
      </c>
      <c r="F28" s="150">
        <f>IF(C28=0,0,E28/C28)</f>
        <v>0.2012488324419858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2694293</v>
      </c>
      <c r="D30" s="147">
        <f>SUM(D27:D29)</f>
        <v>3502381</v>
      </c>
      <c r="E30" s="147">
        <f>+D30-C30</f>
        <v>808088</v>
      </c>
      <c r="F30" s="148">
        <f>IF(C30=0,0,E30/C30)</f>
        <v>0.29992580613912445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23376330</v>
      </c>
      <c r="D33" s="146">
        <v>24201366</v>
      </c>
      <c r="E33" s="146">
        <f>+D33-C33</f>
        <v>825036</v>
      </c>
      <c r="F33" s="150">
        <f>IF(C33=0,0,E33/C33)</f>
        <v>3.5293649601969172E-2</v>
      </c>
    </row>
    <row r="34" spans="1:7" ht="15" customHeight="1" x14ac:dyDescent="0.2">
      <c r="A34" s="141">
        <v>2</v>
      </c>
      <c r="B34" s="149" t="s">
        <v>174</v>
      </c>
      <c r="C34" s="146">
        <v>7669569</v>
      </c>
      <c r="D34" s="146">
        <v>8943171</v>
      </c>
      <c r="E34" s="146">
        <f>+D34-C34</f>
        <v>1273602</v>
      </c>
      <c r="F34" s="150">
        <f>IF(C34=0,0,E34/C34)</f>
        <v>0.16605913578716092</v>
      </c>
    </row>
    <row r="35" spans="1:7" ht="15.75" customHeight="1" x14ac:dyDescent="0.25">
      <c r="A35" s="141"/>
      <c r="B35" s="151" t="s">
        <v>175</v>
      </c>
      <c r="C35" s="147">
        <f>SUM(C33:C34)</f>
        <v>31045899</v>
      </c>
      <c r="D35" s="147">
        <f>SUM(D33:D34)</f>
        <v>33144537</v>
      </c>
      <c r="E35" s="147">
        <f>+D35-C35</f>
        <v>2098638</v>
      </c>
      <c r="F35" s="148">
        <f>IF(C35=0,0,E35/C35)</f>
        <v>6.7597913656808589E-2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9801668</v>
      </c>
      <c r="D38" s="146">
        <v>9985642</v>
      </c>
      <c r="E38" s="146">
        <f>+D38-C38</f>
        <v>183974</v>
      </c>
      <c r="F38" s="150">
        <f>IF(C38=0,0,E38/C38)</f>
        <v>1.8769662469693933E-2</v>
      </c>
    </row>
    <row r="39" spans="1:7" ht="15" customHeight="1" x14ac:dyDescent="0.2">
      <c r="A39" s="141">
        <v>2</v>
      </c>
      <c r="B39" s="149" t="s">
        <v>179</v>
      </c>
      <c r="C39" s="146">
        <v>11302685</v>
      </c>
      <c r="D39" s="146">
        <v>11628728</v>
      </c>
      <c r="E39" s="146">
        <f>+D39-C39</f>
        <v>326043</v>
      </c>
      <c r="F39" s="150">
        <f>IF(C39=0,0,E39/C39)</f>
        <v>2.8846508595081612E-2</v>
      </c>
    </row>
    <row r="40" spans="1:7" ht="15" customHeight="1" x14ac:dyDescent="0.2">
      <c r="A40" s="141">
        <v>3</v>
      </c>
      <c r="B40" s="149" t="s">
        <v>180</v>
      </c>
      <c r="C40" s="146">
        <v>127308</v>
      </c>
      <c r="D40" s="146">
        <v>122540</v>
      </c>
      <c r="E40" s="146">
        <f>+D40-C40</f>
        <v>-4768</v>
      </c>
      <c r="F40" s="150">
        <f>IF(C40=0,0,E40/C40)</f>
        <v>-3.7452477456247843E-2</v>
      </c>
    </row>
    <row r="41" spans="1:7" ht="15.75" customHeight="1" x14ac:dyDescent="0.25">
      <c r="A41" s="141"/>
      <c r="B41" s="151" t="s">
        <v>181</v>
      </c>
      <c r="C41" s="147">
        <f>SUM(C38:C40)</f>
        <v>21231661</v>
      </c>
      <c r="D41" s="147">
        <f>SUM(D38:D40)</f>
        <v>21736910</v>
      </c>
      <c r="E41" s="147">
        <f>+D41-C41</f>
        <v>505249</v>
      </c>
      <c r="F41" s="148">
        <f>IF(C41=0,0,E41/C41)</f>
        <v>2.3796960586362038E-2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11858436</v>
      </c>
      <c r="D44" s="146">
        <v>13570742</v>
      </c>
      <c r="E44" s="146">
        <f>+D44-C44</f>
        <v>1712306</v>
      </c>
      <c r="F44" s="150">
        <f>IF(C44=0,0,E44/C44)</f>
        <v>0.1443956015784881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3718716</v>
      </c>
      <c r="D47" s="146">
        <v>3242228</v>
      </c>
      <c r="E47" s="146">
        <f>+D47-C47</f>
        <v>-476488</v>
      </c>
      <c r="F47" s="150">
        <f>IF(C47=0,0,E47/C47)</f>
        <v>-0.12813239838697013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3980367</v>
      </c>
      <c r="D50" s="146">
        <v>2640281</v>
      </c>
      <c r="E50" s="146">
        <f>+D50-C50</f>
        <v>-1340086</v>
      </c>
      <c r="F50" s="150">
        <f>IF(C50=0,0,E50/C50)</f>
        <v>-0.33667398006264249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221843</v>
      </c>
      <c r="D53" s="146">
        <v>257495</v>
      </c>
      <c r="E53" s="146">
        <f t="shared" ref="E53:E59" si="0">+D53-C53</f>
        <v>35652</v>
      </c>
      <c r="F53" s="150">
        <f t="shared" ref="F53:F59" si="1">IF(C53=0,0,E53/C53)</f>
        <v>0.16070824862628075</v>
      </c>
    </row>
    <row r="54" spans="1:7" ht="15" customHeight="1" x14ac:dyDescent="0.2">
      <c r="A54" s="141">
        <v>2</v>
      </c>
      <c r="B54" s="149" t="s">
        <v>193</v>
      </c>
      <c r="C54" s="146">
        <v>122369</v>
      </c>
      <c r="D54" s="146">
        <v>111425</v>
      </c>
      <c r="E54" s="146">
        <f t="shared" si="0"/>
        <v>-10944</v>
      </c>
      <c r="F54" s="150">
        <f t="shared" si="1"/>
        <v>-8.9434415579109083E-2</v>
      </c>
    </row>
    <row r="55" spans="1:7" ht="15" customHeight="1" x14ac:dyDescent="0.2">
      <c r="A55" s="141">
        <v>3</v>
      </c>
      <c r="B55" s="149" t="s">
        <v>194</v>
      </c>
      <c r="C55" s="146">
        <v>1203697</v>
      </c>
      <c r="D55" s="146">
        <v>972621</v>
      </c>
      <c r="E55" s="146">
        <f t="shared" si="0"/>
        <v>-231076</v>
      </c>
      <c r="F55" s="150">
        <f t="shared" si="1"/>
        <v>-0.19197189990504254</v>
      </c>
    </row>
    <row r="56" spans="1:7" ht="15" customHeight="1" x14ac:dyDescent="0.2">
      <c r="A56" s="141">
        <v>4</v>
      </c>
      <c r="B56" s="149" t="s">
        <v>195</v>
      </c>
      <c r="C56" s="146">
        <v>2891572</v>
      </c>
      <c r="D56" s="146">
        <v>3032617</v>
      </c>
      <c r="E56" s="146">
        <f t="shared" si="0"/>
        <v>141045</v>
      </c>
      <c r="F56" s="150">
        <f t="shared" si="1"/>
        <v>4.877796575703458E-2</v>
      </c>
    </row>
    <row r="57" spans="1:7" ht="15" customHeight="1" x14ac:dyDescent="0.2">
      <c r="A57" s="141">
        <v>5</v>
      </c>
      <c r="B57" s="149" t="s">
        <v>196</v>
      </c>
      <c r="C57" s="146">
        <v>1281297</v>
      </c>
      <c r="D57" s="146">
        <v>1316527</v>
      </c>
      <c r="E57" s="146">
        <f t="shared" si="0"/>
        <v>35230</v>
      </c>
      <c r="F57" s="150">
        <f t="shared" si="1"/>
        <v>2.7495576747623696E-2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5720778</v>
      </c>
      <c r="D59" s="147">
        <f>SUM(D53:D58)</f>
        <v>5690685</v>
      </c>
      <c r="E59" s="147">
        <f t="shared" si="0"/>
        <v>-30093</v>
      </c>
      <c r="F59" s="148">
        <f t="shared" si="1"/>
        <v>-5.2602985118457663E-3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256439</v>
      </c>
      <c r="D62" s="146">
        <v>291332</v>
      </c>
      <c r="E62" s="146">
        <f t="shared" ref="E62:E78" si="2">+D62-C62</f>
        <v>34893</v>
      </c>
      <c r="F62" s="150">
        <f t="shared" ref="F62:F78" si="3">IF(C62=0,0,E62/C62)</f>
        <v>0.13606744683920932</v>
      </c>
    </row>
    <row r="63" spans="1:7" ht="15" customHeight="1" x14ac:dyDescent="0.2">
      <c r="A63" s="141">
        <v>2</v>
      </c>
      <c r="B63" s="149" t="s">
        <v>202</v>
      </c>
      <c r="C63" s="146">
        <v>841609</v>
      </c>
      <c r="D63" s="146">
        <v>900863</v>
      </c>
      <c r="E63" s="146">
        <f t="shared" si="2"/>
        <v>59254</v>
      </c>
      <c r="F63" s="150">
        <f t="shared" si="3"/>
        <v>7.0405615909525682E-2</v>
      </c>
    </row>
    <row r="64" spans="1:7" ht="15" customHeight="1" x14ac:dyDescent="0.2">
      <c r="A64" s="141">
        <v>3</v>
      </c>
      <c r="B64" s="149" t="s">
        <v>203</v>
      </c>
      <c r="C64" s="146">
        <v>2337046</v>
      </c>
      <c r="D64" s="146">
        <v>1528376</v>
      </c>
      <c r="E64" s="146">
        <f t="shared" si="2"/>
        <v>-808670</v>
      </c>
      <c r="F64" s="150">
        <f t="shared" si="3"/>
        <v>-0.34602228625367237</v>
      </c>
    </row>
    <row r="65" spans="1:7" ht="15" customHeight="1" x14ac:dyDescent="0.2">
      <c r="A65" s="141">
        <v>4</v>
      </c>
      <c r="B65" s="149" t="s">
        <v>204</v>
      </c>
      <c r="C65" s="146">
        <v>643437</v>
      </c>
      <c r="D65" s="146">
        <v>646127</v>
      </c>
      <c r="E65" s="146">
        <f t="shared" si="2"/>
        <v>2690</v>
      </c>
      <c r="F65" s="150">
        <f t="shared" si="3"/>
        <v>4.1806734769682195E-3</v>
      </c>
    </row>
    <row r="66" spans="1:7" ht="15" customHeight="1" x14ac:dyDescent="0.2">
      <c r="A66" s="141">
        <v>5</v>
      </c>
      <c r="B66" s="149" t="s">
        <v>205</v>
      </c>
      <c r="C66" s="146">
        <v>1900068</v>
      </c>
      <c r="D66" s="146">
        <v>1772912</v>
      </c>
      <c r="E66" s="146">
        <f t="shared" si="2"/>
        <v>-127156</v>
      </c>
      <c r="F66" s="150">
        <f t="shared" si="3"/>
        <v>-6.6921815429763568E-2</v>
      </c>
    </row>
    <row r="67" spans="1:7" ht="15" customHeight="1" x14ac:dyDescent="0.2">
      <c r="A67" s="141">
        <v>6</v>
      </c>
      <c r="B67" s="149" t="s">
        <v>206</v>
      </c>
      <c r="C67" s="146">
        <v>3446803</v>
      </c>
      <c r="D67" s="146">
        <v>3543439</v>
      </c>
      <c r="E67" s="146">
        <f t="shared" si="2"/>
        <v>96636</v>
      </c>
      <c r="F67" s="150">
        <f t="shared" si="3"/>
        <v>2.8036415194021821E-2</v>
      </c>
    </row>
    <row r="68" spans="1:7" ht="15" customHeight="1" x14ac:dyDescent="0.2">
      <c r="A68" s="141">
        <v>7</v>
      </c>
      <c r="B68" s="149" t="s">
        <v>207</v>
      </c>
      <c r="C68" s="146">
        <v>3278325</v>
      </c>
      <c r="D68" s="146">
        <v>2245956</v>
      </c>
      <c r="E68" s="146">
        <f t="shared" si="2"/>
        <v>-1032369</v>
      </c>
      <c r="F68" s="150">
        <f t="shared" si="3"/>
        <v>-0.31490746036466793</v>
      </c>
    </row>
    <row r="69" spans="1:7" ht="15" customHeight="1" x14ac:dyDescent="0.2">
      <c r="A69" s="141">
        <v>8</v>
      </c>
      <c r="B69" s="149" t="s">
        <v>208</v>
      </c>
      <c r="C69" s="146">
        <v>446348</v>
      </c>
      <c r="D69" s="146">
        <v>536468</v>
      </c>
      <c r="E69" s="146">
        <f t="shared" si="2"/>
        <v>90120</v>
      </c>
      <c r="F69" s="150">
        <f t="shared" si="3"/>
        <v>0.20190523985768952</v>
      </c>
    </row>
    <row r="70" spans="1:7" ht="15" customHeight="1" x14ac:dyDescent="0.2">
      <c r="A70" s="141">
        <v>9</v>
      </c>
      <c r="B70" s="149" t="s">
        <v>209</v>
      </c>
      <c r="C70" s="146">
        <v>1113663</v>
      </c>
      <c r="D70" s="146">
        <v>1262702</v>
      </c>
      <c r="E70" s="146">
        <f t="shared" si="2"/>
        <v>149039</v>
      </c>
      <c r="F70" s="150">
        <f t="shared" si="3"/>
        <v>0.13382773783451546</v>
      </c>
    </row>
    <row r="71" spans="1:7" ht="15" customHeight="1" x14ac:dyDescent="0.2">
      <c r="A71" s="141">
        <v>10</v>
      </c>
      <c r="B71" s="149" t="s">
        <v>210</v>
      </c>
      <c r="C71" s="146">
        <v>59893</v>
      </c>
      <c r="D71" s="146">
        <v>105191</v>
      </c>
      <c r="E71" s="146">
        <f t="shared" si="2"/>
        <v>45298</v>
      </c>
      <c r="F71" s="150">
        <f t="shared" si="3"/>
        <v>0.75631542918204131</v>
      </c>
    </row>
    <row r="72" spans="1:7" ht="15" customHeight="1" x14ac:dyDescent="0.2">
      <c r="A72" s="141">
        <v>11</v>
      </c>
      <c r="B72" s="149" t="s">
        <v>211</v>
      </c>
      <c r="C72" s="146">
        <v>119493</v>
      </c>
      <c r="D72" s="146">
        <v>3609461</v>
      </c>
      <c r="E72" s="146">
        <f t="shared" si="2"/>
        <v>3489968</v>
      </c>
      <c r="F72" s="150">
        <f t="shared" si="3"/>
        <v>29.206463976969363</v>
      </c>
    </row>
    <row r="73" spans="1:7" ht="15" customHeight="1" x14ac:dyDescent="0.2">
      <c r="A73" s="141">
        <v>12</v>
      </c>
      <c r="B73" s="149" t="s">
        <v>212</v>
      </c>
      <c r="C73" s="146">
        <v>2076946</v>
      </c>
      <c r="D73" s="146">
        <v>1989707</v>
      </c>
      <c r="E73" s="146">
        <f t="shared" si="2"/>
        <v>-87239</v>
      </c>
      <c r="F73" s="150">
        <f t="shared" si="3"/>
        <v>-4.2003499368784745E-2</v>
      </c>
    </row>
    <row r="74" spans="1:7" ht="15" customHeight="1" x14ac:dyDescent="0.2">
      <c r="A74" s="141">
        <v>13</v>
      </c>
      <c r="B74" s="149" t="s">
        <v>213</v>
      </c>
      <c r="C74" s="146">
        <v>396317</v>
      </c>
      <c r="D74" s="146">
        <v>394248</v>
      </c>
      <c r="E74" s="146">
        <f t="shared" si="2"/>
        <v>-2069</v>
      </c>
      <c r="F74" s="150">
        <f t="shared" si="3"/>
        <v>-5.2205683833900637E-3</v>
      </c>
    </row>
    <row r="75" spans="1:7" ht="15" customHeight="1" x14ac:dyDescent="0.2">
      <c r="A75" s="141">
        <v>14</v>
      </c>
      <c r="B75" s="149" t="s">
        <v>214</v>
      </c>
      <c r="C75" s="146">
        <v>275844</v>
      </c>
      <c r="D75" s="146">
        <v>283215</v>
      </c>
      <c r="E75" s="146">
        <f t="shared" si="2"/>
        <v>7371</v>
      </c>
      <c r="F75" s="150">
        <f t="shared" si="3"/>
        <v>2.6721625266454954E-2</v>
      </c>
    </row>
    <row r="76" spans="1:7" ht="15" customHeight="1" x14ac:dyDescent="0.2">
      <c r="A76" s="141">
        <v>15</v>
      </c>
      <c r="B76" s="149" t="s">
        <v>215</v>
      </c>
      <c r="C76" s="146">
        <v>636866</v>
      </c>
      <c r="D76" s="146">
        <v>1107303</v>
      </c>
      <c r="E76" s="146">
        <f t="shared" si="2"/>
        <v>470437</v>
      </c>
      <c r="F76" s="150">
        <f t="shared" si="3"/>
        <v>0.73867501169790817</v>
      </c>
    </row>
    <row r="77" spans="1:7" ht="15" customHeight="1" x14ac:dyDescent="0.2">
      <c r="A77" s="141">
        <v>16</v>
      </c>
      <c r="B77" s="149" t="s">
        <v>216</v>
      </c>
      <c r="C77" s="146">
        <v>6123672</v>
      </c>
      <c r="D77" s="146">
        <v>6099876</v>
      </c>
      <c r="E77" s="146">
        <f t="shared" si="2"/>
        <v>-23796</v>
      </c>
      <c r="F77" s="150">
        <f t="shared" si="3"/>
        <v>-3.885903751866527E-3</v>
      </c>
    </row>
    <row r="78" spans="1:7" ht="15.75" customHeight="1" x14ac:dyDescent="0.25">
      <c r="A78" s="141"/>
      <c r="B78" s="151" t="s">
        <v>217</v>
      </c>
      <c r="C78" s="147">
        <f>SUM(C62:C77)</f>
        <v>23952769</v>
      </c>
      <c r="D78" s="147">
        <f>SUM(D62:D77)</f>
        <v>26317176</v>
      </c>
      <c r="E78" s="147">
        <f t="shared" si="2"/>
        <v>2364407</v>
      </c>
      <c r="F78" s="148">
        <f t="shared" si="3"/>
        <v>9.8711217897187592E-2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21924352</v>
      </c>
      <c r="D81" s="146">
        <v>20575219</v>
      </c>
      <c r="E81" s="146">
        <f>+D81-C81</f>
        <v>-1349133</v>
      </c>
      <c r="F81" s="150">
        <f>IF(C81=0,0,E81/C81)</f>
        <v>-6.1535820990285144E-2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312521510</v>
      </c>
      <c r="D83" s="147">
        <f>+D81+D78+D59+D50+D47+D44+D41+D35+D30+D24+D18</f>
        <v>328515648</v>
      </c>
      <c r="E83" s="147">
        <f>+D83-C83</f>
        <v>15994138</v>
      </c>
      <c r="F83" s="148">
        <f>IF(C83=0,0,E83/C83)</f>
        <v>5.1177718935250249E-2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31238022</v>
      </c>
      <c r="D91" s="146">
        <v>28796988</v>
      </c>
      <c r="E91" s="146">
        <f t="shared" ref="E91:E109" si="4">D91-C91</f>
        <v>-2441034</v>
      </c>
      <c r="F91" s="150">
        <f t="shared" ref="F91:F109" si="5">IF(C91=0,0,E91/C91)</f>
        <v>-7.8143039914627122E-2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1111806</v>
      </c>
      <c r="D92" s="146">
        <v>1069244</v>
      </c>
      <c r="E92" s="146">
        <f t="shared" si="4"/>
        <v>-42562</v>
      </c>
      <c r="F92" s="150">
        <f t="shared" si="5"/>
        <v>-3.8281858525678038E-2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16742278</v>
      </c>
      <c r="D93" s="146">
        <v>18249320</v>
      </c>
      <c r="E93" s="146">
        <f t="shared" si="4"/>
        <v>1507042</v>
      </c>
      <c r="F93" s="150">
        <f t="shared" si="5"/>
        <v>9.0014154585176517E-2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2606173</v>
      </c>
      <c r="D94" s="146">
        <v>2698382</v>
      </c>
      <c r="E94" s="146">
        <f t="shared" si="4"/>
        <v>92209</v>
      </c>
      <c r="F94" s="150">
        <f t="shared" si="5"/>
        <v>3.5380997347451607E-2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14350506</v>
      </c>
      <c r="D95" s="146">
        <v>14404449</v>
      </c>
      <c r="E95" s="146">
        <f t="shared" si="4"/>
        <v>53943</v>
      </c>
      <c r="F95" s="150">
        <f t="shared" si="5"/>
        <v>3.7589615306944579E-3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1986062</v>
      </c>
      <c r="D96" s="146">
        <v>1887914</v>
      </c>
      <c r="E96" s="146">
        <f t="shared" si="4"/>
        <v>-98148</v>
      </c>
      <c r="F96" s="150">
        <f t="shared" si="5"/>
        <v>-4.9418396807350426E-2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38304164</v>
      </c>
      <c r="D97" s="146">
        <v>45008800</v>
      </c>
      <c r="E97" s="146">
        <f t="shared" si="4"/>
        <v>6704636</v>
      </c>
      <c r="F97" s="150">
        <f t="shared" si="5"/>
        <v>0.1750367401309163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1661658</v>
      </c>
      <c r="D98" s="146">
        <v>1821031</v>
      </c>
      <c r="E98" s="146">
        <f t="shared" si="4"/>
        <v>159373</v>
      </c>
      <c r="F98" s="150">
        <f t="shared" si="5"/>
        <v>9.5912034847122574E-2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1671812</v>
      </c>
      <c r="D99" s="146">
        <v>1677223</v>
      </c>
      <c r="E99" s="146">
        <f t="shared" si="4"/>
        <v>5411</v>
      </c>
      <c r="F99" s="150">
        <f t="shared" si="5"/>
        <v>3.2366079439554206E-3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3809186</v>
      </c>
      <c r="D100" s="146">
        <v>3946399</v>
      </c>
      <c r="E100" s="146">
        <f t="shared" si="4"/>
        <v>137213</v>
      </c>
      <c r="F100" s="150">
        <f t="shared" si="5"/>
        <v>3.602160671597554E-2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2741122</v>
      </c>
      <c r="D101" s="146">
        <v>2842159</v>
      </c>
      <c r="E101" s="146">
        <f t="shared" si="4"/>
        <v>101037</v>
      </c>
      <c r="F101" s="150">
        <f t="shared" si="5"/>
        <v>3.6859723864899115E-2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873592</v>
      </c>
      <c r="D102" s="146">
        <v>846666</v>
      </c>
      <c r="E102" s="146">
        <f t="shared" si="4"/>
        <v>-26926</v>
      </c>
      <c r="F102" s="150">
        <f t="shared" si="5"/>
        <v>-3.0822168701178581E-2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14202966</v>
      </c>
      <c r="D103" s="146">
        <v>14457610</v>
      </c>
      <c r="E103" s="146">
        <f t="shared" si="4"/>
        <v>254644</v>
      </c>
      <c r="F103" s="150">
        <f t="shared" si="5"/>
        <v>1.7928931182402325E-2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1250684</v>
      </c>
      <c r="D104" s="146">
        <v>1609472</v>
      </c>
      <c r="E104" s="146">
        <f t="shared" si="4"/>
        <v>358788</v>
      </c>
      <c r="F104" s="150">
        <f t="shared" si="5"/>
        <v>0.28687342286300938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0</v>
      </c>
      <c r="D105" s="146">
        <v>0</v>
      </c>
      <c r="E105" s="146">
        <f t="shared" si="4"/>
        <v>0</v>
      </c>
      <c r="F105" s="150">
        <f t="shared" si="5"/>
        <v>0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2859721</v>
      </c>
      <c r="D106" s="146">
        <v>3122141</v>
      </c>
      <c r="E106" s="146">
        <f t="shared" si="4"/>
        <v>262420</v>
      </c>
      <c r="F106" s="150">
        <f t="shared" si="5"/>
        <v>9.1764196577218543E-2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10360055</v>
      </c>
      <c r="D107" s="146">
        <v>11132587</v>
      </c>
      <c r="E107" s="146">
        <f t="shared" si="4"/>
        <v>772532</v>
      </c>
      <c r="F107" s="150">
        <f t="shared" si="5"/>
        <v>7.4568329994387089E-2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731891</v>
      </c>
      <c r="D108" s="146">
        <v>768464</v>
      </c>
      <c r="E108" s="146">
        <f t="shared" si="4"/>
        <v>36573</v>
      </c>
      <c r="F108" s="150">
        <f t="shared" si="5"/>
        <v>4.9970555724827878E-2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146501698</v>
      </c>
      <c r="D109" s="147">
        <f>SUM(D91:D108)</f>
        <v>154338849</v>
      </c>
      <c r="E109" s="147">
        <f t="shared" si="4"/>
        <v>7837151</v>
      </c>
      <c r="F109" s="148">
        <f t="shared" si="5"/>
        <v>5.3495291228638185E-2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5403613</v>
      </c>
      <c r="D112" s="146">
        <v>5947323</v>
      </c>
      <c r="E112" s="146">
        <f t="shared" ref="E112:E118" si="6">D112-C112</f>
        <v>543710</v>
      </c>
      <c r="F112" s="150">
        <f t="shared" ref="F112:F118" si="7">IF(C112=0,0,E112/C112)</f>
        <v>0.10061971499439357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3847452</v>
      </c>
      <c r="D113" s="146">
        <v>4149050</v>
      </c>
      <c r="E113" s="146">
        <f t="shared" si="6"/>
        <v>301598</v>
      </c>
      <c r="F113" s="150">
        <f t="shared" si="7"/>
        <v>7.8389022137248229E-2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2853039</v>
      </c>
      <c r="D114" s="146">
        <v>3027207</v>
      </c>
      <c r="E114" s="146">
        <f t="shared" si="6"/>
        <v>174168</v>
      </c>
      <c r="F114" s="150">
        <f t="shared" si="7"/>
        <v>6.1046484117462115E-2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3918131</v>
      </c>
      <c r="D115" s="146">
        <v>4086031</v>
      </c>
      <c r="E115" s="146">
        <f t="shared" si="6"/>
        <v>167900</v>
      </c>
      <c r="F115" s="150">
        <f t="shared" si="7"/>
        <v>4.285206390495877E-2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294699</v>
      </c>
      <c r="D116" s="146">
        <v>321333</v>
      </c>
      <c r="E116" s="146">
        <f t="shared" si="6"/>
        <v>26634</v>
      </c>
      <c r="F116" s="150">
        <f t="shared" si="7"/>
        <v>9.0376960899086867E-2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327665</v>
      </c>
      <c r="D117" s="146">
        <v>551986</v>
      </c>
      <c r="E117" s="146">
        <f t="shared" si="6"/>
        <v>224321</v>
      </c>
      <c r="F117" s="150">
        <f t="shared" si="7"/>
        <v>0.68460470297407416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16644599</v>
      </c>
      <c r="D118" s="147">
        <f>SUM(D112:D117)</f>
        <v>18082930</v>
      </c>
      <c r="E118" s="147">
        <f t="shared" si="6"/>
        <v>1438331</v>
      </c>
      <c r="F118" s="148">
        <f t="shared" si="7"/>
        <v>8.6414277688516256E-2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17188397</v>
      </c>
      <c r="D121" s="146">
        <v>18786824</v>
      </c>
      <c r="E121" s="146">
        <f t="shared" ref="E121:E155" si="8">D121-C121</f>
        <v>1598427</v>
      </c>
      <c r="F121" s="150">
        <f t="shared" ref="F121:F155" si="9">IF(C121=0,0,E121/C121)</f>
        <v>9.2994535790626665E-2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2481586</v>
      </c>
      <c r="D122" s="146">
        <v>2392402</v>
      </c>
      <c r="E122" s="146">
        <f t="shared" si="8"/>
        <v>-89184</v>
      </c>
      <c r="F122" s="150">
        <f t="shared" si="9"/>
        <v>-3.5938307195479018E-2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778686</v>
      </c>
      <c r="D123" s="146">
        <v>857812</v>
      </c>
      <c r="E123" s="146">
        <f t="shared" si="8"/>
        <v>79126</v>
      </c>
      <c r="F123" s="150">
        <f t="shared" si="9"/>
        <v>0.10161477155104882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9144589</v>
      </c>
      <c r="D125" s="146">
        <v>9154307</v>
      </c>
      <c r="E125" s="146">
        <f t="shared" si="8"/>
        <v>9718</v>
      </c>
      <c r="F125" s="150">
        <f t="shared" si="9"/>
        <v>1.0627049504357167E-3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1511883</v>
      </c>
      <c r="D126" s="146">
        <v>1627347</v>
      </c>
      <c r="E126" s="146">
        <f t="shared" si="8"/>
        <v>115464</v>
      </c>
      <c r="F126" s="150">
        <f t="shared" si="9"/>
        <v>7.6370989024944394E-2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2133479</v>
      </c>
      <c r="D127" s="146">
        <v>2616109</v>
      </c>
      <c r="E127" s="146">
        <f t="shared" si="8"/>
        <v>482630</v>
      </c>
      <c r="F127" s="150">
        <f t="shared" si="9"/>
        <v>0.2262173660954713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700409</v>
      </c>
      <c r="D128" s="146">
        <v>782038</v>
      </c>
      <c r="E128" s="146">
        <f t="shared" si="8"/>
        <v>81629</v>
      </c>
      <c r="F128" s="150">
        <f t="shared" si="9"/>
        <v>0.11654476170351895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2858456</v>
      </c>
      <c r="D129" s="146">
        <v>2870201</v>
      </c>
      <c r="E129" s="146">
        <f t="shared" si="8"/>
        <v>11745</v>
      </c>
      <c r="F129" s="150">
        <f t="shared" si="9"/>
        <v>4.1088615672237039E-3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13025800</v>
      </c>
      <c r="D130" s="146">
        <v>13473285</v>
      </c>
      <c r="E130" s="146">
        <f t="shared" si="8"/>
        <v>447485</v>
      </c>
      <c r="F130" s="150">
        <f t="shared" si="9"/>
        <v>3.43537441078475E-2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1847876</v>
      </c>
      <c r="D131" s="146">
        <v>2036522</v>
      </c>
      <c r="E131" s="146">
        <f t="shared" si="8"/>
        <v>188646</v>
      </c>
      <c r="F131" s="150">
        <f t="shared" si="9"/>
        <v>0.1020880188930426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668532</v>
      </c>
      <c r="D132" s="146">
        <v>753439</v>
      </c>
      <c r="E132" s="146">
        <f t="shared" si="8"/>
        <v>84907</v>
      </c>
      <c r="F132" s="150">
        <f t="shared" si="9"/>
        <v>0.12700513961934506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314551</v>
      </c>
      <c r="D134" s="146">
        <v>548132</v>
      </c>
      <c r="E134" s="146">
        <f t="shared" si="8"/>
        <v>233581</v>
      </c>
      <c r="F134" s="150">
        <f t="shared" si="9"/>
        <v>0.74258546308865658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290644</v>
      </c>
      <c r="D136" s="146">
        <v>154804</v>
      </c>
      <c r="E136" s="146">
        <f t="shared" si="8"/>
        <v>-135840</v>
      </c>
      <c r="F136" s="150">
        <f t="shared" si="9"/>
        <v>-0.46737589628549014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1097525</v>
      </c>
      <c r="D138" s="146">
        <v>1157876</v>
      </c>
      <c r="E138" s="146">
        <f t="shared" si="8"/>
        <v>60351</v>
      </c>
      <c r="F138" s="150">
        <f t="shared" si="9"/>
        <v>5.4988269059930296E-2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59478</v>
      </c>
      <c r="D139" s="146">
        <v>75006</v>
      </c>
      <c r="E139" s="146">
        <f t="shared" si="8"/>
        <v>15528</v>
      </c>
      <c r="F139" s="150">
        <f t="shared" si="9"/>
        <v>0.26107132048824777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517643</v>
      </c>
      <c r="D140" s="146">
        <v>740214</v>
      </c>
      <c r="E140" s="146">
        <f t="shared" si="8"/>
        <v>222571</v>
      </c>
      <c r="F140" s="150">
        <f t="shared" si="9"/>
        <v>0.42997007590173153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6989504</v>
      </c>
      <c r="D142" s="146">
        <v>7533430</v>
      </c>
      <c r="E142" s="146">
        <f t="shared" si="8"/>
        <v>543926</v>
      </c>
      <c r="F142" s="150">
        <f t="shared" si="9"/>
        <v>7.7820400417540361E-2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179601</v>
      </c>
      <c r="D143" s="146">
        <v>191747</v>
      </c>
      <c r="E143" s="146">
        <f t="shared" si="8"/>
        <v>12146</v>
      </c>
      <c r="F143" s="150">
        <f t="shared" si="9"/>
        <v>6.7627685814666952E-2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19981907</v>
      </c>
      <c r="D144" s="146">
        <v>21029455</v>
      </c>
      <c r="E144" s="146">
        <f t="shared" si="8"/>
        <v>1047548</v>
      </c>
      <c r="F144" s="150">
        <f t="shared" si="9"/>
        <v>5.2424826118948505E-2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1876039</v>
      </c>
      <c r="D145" s="146">
        <v>1835378</v>
      </c>
      <c r="E145" s="146">
        <f t="shared" si="8"/>
        <v>-40661</v>
      </c>
      <c r="F145" s="150">
        <f t="shared" si="9"/>
        <v>-2.1673856460340112E-2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515160</v>
      </c>
      <c r="D146" s="146">
        <v>424482</v>
      </c>
      <c r="E146" s="146">
        <f t="shared" si="8"/>
        <v>-90678</v>
      </c>
      <c r="F146" s="150">
        <f t="shared" si="9"/>
        <v>-0.17601910086186814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514007</v>
      </c>
      <c r="D148" s="146">
        <v>662649</v>
      </c>
      <c r="E148" s="146">
        <f t="shared" si="8"/>
        <v>148642</v>
      </c>
      <c r="F148" s="150">
        <f t="shared" si="9"/>
        <v>0.28918283214041834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619183</v>
      </c>
      <c r="D149" s="146">
        <v>655045</v>
      </c>
      <c r="E149" s="146">
        <f t="shared" si="8"/>
        <v>35862</v>
      </c>
      <c r="F149" s="150">
        <f t="shared" si="9"/>
        <v>5.7918256799686041E-2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878267</v>
      </c>
      <c r="D151" s="146">
        <v>869053</v>
      </c>
      <c r="E151" s="146">
        <f t="shared" si="8"/>
        <v>-9214</v>
      </c>
      <c r="F151" s="150">
        <f t="shared" si="9"/>
        <v>-1.0491114888752508E-2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2744324</v>
      </c>
      <c r="D152" s="146">
        <v>2922476</v>
      </c>
      <c r="E152" s="146">
        <f t="shared" si="8"/>
        <v>178152</v>
      </c>
      <c r="F152" s="150">
        <f t="shared" si="9"/>
        <v>6.4916533179026972E-2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3465435</v>
      </c>
      <c r="D154" s="146">
        <v>3617500</v>
      </c>
      <c r="E154" s="146">
        <f t="shared" si="8"/>
        <v>152065</v>
      </c>
      <c r="F154" s="150">
        <f t="shared" si="9"/>
        <v>4.3880494079386857E-2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92382961</v>
      </c>
      <c r="D155" s="147">
        <f>SUM(D121:D154)</f>
        <v>97767533</v>
      </c>
      <c r="E155" s="147">
        <f t="shared" si="8"/>
        <v>5384572</v>
      </c>
      <c r="F155" s="148">
        <f t="shared" si="9"/>
        <v>5.8285336838250941E-2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20781330</v>
      </c>
      <c r="D158" s="146">
        <v>22842940</v>
      </c>
      <c r="E158" s="146">
        <f t="shared" ref="E158:E171" si="10">D158-C158</f>
        <v>2061610</v>
      </c>
      <c r="F158" s="150">
        <f t="shared" ref="F158:F171" si="11">IF(C158=0,0,E158/C158)</f>
        <v>9.9204911331469164E-2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6453360</v>
      </c>
      <c r="D159" s="146">
        <v>6858075</v>
      </c>
      <c r="E159" s="146">
        <f t="shared" si="10"/>
        <v>404715</v>
      </c>
      <c r="F159" s="150">
        <f t="shared" si="11"/>
        <v>6.2713842091561611E-2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2543611</v>
      </c>
      <c r="D161" s="146">
        <v>2539198</v>
      </c>
      <c r="E161" s="146">
        <f t="shared" si="10"/>
        <v>-4413</v>
      </c>
      <c r="F161" s="150">
        <f t="shared" si="11"/>
        <v>-1.7349350981734236E-3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4523867</v>
      </c>
      <c r="D163" s="146">
        <v>4254559</v>
      </c>
      <c r="E163" s="146">
        <f t="shared" si="10"/>
        <v>-269308</v>
      </c>
      <c r="F163" s="150">
        <f t="shared" si="11"/>
        <v>-5.9530485754775729E-2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905500</v>
      </c>
      <c r="D164" s="146">
        <v>1044260</v>
      </c>
      <c r="E164" s="146">
        <f t="shared" si="10"/>
        <v>138760</v>
      </c>
      <c r="F164" s="150">
        <f t="shared" si="11"/>
        <v>0.15324130314743237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2376193</v>
      </c>
      <c r="D167" s="146">
        <v>1093985</v>
      </c>
      <c r="E167" s="146">
        <f t="shared" si="10"/>
        <v>-1282208</v>
      </c>
      <c r="F167" s="150">
        <f t="shared" si="11"/>
        <v>-0.53960600001767534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11486101</v>
      </c>
      <c r="D168" s="146">
        <v>11175906</v>
      </c>
      <c r="E168" s="146">
        <f t="shared" si="10"/>
        <v>-310195</v>
      </c>
      <c r="F168" s="150">
        <f t="shared" si="11"/>
        <v>-2.7006118090028983E-2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7795746</v>
      </c>
      <c r="D169" s="146">
        <v>8365878</v>
      </c>
      <c r="E169" s="146">
        <f t="shared" si="10"/>
        <v>570132</v>
      </c>
      <c r="F169" s="150">
        <f t="shared" si="11"/>
        <v>7.3133732166235282E-2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126544</v>
      </c>
      <c r="D170" s="146">
        <v>151535</v>
      </c>
      <c r="E170" s="146">
        <f t="shared" si="10"/>
        <v>24991</v>
      </c>
      <c r="F170" s="150">
        <f t="shared" si="11"/>
        <v>0.19748862055885699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56992252</v>
      </c>
      <c r="D171" s="147">
        <f>SUM(D158:D170)</f>
        <v>58326336</v>
      </c>
      <c r="E171" s="147">
        <f t="shared" si="10"/>
        <v>1334084</v>
      </c>
      <c r="F171" s="148">
        <f t="shared" si="11"/>
        <v>2.3408164323810193E-2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312521510</v>
      </c>
      <c r="D176" s="147">
        <f>+D174+D171+D155+D118+D109</f>
        <v>328515648</v>
      </c>
      <c r="E176" s="147">
        <f>D176-C176</f>
        <v>15994138</v>
      </c>
      <c r="F176" s="148">
        <f>IF(C176=0,0,E176/C176)</f>
        <v>5.1177718935250249E-2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59" orientation="portrait" horizontalDpi="1200" verticalDpi="1200" r:id="rId1"/>
  <headerFooter>
    <oddHeader>&amp;LOFFICE OF HEALTH CARE ACCESS&amp;CTWELVE MONTHS ACTUAL FILING&amp;RMIDDLESEX HOSPITAL</oddHeader>
    <oddFooter>&amp;LREPORT 175&amp;CPAGE &amp;P of &amp;N&amp;R&amp;D, &amp;T</oddFooter>
  </headerFooter>
  <rowBreaks count="2" manualBreakCount="2">
    <brk id="79" max="5" man="1"/>
    <brk id="15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317817236</v>
      </c>
      <c r="D11" s="164">
        <v>325072710</v>
      </c>
      <c r="E11" s="51">
        <v>336113486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9128624</v>
      </c>
      <c r="D12" s="49">
        <v>9611535</v>
      </c>
      <c r="E12" s="49">
        <v>9543630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326945860</v>
      </c>
      <c r="D13" s="51">
        <f>+D11+D12</f>
        <v>334684245</v>
      </c>
      <c r="E13" s="51">
        <f>+E11+E12</f>
        <v>345657116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305762315</v>
      </c>
      <c r="D14" s="49">
        <v>312521510</v>
      </c>
      <c r="E14" s="49">
        <v>328515648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21183545</v>
      </c>
      <c r="D15" s="51">
        <f>+D13-D14</f>
        <v>22162735</v>
      </c>
      <c r="E15" s="51">
        <f>+E13-E14</f>
        <v>17141468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-2393000</v>
      </c>
      <c r="D16" s="49">
        <v>2779040</v>
      </c>
      <c r="E16" s="49">
        <v>4377722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18790545</v>
      </c>
      <c r="D17" s="51">
        <f>D15+D16</f>
        <v>24941775</v>
      </c>
      <c r="E17" s="51">
        <f>E15+E16</f>
        <v>21519190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6.5269937846180126E-2</v>
      </c>
      <c r="D20" s="169">
        <f>IF(+D27=0,0,+D24/+D27)</f>
        <v>6.5674507376409855E-2</v>
      </c>
      <c r="E20" s="169">
        <f>IF(+E27=0,0,+E24/+E27)</f>
        <v>4.8970748448758691E-2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-7.3732211141199003E-3</v>
      </c>
      <c r="D21" s="169">
        <f>IF(D27=0,0,+D26/D27)</f>
        <v>8.235088448214448E-3</v>
      </c>
      <c r="E21" s="169">
        <f>IF(E27=0,0,+E26/E27)</f>
        <v>1.2506532278367103E-2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5.7896716732060226E-2</v>
      </c>
      <c r="D22" s="169">
        <f>IF(D27=0,0,+D28/D27)</f>
        <v>7.3909595824624294E-2</v>
      </c>
      <c r="E22" s="169">
        <f>IF(E27=0,0,+E28/E27)</f>
        <v>6.1477280727125792E-2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21183545</v>
      </c>
      <c r="D24" s="51">
        <f>+D15</f>
        <v>22162735</v>
      </c>
      <c r="E24" s="51">
        <f>+E15</f>
        <v>17141468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326945860</v>
      </c>
      <c r="D25" s="51">
        <f>+D13</f>
        <v>334684245</v>
      </c>
      <c r="E25" s="51">
        <f>+E13</f>
        <v>345657116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-2393000</v>
      </c>
      <c r="D26" s="51">
        <f>+D16</f>
        <v>2779040</v>
      </c>
      <c r="E26" s="51">
        <f>+E16</f>
        <v>4377722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324552860</v>
      </c>
      <c r="D27" s="51">
        <f>+D25+D26</f>
        <v>337463285</v>
      </c>
      <c r="E27" s="51">
        <f>+E25+E26</f>
        <v>350034838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18790545</v>
      </c>
      <c r="D28" s="51">
        <f>+D17</f>
        <v>24941775</v>
      </c>
      <c r="E28" s="51">
        <f>+E17</f>
        <v>21519190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124916000</v>
      </c>
      <c r="D31" s="51">
        <v>131224000</v>
      </c>
      <c r="E31" s="51">
        <v>124933000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138110000</v>
      </c>
      <c r="D32" s="51">
        <v>144810000</v>
      </c>
      <c r="E32" s="51">
        <v>138072000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-37694000</v>
      </c>
      <c r="D33" s="51">
        <f>+D32-C32</f>
        <v>6700000</v>
      </c>
      <c r="E33" s="51">
        <f>+E32-D32</f>
        <v>-6738000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0.78549999999999998</v>
      </c>
      <c r="D34" s="171">
        <f>IF(C32=0,0,+D33/C32)</f>
        <v>4.8512055607848818E-2</v>
      </c>
      <c r="E34" s="171">
        <f>IF(D32=0,0,+E33/D32)</f>
        <v>-4.6529935777915893E-2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0.35856913838822096</v>
      </c>
      <c r="D38" s="172">
        <f>IF((D40+D41)=0,0,+D39/(D40+D41))</f>
        <v>0.33031011970997298</v>
      </c>
      <c r="E38" s="172">
        <f>IF((E40+E41)=0,0,+E39/(E40+E41))</f>
        <v>0.31490664223429604</v>
      </c>
      <c r="F38" s="5"/>
    </row>
    <row r="39" spans="1:6" ht="24" customHeight="1" x14ac:dyDescent="0.2">
      <c r="A39" s="21">
        <v>2</v>
      </c>
      <c r="B39" s="48" t="s">
        <v>324</v>
      </c>
      <c r="C39" s="51">
        <v>305762315</v>
      </c>
      <c r="D39" s="51">
        <v>312521510</v>
      </c>
      <c r="E39" s="23">
        <v>328515648</v>
      </c>
      <c r="F39" s="5"/>
    </row>
    <row r="40" spans="1:6" ht="24" customHeight="1" x14ac:dyDescent="0.2">
      <c r="A40" s="21">
        <v>3</v>
      </c>
      <c r="B40" s="48" t="s">
        <v>325</v>
      </c>
      <c r="C40" s="51">
        <v>845270410</v>
      </c>
      <c r="D40" s="51">
        <v>938143113</v>
      </c>
      <c r="E40" s="23">
        <v>1033672371</v>
      </c>
      <c r="F40" s="5"/>
    </row>
    <row r="41" spans="1:6" ht="24" customHeight="1" x14ac:dyDescent="0.2">
      <c r="A41" s="21">
        <v>4</v>
      </c>
      <c r="B41" s="48" t="s">
        <v>326</v>
      </c>
      <c r="C41" s="51">
        <v>7458624</v>
      </c>
      <c r="D41" s="51">
        <v>8002619</v>
      </c>
      <c r="E41" s="23">
        <v>9543630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1.3072518556099981</v>
      </c>
      <c r="D43" s="173">
        <f>IF(D38=0,0,IF((D46-D47)=0,0,((+D44-D45)/(D46-D47)/D38)))</f>
        <v>1.3917006280127098</v>
      </c>
      <c r="E43" s="173">
        <f>IF(E38=0,0,IF((E46-E47)=0,0,((+E44-E45)/(E46-E47)/E38)))</f>
        <v>1.40306399866279</v>
      </c>
      <c r="F43" s="5"/>
    </row>
    <row r="44" spans="1:6" ht="24" customHeight="1" x14ac:dyDescent="0.2">
      <c r="A44" s="21">
        <v>6</v>
      </c>
      <c r="B44" s="48" t="s">
        <v>328</v>
      </c>
      <c r="C44" s="51">
        <v>170868829</v>
      </c>
      <c r="D44" s="51">
        <v>181501628</v>
      </c>
      <c r="E44" s="23">
        <v>183105943</v>
      </c>
      <c r="F44" s="5"/>
    </row>
    <row r="45" spans="1:6" ht="24" customHeight="1" x14ac:dyDescent="0.2">
      <c r="A45" s="21">
        <v>7</v>
      </c>
      <c r="B45" s="48" t="s">
        <v>329</v>
      </c>
      <c r="C45" s="51">
        <v>4529416</v>
      </c>
      <c r="D45" s="51">
        <v>6557339</v>
      </c>
      <c r="E45" s="23">
        <v>8137253</v>
      </c>
      <c r="F45" s="5"/>
    </row>
    <row r="46" spans="1:6" ht="24" customHeight="1" x14ac:dyDescent="0.2">
      <c r="A46" s="21">
        <v>8</v>
      </c>
      <c r="B46" s="48" t="s">
        <v>330</v>
      </c>
      <c r="C46" s="51">
        <v>379871003</v>
      </c>
      <c r="D46" s="51">
        <v>401833456</v>
      </c>
      <c r="E46" s="23">
        <v>416222085</v>
      </c>
      <c r="F46" s="5"/>
    </row>
    <row r="47" spans="1:6" ht="24" customHeight="1" x14ac:dyDescent="0.2">
      <c r="A47" s="21">
        <v>9</v>
      </c>
      <c r="B47" s="48" t="s">
        <v>331</v>
      </c>
      <c r="C47" s="51">
        <v>25006148</v>
      </c>
      <c r="D47" s="51">
        <v>21265632</v>
      </c>
      <c r="E47" s="174">
        <v>20216749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0.85901657377476648</v>
      </c>
      <c r="D49" s="175">
        <f>IF(D38=0,0,IF(D51=0,0,(D50/D51)/D38))</f>
        <v>0.81668339559159497</v>
      </c>
      <c r="E49" s="175">
        <f>IF(E38=0,0,IF(E51=0,0,(E50/E51)/E38))</f>
        <v>0.7615533057453775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115967991</v>
      </c>
      <c r="D50" s="176">
        <v>112560921</v>
      </c>
      <c r="E50" s="176">
        <v>114384581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376498875</v>
      </c>
      <c r="D51" s="176">
        <v>417265072</v>
      </c>
      <c r="E51" s="176">
        <v>476963732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0.66678817153894576</v>
      </c>
      <c r="D53" s="175">
        <f>IF(D38=0,0,IF(D55=0,0,(D54/D55)/D38))</f>
        <v>0.84175886048413018</v>
      </c>
      <c r="E53" s="175">
        <f>IF(E38=0,0,IF(E55=0,0,(E54/E55)/E38))</f>
        <v>0.74749962255055902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15453493</v>
      </c>
      <c r="D54" s="176">
        <v>27521859</v>
      </c>
      <c r="E54" s="176">
        <v>32272046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64634719</v>
      </c>
      <c r="D55" s="176">
        <v>98984727</v>
      </c>
      <c r="E55" s="176">
        <v>137098815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8817506.2711067256</v>
      </c>
      <c r="D57" s="53">
        <f>+D60*D38</f>
        <v>7061632.9963252116</v>
      </c>
      <c r="E57" s="53">
        <f>+E60*E38</f>
        <v>6432546.3362306384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7535167</v>
      </c>
      <c r="D58" s="51">
        <v>9520361</v>
      </c>
      <c r="E58" s="52">
        <v>6856094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17055645</v>
      </c>
      <c r="D59" s="51">
        <v>11858436</v>
      </c>
      <c r="E59" s="52">
        <v>13570742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24590812</v>
      </c>
      <c r="D60" s="51">
        <v>21378797</v>
      </c>
      <c r="E60" s="52">
        <v>20426836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2.8837779669174488E-2</v>
      </c>
      <c r="D62" s="178">
        <f>IF(D63=0,0,+D57/D63)</f>
        <v>2.2595670283063755E-2</v>
      </c>
      <c r="E62" s="178">
        <f>IF(E63=0,0,+E57/E63)</f>
        <v>1.9580639081857795E-2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305762315</v>
      </c>
      <c r="D63" s="176">
        <v>312521510</v>
      </c>
      <c r="E63" s="176">
        <v>328515648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2.1691394095772938</v>
      </c>
      <c r="D67" s="179">
        <f>IF(D69=0,0,D68/D69)</f>
        <v>2.2145083441679878</v>
      </c>
      <c r="E67" s="179">
        <f>IF(E69=0,0,E68/E69)</f>
        <v>1.9710718785280692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114331000</v>
      </c>
      <c r="D68" s="180">
        <v>124338000</v>
      </c>
      <c r="E68" s="180">
        <v>120466000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52708000</v>
      </c>
      <c r="D69" s="180">
        <v>56147000</v>
      </c>
      <c r="E69" s="180">
        <v>61117000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85.6513092804107</v>
      </c>
      <c r="D71" s="181">
        <f>IF((D77/365)=0,0,+D74/(D77/365))</f>
        <v>97.326700869689418</v>
      </c>
      <c r="E71" s="181">
        <f>IF((E77/365)=0,0,+E74/(E77/365))</f>
        <v>79.841550166361273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47781000</v>
      </c>
      <c r="D72" s="182">
        <v>50099000</v>
      </c>
      <c r="E72" s="182">
        <v>56459000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19181000</v>
      </c>
      <c r="D73" s="184">
        <v>27573000</v>
      </c>
      <c r="E73" s="184">
        <v>10647000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66962000</v>
      </c>
      <c r="D74" s="180">
        <f>+D72+D73</f>
        <v>77672000</v>
      </c>
      <c r="E74" s="180">
        <f>+E72+E73</f>
        <v>67106000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305762315</v>
      </c>
      <c r="D75" s="180">
        <f>+D14</f>
        <v>312521510</v>
      </c>
      <c r="E75" s="180">
        <f>+E14</f>
        <v>328515648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20406140</v>
      </c>
      <c r="D76" s="180">
        <v>21231661</v>
      </c>
      <c r="E76" s="180">
        <v>21736910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285356175</v>
      </c>
      <c r="D77" s="180">
        <f>+D75-D76</f>
        <v>291289849</v>
      </c>
      <c r="E77" s="180">
        <f>+E75-E76</f>
        <v>306778738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44.807119900822499</v>
      </c>
      <c r="D79" s="179">
        <f>IF((D84/365)=0,0,+D83/(D84/365))</f>
        <v>43.320861969619038</v>
      </c>
      <c r="E79" s="179">
        <f>IF((E84/365)=0,0,+E83/(E84/365))</f>
        <v>46.428395913872968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39081000</v>
      </c>
      <c r="D80" s="189">
        <v>38248000</v>
      </c>
      <c r="E80" s="189">
        <v>42961000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334000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66000</v>
      </c>
      <c r="D82" s="190">
        <v>0</v>
      </c>
      <c r="E82" s="190">
        <v>207000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39015000</v>
      </c>
      <c r="D83" s="191">
        <f>+D80+D81-D82</f>
        <v>38582000</v>
      </c>
      <c r="E83" s="191">
        <f>+E80+E81-E82</f>
        <v>42754000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317817236</v>
      </c>
      <c r="D84" s="191">
        <f>+D11</f>
        <v>325072710</v>
      </c>
      <c r="E84" s="191">
        <f>+E11</f>
        <v>336113486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67.418972096889092</v>
      </c>
      <c r="D86" s="179">
        <f>IF((D90/365)=0,0,+D87/(D90/365))</f>
        <v>70.354854693202853</v>
      </c>
      <c r="E86" s="179">
        <f>IF((E90/365)=0,0,+E87/(E90/365))</f>
        <v>72.715942263247726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52708000</v>
      </c>
      <c r="D87" s="51">
        <f>+D69</f>
        <v>56147000</v>
      </c>
      <c r="E87" s="51">
        <f>+E69</f>
        <v>61117000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305762315</v>
      </c>
      <c r="D88" s="51">
        <f t="shared" si="0"/>
        <v>312521510</v>
      </c>
      <c r="E88" s="51">
        <f t="shared" si="0"/>
        <v>328515648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20406140</v>
      </c>
      <c r="D89" s="52">
        <f t="shared" si="0"/>
        <v>21231661</v>
      </c>
      <c r="E89" s="52">
        <f t="shared" si="0"/>
        <v>21736910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285356175</v>
      </c>
      <c r="D90" s="51">
        <f>+D88-D89</f>
        <v>291289849</v>
      </c>
      <c r="E90" s="51">
        <f>+E88-E89</f>
        <v>306778738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36.891113651661982</v>
      </c>
      <c r="D94" s="192">
        <f>IF(D96=0,0,(D95/D96)*100)</f>
        <v>36.912323990334123</v>
      </c>
      <c r="E94" s="192">
        <f>IF(E96=0,0,(E95/E96)*100)</f>
        <v>34.292867326004774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138110000</v>
      </c>
      <c r="D95" s="51">
        <f>+D32</f>
        <v>144810000</v>
      </c>
      <c r="E95" s="51">
        <f>+E32</f>
        <v>138072000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374372000</v>
      </c>
      <c r="D96" s="51">
        <v>392308000</v>
      </c>
      <c r="E96" s="51">
        <v>402626000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30.47408706063457</v>
      </c>
      <c r="D98" s="192">
        <f>IF(D104=0,0,(D101/D104)*100)</f>
        <v>36.86531309631215</v>
      </c>
      <c r="E98" s="192">
        <f>IF(E104=0,0,(E101/E104)*100)</f>
        <v>33.887017422913011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18790545</v>
      </c>
      <c r="D99" s="51">
        <f>+D28</f>
        <v>24941775</v>
      </c>
      <c r="E99" s="51">
        <f>+E28</f>
        <v>21519190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20406140</v>
      </c>
      <c r="D100" s="52">
        <f>+D76</f>
        <v>21231661</v>
      </c>
      <c r="E100" s="52">
        <f>+E76</f>
        <v>21736910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39196685</v>
      </c>
      <c r="D101" s="51">
        <f>+D99+D100</f>
        <v>46173436</v>
      </c>
      <c r="E101" s="51">
        <f>+E99+E100</f>
        <v>43256100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52708000</v>
      </c>
      <c r="D102" s="180">
        <f>+D69</f>
        <v>56147000</v>
      </c>
      <c r="E102" s="180">
        <f>+E69</f>
        <v>61117000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75915000</v>
      </c>
      <c r="D103" s="194">
        <v>69102000</v>
      </c>
      <c r="E103" s="194">
        <v>66531000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128623000</v>
      </c>
      <c r="D104" s="180">
        <f>+D102+D103</f>
        <v>125249000</v>
      </c>
      <c r="E104" s="180">
        <f>+E102+E103</f>
        <v>127648000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35.470155355682749</v>
      </c>
      <c r="D106" s="197">
        <f>IF(D109=0,0,(D107/D109)*100)</f>
        <v>32.303938067990572</v>
      </c>
      <c r="E106" s="197">
        <f>IF(E109=0,0,(E107/E109)*100)</f>
        <v>32.517118517323794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75915000</v>
      </c>
      <c r="D107" s="180">
        <f>+D103</f>
        <v>69102000</v>
      </c>
      <c r="E107" s="180">
        <f>+E103</f>
        <v>66531000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138110000</v>
      </c>
      <c r="D108" s="180">
        <f>+D32</f>
        <v>144810000</v>
      </c>
      <c r="E108" s="180">
        <f>+E32</f>
        <v>138072000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214025000</v>
      </c>
      <c r="D109" s="180">
        <f>+D107+D108</f>
        <v>213912000</v>
      </c>
      <c r="E109" s="180">
        <f>+E107+E108</f>
        <v>204603000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4.9263670490710227</v>
      </c>
      <c r="D111" s="197">
        <f>IF((+D113+D115)=0,0,((+D112+D113+D114)/(+D113+D115)))</f>
        <v>4.6954155371741537</v>
      </c>
      <c r="E111" s="197">
        <f>IF((+E113+E115)=0,0,((+E112+E113+E114)/(+E113+E115)))</f>
        <v>6.9930415982126046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18790545</v>
      </c>
      <c r="D112" s="180">
        <f>+D17</f>
        <v>24941775</v>
      </c>
      <c r="E112" s="180">
        <f>+E17</f>
        <v>21519190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3974237</v>
      </c>
      <c r="D113" s="180">
        <v>3718716</v>
      </c>
      <c r="E113" s="180">
        <v>3242228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20406140</v>
      </c>
      <c r="D114" s="180">
        <v>21231661</v>
      </c>
      <c r="E114" s="180">
        <v>21736910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4789000</v>
      </c>
      <c r="D115" s="180">
        <v>6907000</v>
      </c>
      <c r="E115" s="180">
        <v>3407000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10.577355639038053</v>
      </c>
      <c r="D119" s="197">
        <f>IF(+D121=0,0,(+D120)/(+D121))</f>
        <v>11.158382756770655</v>
      </c>
      <c r="E119" s="197">
        <f>IF(+E121=0,0,(+E120)/(+E121))</f>
        <v>11.881863613549488</v>
      </c>
    </row>
    <row r="120" spans="1:8" ht="24" customHeight="1" x14ac:dyDescent="0.25">
      <c r="A120" s="17">
        <v>21</v>
      </c>
      <c r="B120" s="48" t="s">
        <v>369</v>
      </c>
      <c r="C120" s="180">
        <v>215843000</v>
      </c>
      <c r="D120" s="180">
        <v>236911000</v>
      </c>
      <c r="E120" s="180">
        <v>258275000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20406140</v>
      </c>
      <c r="D121" s="180">
        <v>21231661</v>
      </c>
      <c r="E121" s="180">
        <v>21736910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57628</v>
      </c>
      <c r="D124" s="198">
        <v>57829</v>
      </c>
      <c r="E124" s="198">
        <v>59935</v>
      </c>
    </row>
    <row r="125" spans="1:8" ht="24" customHeight="1" x14ac:dyDescent="0.2">
      <c r="A125" s="44">
        <v>2</v>
      </c>
      <c r="B125" s="48" t="s">
        <v>373</v>
      </c>
      <c r="C125" s="198">
        <v>13964</v>
      </c>
      <c r="D125" s="198">
        <v>13918</v>
      </c>
      <c r="E125" s="198">
        <v>13855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4.1268977370380977</v>
      </c>
      <c r="D126" s="199">
        <f>IF(D125=0,0,D124/D125)</f>
        <v>4.1549791636729418</v>
      </c>
      <c r="E126" s="199">
        <f>IF(E125=0,0,E124/E125)</f>
        <v>4.3258751353302056</v>
      </c>
    </row>
    <row r="127" spans="1:8" ht="24" customHeight="1" x14ac:dyDescent="0.2">
      <c r="A127" s="44">
        <v>4</v>
      </c>
      <c r="B127" s="48" t="s">
        <v>375</v>
      </c>
      <c r="C127" s="198">
        <v>176</v>
      </c>
      <c r="D127" s="198">
        <v>178</v>
      </c>
      <c r="E127" s="198">
        <v>183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214</v>
      </c>
      <c r="E128" s="198">
        <v>248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297</v>
      </c>
      <c r="D129" s="198">
        <v>297</v>
      </c>
      <c r="E129" s="198">
        <v>297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0.89700000000000002</v>
      </c>
      <c r="D130" s="171">
        <v>0.89</v>
      </c>
      <c r="E130" s="171">
        <v>0.8972</v>
      </c>
    </row>
    <row r="131" spans="1:8" ht="24" customHeight="1" x14ac:dyDescent="0.2">
      <c r="A131" s="44">
        <v>7</v>
      </c>
      <c r="B131" s="48" t="s">
        <v>379</v>
      </c>
      <c r="C131" s="171">
        <v>0.73770000000000002</v>
      </c>
      <c r="D131" s="171">
        <v>0.74029999999999996</v>
      </c>
      <c r="E131" s="171">
        <v>0.66210000000000002</v>
      </c>
    </row>
    <row r="132" spans="1:8" ht="24" customHeight="1" x14ac:dyDescent="0.2">
      <c r="A132" s="44">
        <v>8</v>
      </c>
      <c r="B132" s="48" t="s">
        <v>380</v>
      </c>
      <c r="C132" s="199">
        <v>1977</v>
      </c>
      <c r="D132" s="199">
        <v>2021</v>
      </c>
      <c r="E132" s="199">
        <v>2056.6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0.41982405961661429</v>
      </c>
      <c r="D135" s="203">
        <f>IF(D149=0,0,D143/D149)</f>
        <v>0.405660734195466</v>
      </c>
      <c r="E135" s="203">
        <f>IF(E149=0,0,E143/E149)</f>
        <v>0.38310527311172565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0.4454182597022413</v>
      </c>
      <c r="D136" s="203">
        <f>IF(D149=0,0,D144/D149)</f>
        <v>0.4447776317044711</v>
      </c>
      <c r="E136" s="203">
        <f>IF(E149=0,0,E144/E149)</f>
        <v>0.46142641070939489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7.6466321588141248E-2</v>
      </c>
      <c r="D137" s="203">
        <f>IF(D149=0,0,D145/D149)</f>
        <v>0.1055113293785913</v>
      </c>
      <c r="E137" s="203">
        <f>IF(E149=0,0,E145/E149)</f>
        <v>0.13263275564516369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2.588094619330162E-2</v>
      </c>
      <c r="D138" s="203">
        <f>IF(D149=0,0,D146/D149)</f>
        <v>1.8360658156854157E-2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2.9583607451726602E-2</v>
      </c>
      <c r="D139" s="203">
        <f>IF(D149=0,0,D147/D149)</f>
        <v>2.266779098553165E-2</v>
      </c>
      <c r="E139" s="203">
        <f>IF(E149=0,0,E147/E149)</f>
        <v>1.9558178749076772E-2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2.8268054479749266E-3</v>
      </c>
      <c r="D140" s="203">
        <f>IF(D149=0,0,D148/D149)</f>
        <v>3.0218555790858317E-3</v>
      </c>
      <c r="E140" s="203">
        <f>IF(E149=0,0,E148/E149)</f>
        <v>3.2773817846389938E-3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354864855</v>
      </c>
      <c r="D143" s="205">
        <f>+D46-D147</f>
        <v>380567824</v>
      </c>
      <c r="E143" s="205">
        <f>+E46-E147</f>
        <v>396005336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376498875</v>
      </c>
      <c r="D144" s="205">
        <f>+D51</f>
        <v>417265072</v>
      </c>
      <c r="E144" s="205">
        <f>+E51</f>
        <v>476963732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64634719</v>
      </c>
      <c r="D145" s="205">
        <f>+D55</f>
        <v>98984727</v>
      </c>
      <c r="E145" s="205">
        <f>+E55</f>
        <v>137098815</v>
      </c>
    </row>
    <row r="146" spans="1:7" ht="20.100000000000001" customHeight="1" x14ac:dyDescent="0.2">
      <c r="A146" s="202">
        <v>11</v>
      </c>
      <c r="B146" s="201" t="s">
        <v>392</v>
      </c>
      <c r="C146" s="204">
        <v>21876398</v>
      </c>
      <c r="D146" s="205">
        <v>17224925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25006148</v>
      </c>
      <c r="D147" s="205">
        <f>+D47</f>
        <v>21265632</v>
      </c>
      <c r="E147" s="205">
        <f>+E47</f>
        <v>20216749</v>
      </c>
    </row>
    <row r="148" spans="1:7" ht="20.100000000000001" customHeight="1" x14ac:dyDescent="0.2">
      <c r="A148" s="202">
        <v>13</v>
      </c>
      <c r="B148" s="201" t="s">
        <v>394</v>
      </c>
      <c r="C148" s="206">
        <v>2389415</v>
      </c>
      <c r="D148" s="205">
        <v>2834933</v>
      </c>
      <c r="E148" s="205">
        <v>3387739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845270410</v>
      </c>
      <c r="D149" s="205">
        <f>SUM(D143:D148)</f>
        <v>938143113</v>
      </c>
      <c r="E149" s="205">
        <f>SUM(E143:E148)</f>
        <v>1033672371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0.54385285192763277</v>
      </c>
      <c r="D152" s="203">
        <f>IF(D166=0,0,D160/D166)</f>
        <v>0.54293756363955026</v>
      </c>
      <c r="E152" s="203">
        <f>IF(E166=0,0,E160/E166)</f>
        <v>0.52932676630853015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0.37916162802418962</v>
      </c>
      <c r="D153" s="203">
        <f>IF(D166=0,0,D161/D166)</f>
        <v>0.34933150752216835</v>
      </c>
      <c r="E153" s="203">
        <f>IF(E166=0,0,E161/E166)</f>
        <v>0.34604374289072026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5.0525765894663281E-2</v>
      </c>
      <c r="D154" s="203">
        <f>IF(D166=0,0,D162/D166)</f>
        <v>8.541376890726185E-2</v>
      </c>
      <c r="E154" s="203">
        <f>IF(E166=0,0,E162/E166)</f>
        <v>9.763151196559873E-2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8.8722317317248434E-3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1.4809092834580647E-2</v>
      </c>
      <c r="D156" s="203">
        <f>IF(D166=0,0,D164/D166)</f>
        <v>2.0350625224574235E-2</v>
      </c>
      <c r="E156" s="203">
        <f>IF(E166=0,0,E164/E166)</f>
        <v>2.461735192236043E-2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2.7784295872087684E-3</v>
      </c>
      <c r="D157" s="203">
        <f>IF(D166=0,0,D165/D166)</f>
        <v>1.9665347064452728E-3</v>
      </c>
      <c r="E157" s="203">
        <f>IF(E166=0,0,E165/E166)</f>
        <v>2.38062691279038E-3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0.99999999999999989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166339413</v>
      </c>
      <c r="D160" s="208">
        <f>+D44-D164</f>
        <v>174944289</v>
      </c>
      <c r="E160" s="208">
        <f>+E44-E164</f>
        <v>174968690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115967991</v>
      </c>
      <c r="D161" s="208">
        <f>+D50</f>
        <v>112560921</v>
      </c>
      <c r="E161" s="208">
        <f>+E50</f>
        <v>114384581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15453493</v>
      </c>
      <c r="D162" s="208">
        <f>+D54</f>
        <v>27521859</v>
      </c>
      <c r="E162" s="208">
        <f>+E54</f>
        <v>32272046</v>
      </c>
    </row>
    <row r="163" spans="1:6" ht="20.100000000000001" customHeight="1" x14ac:dyDescent="0.2">
      <c r="A163" s="202">
        <v>11</v>
      </c>
      <c r="B163" s="201" t="s">
        <v>408</v>
      </c>
      <c r="C163" s="207">
        <v>2713605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4529416</v>
      </c>
      <c r="D164" s="208">
        <f>+D45</f>
        <v>6557339</v>
      </c>
      <c r="E164" s="208">
        <f>+E45</f>
        <v>8137253</v>
      </c>
    </row>
    <row r="165" spans="1:6" ht="20.100000000000001" customHeight="1" x14ac:dyDescent="0.2">
      <c r="A165" s="202">
        <v>13</v>
      </c>
      <c r="B165" s="201" t="s">
        <v>410</v>
      </c>
      <c r="C165" s="209">
        <v>849793</v>
      </c>
      <c r="D165" s="208">
        <v>633653</v>
      </c>
      <c r="E165" s="208">
        <v>786915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305853711</v>
      </c>
      <c r="D166" s="208">
        <f>SUM(D160:D165)</f>
        <v>322218061</v>
      </c>
      <c r="E166" s="208">
        <f>SUM(E160:E165)</f>
        <v>330549485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4892</v>
      </c>
      <c r="D169" s="198">
        <v>4717</v>
      </c>
      <c r="E169" s="198">
        <v>4406</v>
      </c>
    </row>
    <row r="170" spans="1:6" ht="20.100000000000001" customHeight="1" x14ac:dyDescent="0.2">
      <c r="A170" s="202">
        <v>2</v>
      </c>
      <c r="B170" s="201" t="s">
        <v>414</v>
      </c>
      <c r="C170" s="198">
        <v>7401</v>
      </c>
      <c r="D170" s="198">
        <v>7204</v>
      </c>
      <c r="E170" s="198">
        <v>7373</v>
      </c>
    </row>
    <row r="171" spans="1:6" ht="20.100000000000001" customHeight="1" x14ac:dyDescent="0.2">
      <c r="A171" s="202">
        <v>3</v>
      </c>
      <c r="B171" s="201" t="s">
        <v>415</v>
      </c>
      <c r="C171" s="198">
        <v>1635</v>
      </c>
      <c r="D171" s="198">
        <v>1954</v>
      </c>
      <c r="E171" s="198">
        <v>2028</v>
      </c>
    </row>
    <row r="172" spans="1:6" ht="20.100000000000001" customHeight="1" x14ac:dyDescent="0.2">
      <c r="A172" s="202">
        <v>4</v>
      </c>
      <c r="B172" s="201" t="s">
        <v>416</v>
      </c>
      <c r="C172" s="198">
        <v>1313</v>
      </c>
      <c r="D172" s="198">
        <v>1665</v>
      </c>
      <c r="E172" s="198">
        <v>2028</v>
      </c>
    </row>
    <row r="173" spans="1:6" ht="20.100000000000001" customHeight="1" x14ac:dyDescent="0.2">
      <c r="A173" s="202">
        <v>5</v>
      </c>
      <c r="B173" s="201" t="s">
        <v>417</v>
      </c>
      <c r="C173" s="198">
        <v>322</v>
      </c>
      <c r="D173" s="198">
        <v>289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36</v>
      </c>
      <c r="D174" s="198">
        <v>43</v>
      </c>
      <c r="E174" s="198">
        <v>48</v>
      </c>
    </row>
    <row r="175" spans="1:6" ht="20.100000000000001" customHeight="1" x14ac:dyDescent="0.2">
      <c r="A175" s="202">
        <v>7</v>
      </c>
      <c r="B175" s="201" t="s">
        <v>419</v>
      </c>
      <c r="C175" s="198">
        <v>350</v>
      </c>
      <c r="D175" s="198">
        <v>242</v>
      </c>
      <c r="E175" s="198">
        <v>201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13964</v>
      </c>
      <c r="D176" s="198">
        <f>+D169+D170+D171+D174</f>
        <v>13918</v>
      </c>
      <c r="E176" s="198">
        <f>+E169+E170+E171+E174</f>
        <v>13855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1.0563899999999999</v>
      </c>
      <c r="D179" s="210">
        <v>1.06819</v>
      </c>
      <c r="E179" s="210">
        <v>1.1259999999999999</v>
      </c>
    </row>
    <row r="180" spans="1:6" ht="20.100000000000001" customHeight="1" x14ac:dyDescent="0.2">
      <c r="A180" s="202">
        <v>2</v>
      </c>
      <c r="B180" s="201" t="s">
        <v>414</v>
      </c>
      <c r="C180" s="210">
        <v>1.3290299999999999</v>
      </c>
      <c r="D180" s="210">
        <v>1.3468100000000001</v>
      </c>
      <c r="E180" s="210">
        <v>1.3360000000000001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0.87196700000000005</v>
      </c>
      <c r="D181" s="210">
        <v>0.87055199999999999</v>
      </c>
      <c r="E181" s="210">
        <v>0.96599999999999997</v>
      </c>
    </row>
    <row r="182" spans="1:6" ht="20.100000000000001" customHeight="1" x14ac:dyDescent="0.2">
      <c r="A182" s="202">
        <v>4</v>
      </c>
      <c r="B182" s="201" t="s">
        <v>416</v>
      </c>
      <c r="C182" s="210">
        <v>0.84101000000000004</v>
      </c>
      <c r="D182" s="210">
        <v>0.83089000000000002</v>
      </c>
      <c r="E182" s="210">
        <v>0.96599999999999997</v>
      </c>
    </row>
    <row r="183" spans="1:6" ht="20.100000000000001" customHeight="1" x14ac:dyDescent="0.2">
      <c r="A183" s="202">
        <v>5</v>
      </c>
      <c r="B183" s="201" t="s">
        <v>417</v>
      </c>
      <c r="C183" s="210">
        <v>0.99819999999999998</v>
      </c>
      <c r="D183" s="210">
        <v>1.0990599999999999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0.97050999999999998</v>
      </c>
      <c r="D184" s="210">
        <v>0.81688000000000005</v>
      </c>
      <c r="E184" s="210">
        <v>0.876</v>
      </c>
    </row>
    <row r="185" spans="1:6" ht="20.100000000000001" customHeight="1" x14ac:dyDescent="0.2">
      <c r="A185" s="202">
        <v>7</v>
      </c>
      <c r="B185" s="201" t="s">
        <v>419</v>
      </c>
      <c r="C185" s="210">
        <v>1.0072399999999999</v>
      </c>
      <c r="D185" s="210">
        <v>1.0543800000000001</v>
      </c>
      <c r="E185" s="210">
        <v>1.08</v>
      </c>
    </row>
    <row r="186" spans="1:6" ht="20.100000000000001" customHeight="1" x14ac:dyDescent="0.2">
      <c r="A186" s="202">
        <v>8</v>
      </c>
      <c r="B186" s="201" t="s">
        <v>423</v>
      </c>
      <c r="C186" s="210">
        <v>1.1790750000000001</v>
      </c>
      <c r="D186" s="210">
        <v>1.183881</v>
      </c>
      <c r="E186" s="210">
        <v>1.2134659999999999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8816</v>
      </c>
      <c r="D189" s="198">
        <v>8487</v>
      </c>
      <c r="E189" s="198">
        <v>8487</v>
      </c>
    </row>
    <row r="190" spans="1:6" ht="20.100000000000001" customHeight="1" x14ac:dyDescent="0.2">
      <c r="A190" s="202">
        <v>2</v>
      </c>
      <c r="B190" s="201" t="s">
        <v>427</v>
      </c>
      <c r="C190" s="198">
        <v>83476</v>
      </c>
      <c r="D190" s="198">
        <v>85981</v>
      </c>
      <c r="E190" s="198">
        <v>86806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92292</v>
      </c>
      <c r="D191" s="198">
        <f>+D190+D189</f>
        <v>94468</v>
      </c>
      <c r="E191" s="198">
        <f>+E190+E189</f>
        <v>95293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FILING&amp;RMIDDLESEX HOSPITAL</oddHeader>
    <oddFooter>&amp;L&amp;8REPORT 185&amp;C&amp;8PAGE &amp;P of &amp;N&amp;R&amp;D, &amp;T</oddFooter>
  </headerFooter>
  <rowBreaks count="3" manualBreakCount="3">
    <brk id="42" max="4" man="1"/>
    <brk id="110" max="4" man="1"/>
    <brk id="14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0</v>
      </c>
      <c r="D40" s="237">
        <v>0</v>
      </c>
      <c r="E40" s="237">
        <f t="shared" ref="E40:E50" si="4">D40-C40</f>
        <v>0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436</v>
      </c>
      <c r="C42" s="237">
        <v>0</v>
      </c>
      <c r="D42" s="237">
        <v>0</v>
      </c>
      <c r="E42" s="237">
        <f t="shared" si="4"/>
        <v>0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437</v>
      </c>
      <c r="C43" s="237">
        <v>0</v>
      </c>
      <c r="D43" s="237">
        <v>0</v>
      </c>
      <c r="E43" s="237">
        <f t="shared" si="4"/>
        <v>0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373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372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439</v>
      </c>
      <c r="C47" s="239">
        <v>0</v>
      </c>
      <c r="D47" s="239">
        <v>0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0</v>
      </c>
      <c r="D49" s="243">
        <f>+D40+D42</f>
        <v>0</v>
      </c>
      <c r="E49" s="243">
        <f t="shared" si="4"/>
        <v>0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0</v>
      </c>
      <c r="D50" s="243">
        <f>+D41+D43</f>
        <v>0</v>
      </c>
      <c r="E50" s="243">
        <f t="shared" si="4"/>
        <v>0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15538525</v>
      </c>
      <c r="D53" s="237">
        <v>6505253</v>
      </c>
      <c r="E53" s="237">
        <f t="shared" ref="E53:E63" si="6">D53-C53</f>
        <v>-9033272</v>
      </c>
      <c r="F53" s="238">
        <f t="shared" ref="F53:F63" si="7">IF(C53=0,0,E53/C53)</f>
        <v>-0.5813468138063298</v>
      </c>
    </row>
    <row r="54" spans="1:6" ht="20.25" customHeight="1" x14ac:dyDescent="0.3">
      <c r="A54" s="235">
        <v>2</v>
      </c>
      <c r="B54" s="236" t="s">
        <v>435</v>
      </c>
      <c r="C54" s="237">
        <v>4285360</v>
      </c>
      <c r="D54" s="237">
        <v>1707890</v>
      </c>
      <c r="E54" s="237">
        <f t="shared" si="6"/>
        <v>-2577470</v>
      </c>
      <c r="F54" s="238">
        <f t="shared" si="7"/>
        <v>-0.60145938730935089</v>
      </c>
    </row>
    <row r="55" spans="1:6" ht="20.25" customHeight="1" x14ac:dyDescent="0.3">
      <c r="A55" s="235">
        <v>3</v>
      </c>
      <c r="B55" s="236" t="s">
        <v>436</v>
      </c>
      <c r="C55" s="237">
        <v>17106758</v>
      </c>
      <c r="D55" s="237">
        <v>5380032</v>
      </c>
      <c r="E55" s="237">
        <f t="shared" si="6"/>
        <v>-11726726</v>
      </c>
      <c r="F55" s="238">
        <f t="shared" si="7"/>
        <v>-0.68550253648295023</v>
      </c>
    </row>
    <row r="56" spans="1:6" ht="20.25" customHeight="1" x14ac:dyDescent="0.3">
      <c r="A56" s="235">
        <v>4</v>
      </c>
      <c r="B56" s="236" t="s">
        <v>437</v>
      </c>
      <c r="C56" s="237">
        <v>3250967</v>
      </c>
      <c r="D56" s="237">
        <v>1047232</v>
      </c>
      <c r="E56" s="237">
        <f t="shared" si="6"/>
        <v>-2203735</v>
      </c>
      <c r="F56" s="238">
        <f t="shared" si="7"/>
        <v>-0.67787061511236502</v>
      </c>
    </row>
    <row r="57" spans="1:6" ht="20.25" customHeight="1" x14ac:dyDescent="0.3">
      <c r="A57" s="235">
        <v>5</v>
      </c>
      <c r="B57" s="236" t="s">
        <v>373</v>
      </c>
      <c r="C57" s="239">
        <v>463</v>
      </c>
      <c r="D57" s="239">
        <v>134</v>
      </c>
      <c r="E57" s="239">
        <f t="shared" si="6"/>
        <v>-329</v>
      </c>
      <c r="F57" s="238">
        <f t="shared" si="7"/>
        <v>-0.71058315334773214</v>
      </c>
    </row>
    <row r="58" spans="1:6" ht="20.25" customHeight="1" x14ac:dyDescent="0.3">
      <c r="A58" s="235">
        <v>6</v>
      </c>
      <c r="B58" s="236" t="s">
        <v>372</v>
      </c>
      <c r="C58" s="239">
        <v>2034</v>
      </c>
      <c r="D58" s="239">
        <v>679</v>
      </c>
      <c r="E58" s="239">
        <f t="shared" si="6"/>
        <v>-1355</v>
      </c>
      <c r="F58" s="238">
        <f t="shared" si="7"/>
        <v>-0.6661750245821042</v>
      </c>
    </row>
    <row r="59" spans="1:6" ht="20.25" customHeight="1" x14ac:dyDescent="0.3">
      <c r="A59" s="235">
        <v>7</v>
      </c>
      <c r="B59" s="236" t="s">
        <v>438</v>
      </c>
      <c r="C59" s="239">
        <v>18919</v>
      </c>
      <c r="D59" s="239">
        <v>5621</v>
      </c>
      <c r="E59" s="239">
        <f t="shared" si="6"/>
        <v>-13298</v>
      </c>
      <c r="F59" s="238">
        <f t="shared" si="7"/>
        <v>-0.7028912733231143</v>
      </c>
    </row>
    <row r="60" spans="1:6" ht="20.25" customHeight="1" x14ac:dyDescent="0.3">
      <c r="A60" s="235">
        <v>8</v>
      </c>
      <c r="B60" s="236" t="s">
        <v>439</v>
      </c>
      <c r="C60" s="239">
        <v>1379</v>
      </c>
      <c r="D60" s="239">
        <v>464</v>
      </c>
      <c r="E60" s="239">
        <f t="shared" si="6"/>
        <v>-915</v>
      </c>
      <c r="F60" s="238">
        <f t="shared" si="7"/>
        <v>-0.66352429296591731</v>
      </c>
    </row>
    <row r="61" spans="1:6" ht="20.25" customHeight="1" x14ac:dyDescent="0.3">
      <c r="A61" s="235">
        <v>9</v>
      </c>
      <c r="B61" s="236" t="s">
        <v>440</v>
      </c>
      <c r="C61" s="239">
        <v>383</v>
      </c>
      <c r="D61" s="239">
        <v>104</v>
      </c>
      <c r="E61" s="239">
        <f t="shared" si="6"/>
        <v>-279</v>
      </c>
      <c r="F61" s="238">
        <f t="shared" si="7"/>
        <v>-0.72845953002610964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32645283</v>
      </c>
      <c r="D62" s="243">
        <f>+D53+D55</f>
        <v>11885285</v>
      </c>
      <c r="E62" s="243">
        <f t="shared" si="6"/>
        <v>-20759998</v>
      </c>
      <c r="F62" s="244">
        <f t="shared" si="7"/>
        <v>-0.63592642159052504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7536327</v>
      </c>
      <c r="D63" s="243">
        <f>+D54+D56</f>
        <v>2755122</v>
      </c>
      <c r="E63" s="243">
        <f t="shared" si="6"/>
        <v>-4781205</v>
      </c>
      <c r="F63" s="244">
        <f t="shared" si="7"/>
        <v>-0.63442111787346811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10735383</v>
      </c>
      <c r="D66" s="237">
        <v>30143433</v>
      </c>
      <c r="E66" s="237">
        <f t="shared" ref="E66:E76" si="8">D66-C66</f>
        <v>19408050</v>
      </c>
      <c r="F66" s="238">
        <f t="shared" ref="F66:F76" si="9">IF(C66=0,0,E66/C66)</f>
        <v>1.8078581826097868</v>
      </c>
    </row>
    <row r="67" spans="1:6" ht="20.25" customHeight="1" x14ac:dyDescent="0.3">
      <c r="A67" s="235">
        <v>2</v>
      </c>
      <c r="B67" s="236" t="s">
        <v>435</v>
      </c>
      <c r="C67" s="237">
        <v>2960705</v>
      </c>
      <c r="D67" s="237">
        <v>7913862</v>
      </c>
      <c r="E67" s="237">
        <f t="shared" si="8"/>
        <v>4953157</v>
      </c>
      <c r="F67" s="238">
        <f t="shared" si="9"/>
        <v>1.6729653916888039</v>
      </c>
    </row>
    <row r="68" spans="1:6" ht="20.25" customHeight="1" x14ac:dyDescent="0.3">
      <c r="A68" s="235">
        <v>3</v>
      </c>
      <c r="B68" s="236" t="s">
        <v>436</v>
      </c>
      <c r="C68" s="237">
        <v>11552672</v>
      </c>
      <c r="D68" s="237">
        <v>25510872</v>
      </c>
      <c r="E68" s="237">
        <f t="shared" si="8"/>
        <v>13958200</v>
      </c>
      <c r="F68" s="238">
        <f t="shared" si="9"/>
        <v>1.2082226518678969</v>
      </c>
    </row>
    <row r="69" spans="1:6" ht="20.25" customHeight="1" x14ac:dyDescent="0.3">
      <c r="A69" s="235">
        <v>4</v>
      </c>
      <c r="B69" s="236" t="s">
        <v>437</v>
      </c>
      <c r="C69" s="237">
        <v>2195470</v>
      </c>
      <c r="D69" s="237">
        <v>4965735</v>
      </c>
      <c r="E69" s="237">
        <f t="shared" si="8"/>
        <v>2770265</v>
      </c>
      <c r="F69" s="238">
        <f t="shared" si="9"/>
        <v>1.2618095441978254</v>
      </c>
    </row>
    <row r="70" spans="1:6" ht="20.25" customHeight="1" x14ac:dyDescent="0.3">
      <c r="A70" s="235">
        <v>5</v>
      </c>
      <c r="B70" s="236" t="s">
        <v>373</v>
      </c>
      <c r="C70" s="239">
        <v>306</v>
      </c>
      <c r="D70" s="239">
        <v>793</v>
      </c>
      <c r="E70" s="239">
        <f t="shared" si="8"/>
        <v>487</v>
      </c>
      <c r="F70" s="238">
        <f t="shared" si="9"/>
        <v>1.5915032679738561</v>
      </c>
    </row>
    <row r="71" spans="1:6" ht="20.25" customHeight="1" x14ac:dyDescent="0.3">
      <c r="A71" s="235">
        <v>6</v>
      </c>
      <c r="B71" s="236" t="s">
        <v>372</v>
      </c>
      <c r="C71" s="239">
        <v>1305</v>
      </c>
      <c r="D71" s="239">
        <v>3527</v>
      </c>
      <c r="E71" s="239">
        <f t="shared" si="8"/>
        <v>2222</v>
      </c>
      <c r="F71" s="238">
        <f t="shared" si="9"/>
        <v>1.7026819923371648</v>
      </c>
    </row>
    <row r="72" spans="1:6" ht="20.25" customHeight="1" x14ac:dyDescent="0.3">
      <c r="A72" s="235">
        <v>7</v>
      </c>
      <c r="B72" s="236" t="s">
        <v>438</v>
      </c>
      <c r="C72" s="239">
        <v>12776</v>
      </c>
      <c r="D72" s="239">
        <v>26655</v>
      </c>
      <c r="E72" s="239">
        <f t="shared" si="8"/>
        <v>13879</v>
      </c>
      <c r="F72" s="238">
        <f t="shared" si="9"/>
        <v>1.0863337507827175</v>
      </c>
    </row>
    <row r="73" spans="1:6" ht="20.25" customHeight="1" x14ac:dyDescent="0.3">
      <c r="A73" s="235">
        <v>8</v>
      </c>
      <c r="B73" s="236" t="s">
        <v>439</v>
      </c>
      <c r="C73" s="239">
        <v>932</v>
      </c>
      <c r="D73" s="239">
        <v>2199</v>
      </c>
      <c r="E73" s="239">
        <f t="shared" si="8"/>
        <v>1267</v>
      </c>
      <c r="F73" s="238">
        <f t="shared" si="9"/>
        <v>1.359442060085837</v>
      </c>
    </row>
    <row r="74" spans="1:6" ht="20.25" customHeight="1" x14ac:dyDescent="0.3">
      <c r="A74" s="235">
        <v>9</v>
      </c>
      <c r="B74" s="236" t="s">
        <v>440</v>
      </c>
      <c r="C74" s="239">
        <v>242</v>
      </c>
      <c r="D74" s="239">
        <v>665</v>
      </c>
      <c r="E74" s="239">
        <f t="shared" si="8"/>
        <v>423</v>
      </c>
      <c r="F74" s="238">
        <f t="shared" si="9"/>
        <v>1.7479338842975207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22288055</v>
      </c>
      <c r="D75" s="243">
        <f>+D66+D68</f>
        <v>55654305</v>
      </c>
      <c r="E75" s="243">
        <f t="shared" si="8"/>
        <v>33366250</v>
      </c>
      <c r="F75" s="244">
        <f t="shared" si="9"/>
        <v>1.497046287798554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5156175</v>
      </c>
      <c r="D76" s="243">
        <f>+D67+D69</f>
        <v>12879597</v>
      </c>
      <c r="E76" s="243">
        <f t="shared" si="8"/>
        <v>7723422</v>
      </c>
      <c r="F76" s="244">
        <f t="shared" si="9"/>
        <v>1.4978975694191916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0</v>
      </c>
      <c r="E120" s="237">
        <f t="shared" si="16"/>
        <v>0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0</v>
      </c>
      <c r="E121" s="237">
        <f t="shared" si="16"/>
        <v>0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0</v>
      </c>
      <c r="E124" s="239">
        <f t="shared" si="16"/>
        <v>0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0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0</v>
      </c>
      <c r="E127" s="243">
        <f t="shared" si="16"/>
        <v>0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0</v>
      </c>
      <c r="E128" s="243">
        <f t="shared" si="16"/>
        <v>0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26273908</v>
      </c>
      <c r="D198" s="243">
        <f t="shared" si="28"/>
        <v>36648686</v>
      </c>
      <c r="E198" s="243">
        <f t="shared" ref="E198:E208" si="29">D198-C198</f>
        <v>10374778</v>
      </c>
      <c r="F198" s="251">
        <f t="shared" ref="F198:F208" si="30">IF(C198=0,0,E198/C198)</f>
        <v>0.3948699980223726</v>
      </c>
    </row>
    <row r="199" spans="1:9" ht="20.25" customHeight="1" x14ac:dyDescent="0.3">
      <c r="A199" s="249"/>
      <c r="B199" s="250" t="s">
        <v>461</v>
      </c>
      <c r="C199" s="243">
        <f t="shared" si="28"/>
        <v>7246065</v>
      </c>
      <c r="D199" s="243">
        <f t="shared" si="28"/>
        <v>9621752</v>
      </c>
      <c r="E199" s="243">
        <f t="shared" si="29"/>
        <v>2375687</v>
      </c>
      <c r="F199" s="251">
        <f t="shared" si="30"/>
        <v>0.32785891376905946</v>
      </c>
    </row>
    <row r="200" spans="1:9" ht="20.25" customHeight="1" x14ac:dyDescent="0.3">
      <c r="A200" s="249"/>
      <c r="B200" s="250" t="s">
        <v>462</v>
      </c>
      <c r="C200" s="243">
        <f t="shared" si="28"/>
        <v>28659430</v>
      </c>
      <c r="D200" s="243">
        <f t="shared" si="28"/>
        <v>30890904</v>
      </c>
      <c r="E200" s="243">
        <f t="shared" si="29"/>
        <v>2231474</v>
      </c>
      <c r="F200" s="251">
        <f t="shared" si="30"/>
        <v>7.7861771849614597E-2</v>
      </c>
    </row>
    <row r="201" spans="1:9" ht="20.25" customHeight="1" x14ac:dyDescent="0.3">
      <c r="A201" s="249"/>
      <c r="B201" s="250" t="s">
        <v>463</v>
      </c>
      <c r="C201" s="243">
        <f t="shared" si="28"/>
        <v>5446437</v>
      </c>
      <c r="D201" s="243">
        <f t="shared" si="28"/>
        <v>6012967</v>
      </c>
      <c r="E201" s="243">
        <f t="shared" si="29"/>
        <v>566530</v>
      </c>
      <c r="F201" s="251">
        <f t="shared" si="30"/>
        <v>0.10401846197798671</v>
      </c>
    </row>
    <row r="202" spans="1:9" ht="20.25" customHeight="1" x14ac:dyDescent="0.3">
      <c r="A202" s="249"/>
      <c r="B202" s="250" t="s">
        <v>464</v>
      </c>
      <c r="C202" s="252">
        <f t="shared" si="28"/>
        <v>769</v>
      </c>
      <c r="D202" s="252">
        <f t="shared" si="28"/>
        <v>927</v>
      </c>
      <c r="E202" s="252">
        <f t="shared" si="29"/>
        <v>158</v>
      </c>
      <c r="F202" s="251">
        <f t="shared" si="30"/>
        <v>0.20546163849154747</v>
      </c>
    </row>
    <row r="203" spans="1:9" ht="20.25" customHeight="1" x14ac:dyDescent="0.3">
      <c r="A203" s="249"/>
      <c r="B203" s="250" t="s">
        <v>465</v>
      </c>
      <c r="C203" s="252">
        <f t="shared" si="28"/>
        <v>3339</v>
      </c>
      <c r="D203" s="252">
        <f t="shared" si="28"/>
        <v>4206</v>
      </c>
      <c r="E203" s="252">
        <f t="shared" si="29"/>
        <v>867</v>
      </c>
      <c r="F203" s="251">
        <f t="shared" si="30"/>
        <v>0.25965858041329737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31695</v>
      </c>
      <c r="D204" s="252">
        <f t="shared" si="28"/>
        <v>32276</v>
      </c>
      <c r="E204" s="252">
        <f t="shared" si="29"/>
        <v>581</v>
      </c>
      <c r="F204" s="251">
        <f t="shared" si="30"/>
        <v>1.833096702949992E-2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2311</v>
      </c>
      <c r="D205" s="252">
        <f t="shared" si="28"/>
        <v>2663</v>
      </c>
      <c r="E205" s="252">
        <f t="shared" si="29"/>
        <v>352</v>
      </c>
      <c r="F205" s="251">
        <f t="shared" si="30"/>
        <v>0.1523150151449589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625</v>
      </c>
      <c r="D206" s="252">
        <f t="shared" si="28"/>
        <v>769</v>
      </c>
      <c r="E206" s="252">
        <f t="shared" si="29"/>
        <v>144</v>
      </c>
      <c r="F206" s="251">
        <f t="shared" si="30"/>
        <v>0.23039999999999999</v>
      </c>
    </row>
    <row r="207" spans="1:9" ht="20.25" customHeight="1" x14ac:dyDescent="0.3">
      <c r="A207" s="249"/>
      <c r="B207" s="242" t="s">
        <v>469</v>
      </c>
      <c r="C207" s="243">
        <f>+C198+C200</f>
        <v>54933338</v>
      </c>
      <c r="D207" s="243">
        <f>+D198+D200</f>
        <v>67539590</v>
      </c>
      <c r="E207" s="243">
        <f t="shared" si="29"/>
        <v>12606252</v>
      </c>
      <c r="F207" s="251">
        <f t="shared" si="30"/>
        <v>0.22948272322355506</v>
      </c>
    </row>
    <row r="208" spans="1:9" ht="20.25" customHeight="1" x14ac:dyDescent="0.3">
      <c r="A208" s="249"/>
      <c r="B208" s="242" t="s">
        <v>470</v>
      </c>
      <c r="C208" s="243">
        <f>+C199+C201</f>
        <v>12692502</v>
      </c>
      <c r="D208" s="243">
        <f>+D199+D201</f>
        <v>15634719</v>
      </c>
      <c r="E208" s="243">
        <f t="shared" si="29"/>
        <v>2942217</v>
      </c>
      <c r="F208" s="251">
        <f t="shared" si="30"/>
        <v>0.23180748760173525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FILING&amp;RMIDDLESEX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277229</v>
      </c>
      <c r="D16" s="237">
        <v>297998</v>
      </c>
      <c r="E16" s="237">
        <f t="shared" si="0"/>
        <v>20769</v>
      </c>
      <c r="F16" s="238">
        <f t="shared" si="1"/>
        <v>7.4916404849420512E-2</v>
      </c>
    </row>
    <row r="17" spans="1:6" ht="20.25" customHeight="1" x14ac:dyDescent="0.3">
      <c r="A17" s="235">
        <v>4</v>
      </c>
      <c r="B17" s="236" t="s">
        <v>437</v>
      </c>
      <c r="C17" s="237">
        <v>87308</v>
      </c>
      <c r="D17" s="237">
        <v>86723</v>
      </c>
      <c r="E17" s="237">
        <f t="shared" si="0"/>
        <v>-585</v>
      </c>
      <c r="F17" s="238">
        <f t="shared" si="1"/>
        <v>-6.7004169148302565E-3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304</v>
      </c>
      <c r="D20" s="239">
        <v>292</v>
      </c>
      <c r="E20" s="239">
        <f t="shared" si="0"/>
        <v>-12</v>
      </c>
      <c r="F20" s="238">
        <f t="shared" si="1"/>
        <v>-3.9473684210526314E-2</v>
      </c>
    </row>
    <row r="21" spans="1:6" ht="20.25" customHeight="1" x14ac:dyDescent="0.3">
      <c r="A21" s="235">
        <v>8</v>
      </c>
      <c r="B21" s="236" t="s">
        <v>439</v>
      </c>
      <c r="C21" s="239">
        <v>94</v>
      </c>
      <c r="D21" s="239">
        <v>90</v>
      </c>
      <c r="E21" s="239">
        <f t="shared" si="0"/>
        <v>-4</v>
      </c>
      <c r="F21" s="238">
        <f t="shared" si="1"/>
        <v>-4.2553191489361701E-2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277229</v>
      </c>
      <c r="D23" s="243">
        <f>+D14+D16</f>
        <v>297998</v>
      </c>
      <c r="E23" s="243">
        <f t="shared" si="0"/>
        <v>20769</v>
      </c>
      <c r="F23" s="244">
        <f t="shared" si="1"/>
        <v>7.4916404849420512E-2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87308</v>
      </c>
      <c r="D24" s="243">
        <f>+D15+D17</f>
        <v>86723</v>
      </c>
      <c r="E24" s="243">
        <f t="shared" si="0"/>
        <v>-585</v>
      </c>
      <c r="F24" s="244">
        <f t="shared" si="1"/>
        <v>-6.7004169148302565E-3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9446604</v>
      </c>
      <c r="D26" s="237">
        <v>9312583</v>
      </c>
      <c r="E26" s="237">
        <f t="shared" ref="E26:E36" si="2">D26-C26</f>
        <v>-134021</v>
      </c>
      <c r="F26" s="238">
        <f t="shared" ref="F26:F36" si="3">IF(C26=0,0,E26/C26)</f>
        <v>-1.4187214791685986E-2</v>
      </c>
    </row>
    <row r="27" spans="1:6" ht="20.25" customHeight="1" x14ac:dyDescent="0.3">
      <c r="A27" s="235">
        <v>2</v>
      </c>
      <c r="B27" s="236" t="s">
        <v>435</v>
      </c>
      <c r="C27" s="237">
        <v>2310886</v>
      </c>
      <c r="D27" s="237">
        <v>2157016</v>
      </c>
      <c r="E27" s="237">
        <f t="shared" si="2"/>
        <v>-153870</v>
      </c>
      <c r="F27" s="238">
        <f t="shared" si="3"/>
        <v>-6.658485100519887E-2</v>
      </c>
    </row>
    <row r="28" spans="1:6" ht="20.25" customHeight="1" x14ac:dyDescent="0.3">
      <c r="A28" s="235">
        <v>3</v>
      </c>
      <c r="B28" s="236" t="s">
        <v>436</v>
      </c>
      <c r="C28" s="237">
        <v>18862736</v>
      </c>
      <c r="D28" s="237">
        <v>20646888</v>
      </c>
      <c r="E28" s="237">
        <f t="shared" si="2"/>
        <v>1784152</v>
      </c>
      <c r="F28" s="238">
        <f t="shared" si="3"/>
        <v>9.4586066411574646E-2</v>
      </c>
    </row>
    <row r="29" spans="1:6" ht="20.25" customHeight="1" x14ac:dyDescent="0.3">
      <c r="A29" s="235">
        <v>4</v>
      </c>
      <c r="B29" s="236" t="s">
        <v>437</v>
      </c>
      <c r="C29" s="237">
        <v>5940457</v>
      </c>
      <c r="D29" s="237">
        <v>6008619</v>
      </c>
      <c r="E29" s="237">
        <f t="shared" si="2"/>
        <v>68162</v>
      </c>
      <c r="F29" s="238">
        <f t="shared" si="3"/>
        <v>1.1474201395616532E-2</v>
      </c>
    </row>
    <row r="30" spans="1:6" ht="20.25" customHeight="1" x14ac:dyDescent="0.3">
      <c r="A30" s="235">
        <v>5</v>
      </c>
      <c r="B30" s="236" t="s">
        <v>373</v>
      </c>
      <c r="C30" s="239">
        <v>574</v>
      </c>
      <c r="D30" s="239">
        <v>531</v>
      </c>
      <c r="E30" s="239">
        <f t="shared" si="2"/>
        <v>-43</v>
      </c>
      <c r="F30" s="238">
        <f t="shared" si="3"/>
        <v>-7.4912891986062713E-2</v>
      </c>
    </row>
    <row r="31" spans="1:6" ht="20.25" customHeight="1" x14ac:dyDescent="0.3">
      <c r="A31" s="235">
        <v>6</v>
      </c>
      <c r="B31" s="236" t="s">
        <v>372</v>
      </c>
      <c r="C31" s="239">
        <v>1672</v>
      </c>
      <c r="D31" s="239">
        <v>1423</v>
      </c>
      <c r="E31" s="239">
        <f t="shared" si="2"/>
        <v>-249</v>
      </c>
      <c r="F31" s="238">
        <f t="shared" si="3"/>
        <v>-0.14892344497607657</v>
      </c>
    </row>
    <row r="32" spans="1:6" ht="20.25" customHeight="1" x14ac:dyDescent="0.3">
      <c r="A32" s="235">
        <v>7</v>
      </c>
      <c r="B32" s="236" t="s">
        <v>438</v>
      </c>
      <c r="C32" s="239">
        <v>20674</v>
      </c>
      <c r="D32" s="239">
        <v>20244</v>
      </c>
      <c r="E32" s="239">
        <f t="shared" si="2"/>
        <v>-430</v>
      </c>
      <c r="F32" s="238">
        <f t="shared" si="3"/>
        <v>-2.0799071297281611E-2</v>
      </c>
    </row>
    <row r="33" spans="1:6" ht="20.25" customHeight="1" x14ac:dyDescent="0.3">
      <c r="A33" s="235">
        <v>8</v>
      </c>
      <c r="B33" s="236" t="s">
        <v>439</v>
      </c>
      <c r="C33" s="239">
        <v>6362</v>
      </c>
      <c r="D33" s="239">
        <v>6223</v>
      </c>
      <c r="E33" s="239">
        <f t="shared" si="2"/>
        <v>-139</v>
      </c>
      <c r="F33" s="238">
        <f t="shared" si="3"/>
        <v>-2.1848475322225714E-2</v>
      </c>
    </row>
    <row r="34" spans="1:6" ht="20.25" customHeight="1" x14ac:dyDescent="0.3">
      <c r="A34" s="235">
        <v>9</v>
      </c>
      <c r="B34" s="236" t="s">
        <v>440</v>
      </c>
      <c r="C34" s="239">
        <v>113</v>
      </c>
      <c r="D34" s="239">
        <v>105</v>
      </c>
      <c r="E34" s="239">
        <f t="shared" si="2"/>
        <v>-8</v>
      </c>
      <c r="F34" s="238">
        <f t="shared" si="3"/>
        <v>-7.0796460176991149E-2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28309340</v>
      </c>
      <c r="D35" s="243">
        <f>+D26+D28</f>
        <v>29959471</v>
      </c>
      <c r="E35" s="243">
        <f t="shared" si="2"/>
        <v>1650131</v>
      </c>
      <c r="F35" s="244">
        <f t="shared" si="3"/>
        <v>5.8289278379503019E-2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8251343</v>
      </c>
      <c r="D36" s="243">
        <f>+D27+D29</f>
        <v>8165635</v>
      </c>
      <c r="E36" s="243">
        <f t="shared" si="2"/>
        <v>-85708</v>
      </c>
      <c r="F36" s="244">
        <f t="shared" si="3"/>
        <v>-1.0387157581499157E-2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877552</v>
      </c>
      <c r="D50" s="237">
        <v>1267328</v>
      </c>
      <c r="E50" s="237">
        <f t="shared" ref="E50:E60" si="6">D50-C50</f>
        <v>389776</v>
      </c>
      <c r="F50" s="238">
        <f t="shared" ref="F50:F60" si="7">IF(C50=0,0,E50/C50)</f>
        <v>0.4441628530275129</v>
      </c>
    </row>
    <row r="51" spans="1:6" ht="20.25" customHeight="1" x14ac:dyDescent="0.3">
      <c r="A51" s="235">
        <v>2</v>
      </c>
      <c r="B51" s="236" t="s">
        <v>435</v>
      </c>
      <c r="C51" s="237">
        <v>214672</v>
      </c>
      <c r="D51" s="237">
        <v>293543</v>
      </c>
      <c r="E51" s="237">
        <f t="shared" si="6"/>
        <v>78871</v>
      </c>
      <c r="F51" s="238">
        <f t="shared" si="7"/>
        <v>0.36740236267421927</v>
      </c>
    </row>
    <row r="52" spans="1:6" ht="20.25" customHeight="1" x14ac:dyDescent="0.3">
      <c r="A52" s="235">
        <v>3</v>
      </c>
      <c r="B52" s="236" t="s">
        <v>436</v>
      </c>
      <c r="C52" s="237">
        <v>4489026</v>
      </c>
      <c r="D52" s="237">
        <v>5300801</v>
      </c>
      <c r="E52" s="237">
        <f t="shared" si="6"/>
        <v>811775</v>
      </c>
      <c r="F52" s="238">
        <f t="shared" si="7"/>
        <v>0.18083544180853486</v>
      </c>
    </row>
    <row r="53" spans="1:6" ht="20.25" customHeight="1" x14ac:dyDescent="0.3">
      <c r="A53" s="235">
        <v>4</v>
      </c>
      <c r="B53" s="236" t="s">
        <v>437</v>
      </c>
      <c r="C53" s="237">
        <v>1413733</v>
      </c>
      <c r="D53" s="237">
        <v>1542629</v>
      </c>
      <c r="E53" s="237">
        <f t="shared" si="6"/>
        <v>128896</v>
      </c>
      <c r="F53" s="238">
        <f t="shared" si="7"/>
        <v>9.1174217479538217E-2</v>
      </c>
    </row>
    <row r="54" spans="1:6" ht="20.25" customHeight="1" x14ac:dyDescent="0.3">
      <c r="A54" s="235">
        <v>5</v>
      </c>
      <c r="B54" s="236" t="s">
        <v>373</v>
      </c>
      <c r="C54" s="239">
        <v>43</v>
      </c>
      <c r="D54" s="239">
        <v>56</v>
      </c>
      <c r="E54" s="239">
        <f t="shared" si="6"/>
        <v>13</v>
      </c>
      <c r="F54" s="238">
        <f t="shared" si="7"/>
        <v>0.30232558139534882</v>
      </c>
    </row>
    <row r="55" spans="1:6" ht="20.25" customHeight="1" x14ac:dyDescent="0.3">
      <c r="A55" s="235">
        <v>6</v>
      </c>
      <c r="B55" s="236" t="s">
        <v>372</v>
      </c>
      <c r="C55" s="239">
        <v>236</v>
      </c>
      <c r="D55" s="239">
        <v>353</v>
      </c>
      <c r="E55" s="239">
        <f t="shared" si="6"/>
        <v>117</v>
      </c>
      <c r="F55" s="238">
        <f t="shared" si="7"/>
        <v>0.49576271186440679</v>
      </c>
    </row>
    <row r="56" spans="1:6" ht="20.25" customHeight="1" x14ac:dyDescent="0.3">
      <c r="A56" s="235">
        <v>7</v>
      </c>
      <c r="B56" s="236" t="s">
        <v>438</v>
      </c>
      <c r="C56" s="239">
        <v>4920</v>
      </c>
      <c r="D56" s="239">
        <v>5197</v>
      </c>
      <c r="E56" s="239">
        <f t="shared" si="6"/>
        <v>277</v>
      </c>
      <c r="F56" s="238">
        <f t="shared" si="7"/>
        <v>5.6300813008130078E-2</v>
      </c>
    </row>
    <row r="57" spans="1:6" ht="20.25" customHeight="1" x14ac:dyDescent="0.3">
      <c r="A57" s="235">
        <v>8</v>
      </c>
      <c r="B57" s="236" t="s">
        <v>439</v>
      </c>
      <c r="C57" s="239">
        <v>1514</v>
      </c>
      <c r="D57" s="239">
        <v>1598</v>
      </c>
      <c r="E57" s="239">
        <f t="shared" si="6"/>
        <v>84</v>
      </c>
      <c r="F57" s="238">
        <f t="shared" si="7"/>
        <v>5.5482166446499337E-2</v>
      </c>
    </row>
    <row r="58" spans="1:6" ht="20.25" customHeight="1" x14ac:dyDescent="0.3">
      <c r="A58" s="235">
        <v>9</v>
      </c>
      <c r="B58" s="236" t="s">
        <v>440</v>
      </c>
      <c r="C58" s="239">
        <v>41</v>
      </c>
      <c r="D58" s="239">
        <v>55</v>
      </c>
      <c r="E58" s="239">
        <f t="shared" si="6"/>
        <v>14</v>
      </c>
      <c r="F58" s="238">
        <f t="shared" si="7"/>
        <v>0.34146341463414637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5366578</v>
      </c>
      <c r="D59" s="243">
        <f>+D50+D52</f>
        <v>6568129</v>
      </c>
      <c r="E59" s="243">
        <f t="shared" si="6"/>
        <v>1201551</v>
      </c>
      <c r="F59" s="244">
        <f t="shared" si="7"/>
        <v>0.22389518982114859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1628405</v>
      </c>
      <c r="D60" s="243">
        <f>+D51+D53</f>
        <v>1836172</v>
      </c>
      <c r="E60" s="243">
        <f t="shared" si="6"/>
        <v>207767</v>
      </c>
      <c r="F60" s="244">
        <f t="shared" si="7"/>
        <v>0.12758926679787891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1703602</v>
      </c>
      <c r="D86" s="237">
        <v>1367022</v>
      </c>
      <c r="E86" s="237">
        <f t="shared" ref="E86:E96" si="12">D86-C86</f>
        <v>-336580</v>
      </c>
      <c r="F86" s="238">
        <f t="shared" ref="F86:F96" si="13">IF(C86=0,0,E86/C86)</f>
        <v>-0.1975696201342802</v>
      </c>
    </row>
    <row r="87" spans="1:6" ht="20.25" customHeight="1" x14ac:dyDescent="0.3">
      <c r="A87" s="235">
        <v>2</v>
      </c>
      <c r="B87" s="236" t="s">
        <v>435</v>
      </c>
      <c r="C87" s="237">
        <v>416746</v>
      </c>
      <c r="D87" s="237">
        <v>316635</v>
      </c>
      <c r="E87" s="237">
        <f t="shared" si="12"/>
        <v>-100111</v>
      </c>
      <c r="F87" s="238">
        <f t="shared" si="13"/>
        <v>-0.24022066198595787</v>
      </c>
    </row>
    <row r="88" spans="1:6" ht="20.25" customHeight="1" x14ac:dyDescent="0.3">
      <c r="A88" s="235">
        <v>3</v>
      </c>
      <c r="B88" s="236" t="s">
        <v>436</v>
      </c>
      <c r="C88" s="237">
        <v>2372299</v>
      </c>
      <c r="D88" s="237">
        <v>2664888</v>
      </c>
      <c r="E88" s="237">
        <f t="shared" si="12"/>
        <v>292589</v>
      </c>
      <c r="F88" s="238">
        <f t="shared" si="13"/>
        <v>0.12333563349307992</v>
      </c>
    </row>
    <row r="89" spans="1:6" ht="20.25" customHeight="1" x14ac:dyDescent="0.3">
      <c r="A89" s="235">
        <v>4</v>
      </c>
      <c r="B89" s="236" t="s">
        <v>437</v>
      </c>
      <c r="C89" s="237">
        <v>747110</v>
      </c>
      <c r="D89" s="237">
        <v>775531</v>
      </c>
      <c r="E89" s="237">
        <f t="shared" si="12"/>
        <v>28421</v>
      </c>
      <c r="F89" s="238">
        <f t="shared" si="13"/>
        <v>3.804125229216581E-2</v>
      </c>
    </row>
    <row r="90" spans="1:6" ht="20.25" customHeight="1" x14ac:dyDescent="0.3">
      <c r="A90" s="235">
        <v>5</v>
      </c>
      <c r="B90" s="236" t="s">
        <v>373</v>
      </c>
      <c r="C90" s="239">
        <v>85</v>
      </c>
      <c r="D90" s="239">
        <v>95</v>
      </c>
      <c r="E90" s="239">
        <f t="shared" si="12"/>
        <v>10</v>
      </c>
      <c r="F90" s="238">
        <f t="shared" si="13"/>
        <v>0.11764705882352941</v>
      </c>
    </row>
    <row r="91" spans="1:6" ht="20.25" customHeight="1" x14ac:dyDescent="0.3">
      <c r="A91" s="235">
        <v>6</v>
      </c>
      <c r="B91" s="236" t="s">
        <v>372</v>
      </c>
      <c r="C91" s="239">
        <v>287</v>
      </c>
      <c r="D91" s="239">
        <v>255</v>
      </c>
      <c r="E91" s="239">
        <f t="shared" si="12"/>
        <v>-32</v>
      </c>
      <c r="F91" s="238">
        <f t="shared" si="13"/>
        <v>-0.11149825783972125</v>
      </c>
    </row>
    <row r="92" spans="1:6" ht="20.25" customHeight="1" x14ac:dyDescent="0.3">
      <c r="A92" s="235">
        <v>7</v>
      </c>
      <c r="B92" s="236" t="s">
        <v>438</v>
      </c>
      <c r="C92" s="239">
        <v>2600</v>
      </c>
      <c r="D92" s="239">
        <v>2613</v>
      </c>
      <c r="E92" s="239">
        <f t="shared" si="12"/>
        <v>13</v>
      </c>
      <c r="F92" s="238">
        <f t="shared" si="13"/>
        <v>5.0000000000000001E-3</v>
      </c>
    </row>
    <row r="93" spans="1:6" ht="20.25" customHeight="1" x14ac:dyDescent="0.3">
      <c r="A93" s="235">
        <v>8</v>
      </c>
      <c r="B93" s="236" t="s">
        <v>439</v>
      </c>
      <c r="C93" s="239">
        <v>800</v>
      </c>
      <c r="D93" s="239">
        <v>803</v>
      </c>
      <c r="E93" s="239">
        <f t="shared" si="12"/>
        <v>3</v>
      </c>
      <c r="F93" s="238">
        <f t="shared" si="13"/>
        <v>3.7499999999999999E-3</v>
      </c>
    </row>
    <row r="94" spans="1:6" ht="20.25" customHeight="1" x14ac:dyDescent="0.3">
      <c r="A94" s="235">
        <v>9</v>
      </c>
      <c r="B94" s="236" t="s">
        <v>440</v>
      </c>
      <c r="C94" s="239">
        <v>12</v>
      </c>
      <c r="D94" s="239">
        <v>7</v>
      </c>
      <c r="E94" s="239">
        <f t="shared" si="12"/>
        <v>-5</v>
      </c>
      <c r="F94" s="238">
        <f t="shared" si="13"/>
        <v>-0.41666666666666669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4075901</v>
      </c>
      <c r="D95" s="243">
        <f>+D86+D88</f>
        <v>4031910</v>
      </c>
      <c r="E95" s="243">
        <f t="shared" si="12"/>
        <v>-43991</v>
      </c>
      <c r="F95" s="244">
        <f t="shared" si="13"/>
        <v>-1.0792951055484419E-2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1163856</v>
      </c>
      <c r="D96" s="243">
        <f>+D87+D89</f>
        <v>1092166</v>
      </c>
      <c r="E96" s="243">
        <f t="shared" si="12"/>
        <v>-71690</v>
      </c>
      <c r="F96" s="244">
        <f t="shared" si="13"/>
        <v>-6.1596967322417893E-2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4204741</v>
      </c>
      <c r="D98" s="237">
        <v>3804690</v>
      </c>
      <c r="E98" s="237">
        <f t="shared" ref="E98:E108" si="14">D98-C98</f>
        <v>-400051</v>
      </c>
      <c r="F98" s="238">
        <f t="shared" ref="F98:F108" si="15">IF(C98=0,0,E98/C98)</f>
        <v>-9.5142839951378691E-2</v>
      </c>
    </row>
    <row r="99" spans="1:7" ht="20.25" customHeight="1" x14ac:dyDescent="0.3">
      <c r="A99" s="235">
        <v>2</v>
      </c>
      <c r="B99" s="236" t="s">
        <v>435</v>
      </c>
      <c r="C99" s="237">
        <v>1028589</v>
      </c>
      <c r="D99" s="237">
        <v>881257</v>
      </c>
      <c r="E99" s="237">
        <f t="shared" si="14"/>
        <v>-147332</v>
      </c>
      <c r="F99" s="238">
        <f t="shared" si="15"/>
        <v>-0.14323699747907084</v>
      </c>
    </row>
    <row r="100" spans="1:7" ht="20.25" customHeight="1" x14ac:dyDescent="0.3">
      <c r="A100" s="235">
        <v>3</v>
      </c>
      <c r="B100" s="236" t="s">
        <v>436</v>
      </c>
      <c r="C100" s="237">
        <v>6918760</v>
      </c>
      <c r="D100" s="237">
        <v>8134020</v>
      </c>
      <c r="E100" s="237">
        <f t="shared" si="14"/>
        <v>1215260</v>
      </c>
      <c r="F100" s="238">
        <f t="shared" si="15"/>
        <v>0.17564708126889789</v>
      </c>
    </row>
    <row r="101" spans="1:7" ht="20.25" customHeight="1" x14ac:dyDescent="0.3">
      <c r="A101" s="235">
        <v>4</v>
      </c>
      <c r="B101" s="236" t="s">
        <v>437</v>
      </c>
      <c r="C101" s="237">
        <v>2178931</v>
      </c>
      <c r="D101" s="237">
        <v>2367147</v>
      </c>
      <c r="E101" s="237">
        <f t="shared" si="14"/>
        <v>188216</v>
      </c>
      <c r="F101" s="238">
        <f t="shared" si="15"/>
        <v>8.6379972564528201E-2</v>
      </c>
    </row>
    <row r="102" spans="1:7" ht="20.25" customHeight="1" x14ac:dyDescent="0.3">
      <c r="A102" s="235">
        <v>5</v>
      </c>
      <c r="B102" s="236" t="s">
        <v>373</v>
      </c>
      <c r="C102" s="239">
        <v>252</v>
      </c>
      <c r="D102" s="239">
        <v>225</v>
      </c>
      <c r="E102" s="239">
        <f t="shared" si="14"/>
        <v>-27</v>
      </c>
      <c r="F102" s="238">
        <f t="shared" si="15"/>
        <v>-0.10714285714285714</v>
      </c>
    </row>
    <row r="103" spans="1:7" ht="20.25" customHeight="1" x14ac:dyDescent="0.3">
      <c r="A103" s="235">
        <v>6</v>
      </c>
      <c r="B103" s="236" t="s">
        <v>372</v>
      </c>
      <c r="C103" s="239">
        <v>685</v>
      </c>
      <c r="D103" s="239">
        <v>613</v>
      </c>
      <c r="E103" s="239">
        <f t="shared" si="14"/>
        <v>-72</v>
      </c>
      <c r="F103" s="238">
        <f t="shared" si="15"/>
        <v>-0.10510948905109489</v>
      </c>
    </row>
    <row r="104" spans="1:7" ht="20.25" customHeight="1" x14ac:dyDescent="0.3">
      <c r="A104" s="235">
        <v>7</v>
      </c>
      <c r="B104" s="236" t="s">
        <v>438</v>
      </c>
      <c r="C104" s="239">
        <v>7583</v>
      </c>
      <c r="D104" s="239">
        <v>7975</v>
      </c>
      <c r="E104" s="239">
        <f t="shared" si="14"/>
        <v>392</v>
      </c>
      <c r="F104" s="238">
        <f t="shared" si="15"/>
        <v>5.1694579981537647E-2</v>
      </c>
    </row>
    <row r="105" spans="1:7" ht="20.25" customHeight="1" x14ac:dyDescent="0.3">
      <c r="A105" s="235">
        <v>8</v>
      </c>
      <c r="B105" s="236" t="s">
        <v>439</v>
      </c>
      <c r="C105" s="239">
        <v>2333</v>
      </c>
      <c r="D105" s="239">
        <v>2451</v>
      </c>
      <c r="E105" s="239">
        <f t="shared" si="14"/>
        <v>118</v>
      </c>
      <c r="F105" s="238">
        <f t="shared" si="15"/>
        <v>5.0578654093441922E-2</v>
      </c>
    </row>
    <row r="106" spans="1:7" ht="20.25" customHeight="1" x14ac:dyDescent="0.3">
      <c r="A106" s="235">
        <v>9</v>
      </c>
      <c r="B106" s="236" t="s">
        <v>440</v>
      </c>
      <c r="C106" s="239">
        <v>60</v>
      </c>
      <c r="D106" s="239">
        <v>27</v>
      </c>
      <c r="E106" s="239">
        <f t="shared" si="14"/>
        <v>-33</v>
      </c>
      <c r="F106" s="238">
        <f t="shared" si="15"/>
        <v>-0.55000000000000004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11123501</v>
      </c>
      <c r="D107" s="243">
        <f>+D98+D100</f>
        <v>11938710</v>
      </c>
      <c r="E107" s="243">
        <f t="shared" si="14"/>
        <v>815209</v>
      </c>
      <c r="F107" s="244">
        <f t="shared" si="15"/>
        <v>7.3287088300706765E-2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3207520</v>
      </c>
      <c r="D108" s="243">
        <f>+D99+D101</f>
        <v>3248404</v>
      </c>
      <c r="E108" s="243">
        <f t="shared" si="14"/>
        <v>40884</v>
      </c>
      <c r="F108" s="244">
        <f t="shared" si="15"/>
        <v>1.2746296203920785E-2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16232499</v>
      </c>
      <c r="D112" s="243">
        <f t="shared" si="16"/>
        <v>15751623</v>
      </c>
      <c r="E112" s="243">
        <f t="shared" ref="E112:E122" si="17">D112-C112</f>
        <v>-480876</v>
      </c>
      <c r="F112" s="244">
        <f t="shared" ref="F112:F122" si="18">IF(C112=0,0,E112/C112)</f>
        <v>-2.9624274118236506E-2</v>
      </c>
    </row>
    <row r="113" spans="1:6" ht="20.25" customHeight="1" x14ac:dyDescent="0.3">
      <c r="A113" s="249"/>
      <c r="B113" s="250" t="s">
        <v>461</v>
      </c>
      <c r="C113" s="243">
        <f t="shared" si="16"/>
        <v>3970893</v>
      </c>
      <c r="D113" s="243">
        <f t="shared" si="16"/>
        <v>3648451</v>
      </c>
      <c r="E113" s="243">
        <f t="shared" si="17"/>
        <v>-322442</v>
      </c>
      <c r="F113" s="244">
        <f t="shared" si="18"/>
        <v>-8.1201382157615423E-2</v>
      </c>
    </row>
    <row r="114" spans="1:6" ht="20.25" customHeight="1" x14ac:dyDescent="0.3">
      <c r="A114" s="249"/>
      <c r="B114" s="250" t="s">
        <v>462</v>
      </c>
      <c r="C114" s="243">
        <f t="shared" si="16"/>
        <v>32920050</v>
      </c>
      <c r="D114" s="243">
        <f t="shared" si="16"/>
        <v>37044595</v>
      </c>
      <c r="E114" s="243">
        <f t="shared" si="17"/>
        <v>4124545</v>
      </c>
      <c r="F114" s="244">
        <f t="shared" si="18"/>
        <v>0.12528975502771109</v>
      </c>
    </row>
    <row r="115" spans="1:6" ht="20.25" customHeight="1" x14ac:dyDescent="0.3">
      <c r="A115" s="249"/>
      <c r="B115" s="250" t="s">
        <v>463</v>
      </c>
      <c r="C115" s="243">
        <f t="shared" si="16"/>
        <v>10367539</v>
      </c>
      <c r="D115" s="243">
        <f t="shared" si="16"/>
        <v>10780649</v>
      </c>
      <c r="E115" s="243">
        <f t="shared" si="17"/>
        <v>413110</v>
      </c>
      <c r="F115" s="244">
        <f t="shared" si="18"/>
        <v>3.9846486229760024E-2</v>
      </c>
    </row>
    <row r="116" spans="1:6" ht="20.25" customHeight="1" x14ac:dyDescent="0.3">
      <c r="A116" s="249"/>
      <c r="B116" s="250" t="s">
        <v>464</v>
      </c>
      <c r="C116" s="252">
        <f t="shared" si="16"/>
        <v>954</v>
      </c>
      <c r="D116" s="252">
        <f t="shared" si="16"/>
        <v>907</v>
      </c>
      <c r="E116" s="252">
        <f t="shared" si="17"/>
        <v>-47</v>
      </c>
      <c r="F116" s="244">
        <f t="shared" si="18"/>
        <v>-4.9266247379454925E-2</v>
      </c>
    </row>
    <row r="117" spans="1:6" ht="20.25" customHeight="1" x14ac:dyDescent="0.3">
      <c r="A117" s="249"/>
      <c r="B117" s="250" t="s">
        <v>465</v>
      </c>
      <c r="C117" s="252">
        <f t="shared" si="16"/>
        <v>2880</v>
      </c>
      <c r="D117" s="252">
        <f t="shared" si="16"/>
        <v>2644</v>
      </c>
      <c r="E117" s="252">
        <f t="shared" si="17"/>
        <v>-236</v>
      </c>
      <c r="F117" s="244">
        <f t="shared" si="18"/>
        <v>-8.1944444444444445E-2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36081</v>
      </c>
      <c r="D118" s="252">
        <f t="shared" si="16"/>
        <v>36321</v>
      </c>
      <c r="E118" s="252">
        <f t="shared" si="17"/>
        <v>240</v>
      </c>
      <c r="F118" s="244">
        <f t="shared" si="18"/>
        <v>6.6517003408996427E-3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11103</v>
      </c>
      <c r="D119" s="252">
        <f t="shared" si="16"/>
        <v>11165</v>
      </c>
      <c r="E119" s="252">
        <f t="shared" si="17"/>
        <v>62</v>
      </c>
      <c r="F119" s="244">
        <f t="shared" si="18"/>
        <v>5.5840763757543004E-3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226</v>
      </c>
      <c r="D120" s="252">
        <f t="shared" si="16"/>
        <v>194</v>
      </c>
      <c r="E120" s="252">
        <f t="shared" si="17"/>
        <v>-32</v>
      </c>
      <c r="F120" s="244">
        <f t="shared" si="18"/>
        <v>-0.1415929203539823</v>
      </c>
    </row>
    <row r="121" spans="1:6" ht="39.950000000000003" customHeight="1" x14ac:dyDescent="0.3">
      <c r="A121" s="249"/>
      <c r="B121" s="242" t="s">
        <v>441</v>
      </c>
      <c r="C121" s="243">
        <f>+C112+C114</f>
        <v>49152549</v>
      </c>
      <c r="D121" s="243">
        <f>+D112+D114</f>
        <v>52796218</v>
      </c>
      <c r="E121" s="243">
        <f t="shared" si="17"/>
        <v>3643669</v>
      </c>
      <c r="F121" s="244">
        <f t="shared" si="18"/>
        <v>7.412980759146387E-2</v>
      </c>
    </row>
    <row r="122" spans="1:6" ht="39.950000000000003" customHeight="1" x14ac:dyDescent="0.3">
      <c r="A122" s="249"/>
      <c r="B122" s="242" t="s">
        <v>470</v>
      </c>
      <c r="C122" s="243">
        <f>+C113+C115</f>
        <v>14338432</v>
      </c>
      <c r="D122" s="243">
        <f>+D113+D115</f>
        <v>14429100</v>
      </c>
      <c r="E122" s="243">
        <f t="shared" si="17"/>
        <v>90668</v>
      </c>
      <c r="F122" s="244">
        <f t="shared" si="18"/>
        <v>6.3234250439657561E-3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FILING&amp;RMIDDLESEX HOSPITAL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52873000</v>
      </c>
      <c r="D13" s="23">
        <v>59543000</v>
      </c>
      <c r="E13" s="23">
        <f t="shared" ref="E13:E22" si="0">D13-C13</f>
        <v>6670000</v>
      </c>
      <c r="F13" s="24">
        <f t="shared" ref="F13:F22" si="1">IF(C13=0,0,E13/C13)</f>
        <v>0.12615134378605336</v>
      </c>
    </row>
    <row r="14" spans="1:8" ht="24" customHeight="1" x14ac:dyDescent="0.2">
      <c r="A14" s="21">
        <v>2</v>
      </c>
      <c r="B14" s="22" t="s">
        <v>17</v>
      </c>
      <c r="C14" s="23">
        <v>27573000</v>
      </c>
      <c r="D14" s="23">
        <v>10647000</v>
      </c>
      <c r="E14" s="23">
        <f t="shared" si="0"/>
        <v>-16926000</v>
      </c>
      <c r="F14" s="24">
        <f t="shared" si="1"/>
        <v>-0.61386138613861385</v>
      </c>
    </row>
    <row r="15" spans="1:8" ht="35.1" customHeight="1" x14ac:dyDescent="0.2">
      <c r="A15" s="21">
        <v>3</v>
      </c>
      <c r="B15" s="22" t="s">
        <v>18</v>
      </c>
      <c r="C15" s="23">
        <v>39170000</v>
      </c>
      <c r="D15" s="23">
        <v>43838000</v>
      </c>
      <c r="E15" s="23">
        <f t="shared" si="0"/>
        <v>4668000</v>
      </c>
      <c r="F15" s="24">
        <f t="shared" si="1"/>
        <v>0.11917283635435282</v>
      </c>
    </row>
    <row r="16" spans="1:8" ht="35.1" customHeight="1" x14ac:dyDescent="0.2">
      <c r="A16" s="21">
        <v>4</v>
      </c>
      <c r="B16" s="22" t="s">
        <v>19</v>
      </c>
      <c r="C16" s="23">
        <v>4357000</v>
      </c>
      <c r="D16" s="23">
        <v>4188000</v>
      </c>
      <c r="E16" s="23">
        <f t="shared" si="0"/>
        <v>-169000</v>
      </c>
      <c r="F16" s="24">
        <f t="shared" si="1"/>
        <v>-3.8788156988753729E-2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334000</v>
      </c>
      <c r="D18" s="23">
        <v>0</v>
      </c>
      <c r="E18" s="23">
        <f t="shared" si="0"/>
        <v>-334000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970000</v>
      </c>
      <c r="D19" s="23">
        <v>1436000</v>
      </c>
      <c r="E19" s="23">
        <f t="shared" si="0"/>
        <v>466000</v>
      </c>
      <c r="F19" s="24">
        <f t="shared" si="1"/>
        <v>0.48041237113402063</v>
      </c>
    </row>
    <row r="20" spans="1:11" ht="24" customHeight="1" x14ac:dyDescent="0.2">
      <c r="A20" s="21">
        <v>8</v>
      </c>
      <c r="B20" s="22" t="s">
        <v>23</v>
      </c>
      <c r="C20" s="23">
        <v>1644000</v>
      </c>
      <c r="D20" s="23">
        <v>2309000</v>
      </c>
      <c r="E20" s="23">
        <f t="shared" si="0"/>
        <v>665000</v>
      </c>
      <c r="F20" s="24">
        <f t="shared" si="1"/>
        <v>0.40450121654501214</v>
      </c>
    </row>
    <row r="21" spans="1:11" ht="24" customHeight="1" x14ac:dyDescent="0.2">
      <c r="A21" s="21">
        <v>9</v>
      </c>
      <c r="B21" s="22" t="s">
        <v>24</v>
      </c>
      <c r="C21" s="23">
        <v>1474000</v>
      </c>
      <c r="D21" s="23">
        <v>2867000</v>
      </c>
      <c r="E21" s="23">
        <f t="shared" si="0"/>
        <v>1393000</v>
      </c>
      <c r="F21" s="24">
        <f t="shared" si="1"/>
        <v>0.9450474898236092</v>
      </c>
    </row>
    <row r="22" spans="1:11" ht="24" customHeight="1" x14ac:dyDescent="0.25">
      <c r="A22" s="25"/>
      <c r="B22" s="26" t="s">
        <v>25</v>
      </c>
      <c r="C22" s="27">
        <f>SUM(C13:C21)</f>
        <v>128395000</v>
      </c>
      <c r="D22" s="27">
        <f>SUM(D13:D21)</f>
        <v>124828000</v>
      </c>
      <c r="E22" s="27">
        <f t="shared" si="0"/>
        <v>-3567000</v>
      </c>
      <c r="F22" s="28">
        <f t="shared" si="1"/>
        <v>-2.7781455664161379E-2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9267000</v>
      </c>
      <c r="D25" s="23">
        <v>8120000</v>
      </c>
      <c r="E25" s="23">
        <f>D25-C25</f>
        <v>-1147000</v>
      </c>
      <c r="F25" s="24">
        <f>IF(C25=0,0,E25/C25)</f>
        <v>-0.12377252616812345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79978000</v>
      </c>
      <c r="D26" s="23">
        <v>80737000</v>
      </c>
      <c r="E26" s="23">
        <f>D26-C26</f>
        <v>759000</v>
      </c>
      <c r="F26" s="24">
        <f>IF(C26=0,0,E26/C26)</f>
        <v>9.4901097801895519E-3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13433000</v>
      </c>
      <c r="D28" s="23">
        <v>13591000</v>
      </c>
      <c r="E28" s="23">
        <f>D28-C28</f>
        <v>158000</v>
      </c>
      <c r="F28" s="24">
        <f>IF(C28=0,0,E28/C28)</f>
        <v>1.1762078463485447E-2</v>
      </c>
    </row>
    <row r="29" spans="1:11" ht="35.1" customHeight="1" x14ac:dyDescent="0.25">
      <c r="A29" s="25"/>
      <c r="B29" s="26" t="s">
        <v>32</v>
      </c>
      <c r="C29" s="27">
        <f>SUM(C25:C28)</f>
        <v>102678000</v>
      </c>
      <c r="D29" s="27">
        <f>SUM(D25:D28)</f>
        <v>102448000</v>
      </c>
      <c r="E29" s="27">
        <f>D29-C29</f>
        <v>-230000</v>
      </c>
      <c r="F29" s="28">
        <f>IF(C29=0,0,E29/C29)</f>
        <v>-2.2400124661563336E-3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3640000</v>
      </c>
      <c r="D32" s="23">
        <v>2019000</v>
      </c>
      <c r="E32" s="23">
        <f>D32-C32</f>
        <v>-1621000</v>
      </c>
      <c r="F32" s="24">
        <f>IF(C32=0,0,E32/C32)</f>
        <v>-0.44532967032967036</v>
      </c>
    </row>
    <row r="33" spans="1:8" ht="24" customHeight="1" x14ac:dyDescent="0.2">
      <c r="A33" s="21">
        <v>7</v>
      </c>
      <c r="B33" s="22" t="s">
        <v>35</v>
      </c>
      <c r="C33" s="23">
        <v>2930000</v>
      </c>
      <c r="D33" s="23">
        <v>3011000</v>
      </c>
      <c r="E33" s="23">
        <f>D33-C33</f>
        <v>81000</v>
      </c>
      <c r="F33" s="24">
        <f>IF(C33=0,0,E33/C33)</f>
        <v>2.764505119453925E-2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407474000</v>
      </c>
      <c r="D36" s="23">
        <v>428470000</v>
      </c>
      <c r="E36" s="23">
        <f>D36-C36</f>
        <v>20996000</v>
      </c>
      <c r="F36" s="24">
        <f>IF(C36=0,0,E36/C36)</f>
        <v>5.1527214006292427E-2</v>
      </c>
    </row>
    <row r="37" spans="1:8" ht="24" customHeight="1" x14ac:dyDescent="0.2">
      <c r="A37" s="21">
        <v>2</v>
      </c>
      <c r="B37" s="22" t="s">
        <v>39</v>
      </c>
      <c r="C37" s="23">
        <v>243307000</v>
      </c>
      <c r="D37" s="23">
        <v>265372000</v>
      </c>
      <c r="E37" s="23">
        <f>D37-C37</f>
        <v>22065000</v>
      </c>
      <c r="F37" s="23">
        <f>IF(C37=0,0,E37/C37)</f>
        <v>9.0687896361387049E-2</v>
      </c>
    </row>
    <row r="38" spans="1:8" ht="24" customHeight="1" x14ac:dyDescent="0.25">
      <c r="A38" s="25"/>
      <c r="B38" s="26" t="s">
        <v>40</v>
      </c>
      <c r="C38" s="27">
        <f>C36-C37</f>
        <v>164167000</v>
      </c>
      <c r="D38" s="27">
        <f>D36-D37</f>
        <v>163098000</v>
      </c>
      <c r="E38" s="27">
        <f>D38-C38</f>
        <v>-1069000</v>
      </c>
      <c r="F38" s="28">
        <f>IF(C38=0,0,E38/C38)</f>
        <v>-6.5116619052550144E-3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4148000</v>
      </c>
      <c r="D40" s="23">
        <v>21322000</v>
      </c>
      <c r="E40" s="23">
        <f>D40-C40</f>
        <v>17174000</v>
      </c>
      <c r="F40" s="24">
        <f>IF(C40=0,0,E40/C40)</f>
        <v>4.1403085824493733</v>
      </c>
    </row>
    <row r="41" spans="1:8" ht="24" customHeight="1" x14ac:dyDescent="0.25">
      <c r="A41" s="25"/>
      <c r="B41" s="26" t="s">
        <v>42</v>
      </c>
      <c r="C41" s="27">
        <f>+C38+C40</f>
        <v>168315000</v>
      </c>
      <c r="D41" s="27">
        <f>+D38+D40</f>
        <v>184420000</v>
      </c>
      <c r="E41" s="27">
        <f>D41-C41</f>
        <v>16105000</v>
      </c>
      <c r="F41" s="28">
        <f>IF(C41=0,0,E41/C41)</f>
        <v>9.5683688322490565E-2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405958000</v>
      </c>
      <c r="D43" s="27">
        <f>D22+D29+D31+D32+D33+D41</f>
        <v>416726000</v>
      </c>
      <c r="E43" s="27">
        <f>D43-C43</f>
        <v>10768000</v>
      </c>
      <c r="F43" s="28">
        <f>IF(C43=0,0,E43/C43)</f>
        <v>2.6524911444041011E-2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13097000</v>
      </c>
      <c r="D49" s="23">
        <v>19224000</v>
      </c>
      <c r="E49" s="23">
        <f t="shared" ref="E49:E56" si="2">D49-C49</f>
        <v>6127000</v>
      </c>
      <c r="F49" s="24">
        <f t="shared" ref="F49:F56" si="3">IF(C49=0,0,E49/C49)</f>
        <v>0.46781705734137591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28547000</v>
      </c>
      <c r="D50" s="23">
        <v>30639000</v>
      </c>
      <c r="E50" s="23">
        <f t="shared" si="2"/>
        <v>2092000</v>
      </c>
      <c r="F50" s="24">
        <f t="shared" si="3"/>
        <v>7.3282656671454088E-2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207000</v>
      </c>
      <c r="E51" s="23">
        <f t="shared" si="2"/>
        <v>207000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3030000</v>
      </c>
      <c r="D53" s="23">
        <v>3330000</v>
      </c>
      <c r="E53" s="23">
        <f t="shared" si="2"/>
        <v>300000</v>
      </c>
      <c r="F53" s="24">
        <f t="shared" si="3"/>
        <v>9.9009900990099015E-2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81000</v>
      </c>
      <c r="D54" s="23">
        <v>292000</v>
      </c>
      <c r="E54" s="23">
        <f t="shared" si="2"/>
        <v>211000</v>
      </c>
      <c r="F54" s="24">
        <f t="shared" si="3"/>
        <v>2.6049382716049383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13466000</v>
      </c>
      <c r="D55" s="23">
        <v>9563000</v>
      </c>
      <c r="E55" s="23">
        <f t="shared" si="2"/>
        <v>-3903000</v>
      </c>
      <c r="F55" s="24">
        <f t="shared" si="3"/>
        <v>-0.28984108124164565</v>
      </c>
    </row>
    <row r="56" spans="1:6" ht="24" customHeight="1" x14ac:dyDescent="0.25">
      <c r="A56" s="25"/>
      <c r="B56" s="26" t="s">
        <v>54</v>
      </c>
      <c r="C56" s="27">
        <f>SUM(C49:C55)</f>
        <v>58221000</v>
      </c>
      <c r="D56" s="27">
        <f>SUM(D49:D55)</f>
        <v>63255000</v>
      </c>
      <c r="E56" s="27">
        <f t="shared" si="2"/>
        <v>5034000</v>
      </c>
      <c r="F56" s="28">
        <f t="shared" si="3"/>
        <v>8.6463647137630759E-2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74345000</v>
      </c>
      <c r="D59" s="23">
        <v>71808000</v>
      </c>
      <c r="E59" s="23">
        <f>D59-C59</f>
        <v>-2537000</v>
      </c>
      <c r="F59" s="24">
        <f>IF(C59=0,0,E59/C59)</f>
        <v>-3.4124688950164773E-2</v>
      </c>
    </row>
    <row r="60" spans="1:6" ht="24" customHeight="1" x14ac:dyDescent="0.2">
      <c r="A60" s="21">
        <v>2</v>
      </c>
      <c r="B60" s="22" t="s">
        <v>57</v>
      </c>
      <c r="C60" s="23">
        <v>1869000</v>
      </c>
      <c r="D60" s="23">
        <v>926000</v>
      </c>
      <c r="E60" s="23">
        <f>D60-C60</f>
        <v>-943000</v>
      </c>
      <c r="F60" s="24">
        <f>IF(C60=0,0,E60/C60)</f>
        <v>-0.50454788657035843</v>
      </c>
    </row>
    <row r="61" spans="1:6" ht="24" customHeight="1" x14ac:dyDescent="0.25">
      <c r="A61" s="25"/>
      <c r="B61" s="26" t="s">
        <v>58</v>
      </c>
      <c r="C61" s="27">
        <f>SUM(C59:C60)</f>
        <v>76214000</v>
      </c>
      <c r="D61" s="27">
        <f>SUM(D59:D60)</f>
        <v>72734000</v>
      </c>
      <c r="E61" s="27">
        <f>D61-C61</f>
        <v>-3480000</v>
      </c>
      <c r="F61" s="28">
        <f>IF(C61=0,0,E61/C61)</f>
        <v>-4.5660902196446848E-2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103987000</v>
      </c>
      <c r="D63" s="23">
        <v>117232000</v>
      </c>
      <c r="E63" s="23">
        <f>D63-C63</f>
        <v>13245000</v>
      </c>
      <c r="F63" s="24">
        <f>IF(C63=0,0,E63/C63)</f>
        <v>0.12737169069210574</v>
      </c>
    </row>
    <row r="64" spans="1:6" ht="24" customHeight="1" x14ac:dyDescent="0.2">
      <c r="A64" s="21">
        <v>4</v>
      </c>
      <c r="B64" s="22" t="s">
        <v>60</v>
      </c>
      <c r="C64" s="23">
        <v>18511000</v>
      </c>
      <c r="D64" s="23">
        <v>19960000</v>
      </c>
      <c r="E64" s="23">
        <f>D64-C64</f>
        <v>1449000</v>
      </c>
      <c r="F64" s="24">
        <f>IF(C64=0,0,E64/C64)</f>
        <v>7.8277780778996275E-2</v>
      </c>
    </row>
    <row r="65" spans="1:6" ht="24" customHeight="1" x14ac:dyDescent="0.25">
      <c r="A65" s="25"/>
      <c r="B65" s="26" t="s">
        <v>61</v>
      </c>
      <c r="C65" s="27">
        <f>SUM(C61:C64)</f>
        <v>198712000</v>
      </c>
      <c r="D65" s="27">
        <f>SUM(D61:D64)</f>
        <v>209926000</v>
      </c>
      <c r="E65" s="27">
        <f>D65-C65</f>
        <v>11214000</v>
      </c>
      <c r="F65" s="28">
        <f>IF(C65=0,0,E65/C65)</f>
        <v>5.6433431297556264E-2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573000</v>
      </c>
      <c r="D67" s="23">
        <v>0</v>
      </c>
      <c r="E67" s="23">
        <f>D67-C67</f>
        <v>-573000</v>
      </c>
      <c r="F67" s="46">
        <f>IF(C67=0,0,E67/C67)</f>
        <v>-1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134810000</v>
      </c>
      <c r="D70" s="23">
        <v>130362000</v>
      </c>
      <c r="E70" s="23">
        <f>D70-C70</f>
        <v>-4448000</v>
      </c>
      <c r="F70" s="24">
        <f>IF(C70=0,0,E70/C70)</f>
        <v>-3.2994584971441289E-2</v>
      </c>
    </row>
    <row r="71" spans="1:6" ht="24" customHeight="1" x14ac:dyDescent="0.2">
      <c r="A71" s="21">
        <v>2</v>
      </c>
      <c r="B71" s="22" t="s">
        <v>65</v>
      </c>
      <c r="C71" s="23">
        <v>6838000</v>
      </c>
      <c r="D71" s="23">
        <v>6303000</v>
      </c>
      <c r="E71" s="23">
        <f>D71-C71</f>
        <v>-535000</v>
      </c>
      <c r="F71" s="24">
        <f>IF(C71=0,0,E71/C71)</f>
        <v>-7.8239251243053518E-2</v>
      </c>
    </row>
    <row r="72" spans="1:6" ht="24" customHeight="1" x14ac:dyDescent="0.2">
      <c r="A72" s="21">
        <v>3</v>
      </c>
      <c r="B72" s="22" t="s">
        <v>66</v>
      </c>
      <c r="C72" s="23">
        <v>6804000</v>
      </c>
      <c r="D72" s="23">
        <v>6880000</v>
      </c>
      <c r="E72" s="23">
        <f>D72-C72</f>
        <v>76000</v>
      </c>
      <c r="F72" s="24">
        <f>IF(C72=0,0,E72/C72)</f>
        <v>1.1169900058788948E-2</v>
      </c>
    </row>
    <row r="73" spans="1:6" ht="24" customHeight="1" x14ac:dyDescent="0.25">
      <c r="A73" s="21"/>
      <c r="B73" s="26" t="s">
        <v>67</v>
      </c>
      <c r="C73" s="27">
        <f>SUM(C70:C72)</f>
        <v>148452000</v>
      </c>
      <c r="D73" s="27">
        <f>SUM(D70:D72)</f>
        <v>143545000</v>
      </c>
      <c r="E73" s="27">
        <f>D73-C73</f>
        <v>-4907000</v>
      </c>
      <c r="F73" s="28">
        <f>IF(C73=0,0,E73/C73)</f>
        <v>-3.3054455312154771E-2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405958000</v>
      </c>
      <c r="D75" s="27">
        <f>D56+D65+D67+D73</f>
        <v>416726000</v>
      </c>
      <c r="E75" s="27">
        <f>D75-C75</f>
        <v>10768000</v>
      </c>
      <c r="F75" s="28">
        <f>IF(C75=0,0,E75/C75)</f>
        <v>2.6524911444041011E-2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FILING&amp;RMIDDLESEX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956526000</v>
      </c>
      <c r="D12" s="51">
        <v>1053422000</v>
      </c>
      <c r="E12" s="51">
        <f t="shared" ref="E12:E19" si="0">D12-C12</f>
        <v>96896000</v>
      </c>
      <c r="F12" s="70">
        <f t="shared" ref="F12:F19" si="1">IF(C12=0,0,E12/C12)</f>
        <v>0.10129991239129935</v>
      </c>
    </row>
    <row r="13" spans="1:8" ht="23.1" customHeight="1" x14ac:dyDescent="0.2">
      <c r="A13" s="25">
        <v>2</v>
      </c>
      <c r="B13" s="48" t="s">
        <v>72</v>
      </c>
      <c r="C13" s="51">
        <v>609255000</v>
      </c>
      <c r="D13" s="51">
        <v>701534000</v>
      </c>
      <c r="E13" s="51">
        <f t="shared" si="0"/>
        <v>92279000</v>
      </c>
      <c r="F13" s="70">
        <f t="shared" si="1"/>
        <v>0.15146203149748463</v>
      </c>
    </row>
    <row r="14" spans="1:8" ht="23.1" customHeight="1" x14ac:dyDescent="0.2">
      <c r="A14" s="25">
        <v>3</v>
      </c>
      <c r="B14" s="48" t="s">
        <v>73</v>
      </c>
      <c r="C14" s="51">
        <v>9520000</v>
      </c>
      <c r="D14" s="51">
        <v>6856000</v>
      </c>
      <c r="E14" s="51">
        <f t="shared" si="0"/>
        <v>-2664000</v>
      </c>
      <c r="F14" s="70">
        <f t="shared" si="1"/>
        <v>-0.27983193277310925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337751000</v>
      </c>
      <c r="D16" s="27">
        <f>D12-D13-D14-D15</f>
        <v>345032000</v>
      </c>
      <c r="E16" s="27">
        <f t="shared" si="0"/>
        <v>7281000</v>
      </c>
      <c r="F16" s="28">
        <f t="shared" si="1"/>
        <v>2.1557301088671831E-2</v>
      </c>
    </row>
    <row r="17" spans="1:7" ht="23.1" customHeight="1" x14ac:dyDescent="0.2">
      <c r="A17" s="25">
        <v>5</v>
      </c>
      <c r="B17" s="48" t="s">
        <v>76</v>
      </c>
      <c r="C17" s="51">
        <v>9955000</v>
      </c>
      <c r="D17" s="51">
        <v>14403000</v>
      </c>
      <c r="E17" s="51">
        <f t="shared" si="0"/>
        <v>4448000</v>
      </c>
      <c r="F17" s="70">
        <f t="shared" si="1"/>
        <v>0.44681064791562031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347706000</v>
      </c>
      <c r="D19" s="27">
        <f>SUM(D16:D18)</f>
        <v>359435000</v>
      </c>
      <c r="E19" s="27">
        <f t="shared" si="0"/>
        <v>11729000</v>
      </c>
      <c r="F19" s="28">
        <f t="shared" si="1"/>
        <v>3.3732521152928047E-2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159368000</v>
      </c>
      <c r="D22" s="51">
        <v>165100000</v>
      </c>
      <c r="E22" s="51">
        <f t="shared" ref="E22:E31" si="2">D22-C22</f>
        <v>5732000</v>
      </c>
      <c r="F22" s="70">
        <f t="shared" ref="F22:F31" si="3">IF(C22=0,0,E22/C22)</f>
        <v>3.5967069926208524E-2</v>
      </c>
    </row>
    <row r="23" spans="1:7" ht="23.1" customHeight="1" x14ac:dyDescent="0.2">
      <c r="A23" s="25">
        <v>2</v>
      </c>
      <c r="B23" s="48" t="s">
        <v>81</v>
      </c>
      <c r="C23" s="51">
        <v>38415000</v>
      </c>
      <c r="D23" s="51">
        <v>44396000</v>
      </c>
      <c r="E23" s="51">
        <f t="shared" si="2"/>
        <v>5981000</v>
      </c>
      <c r="F23" s="70">
        <f t="shared" si="3"/>
        <v>0.1556943902121567</v>
      </c>
    </row>
    <row r="24" spans="1:7" ht="23.1" customHeight="1" x14ac:dyDescent="0.2">
      <c r="A24" s="25">
        <v>3</v>
      </c>
      <c r="B24" s="48" t="s">
        <v>82</v>
      </c>
      <c r="C24" s="51">
        <v>2502000</v>
      </c>
      <c r="D24" s="51">
        <v>3006000</v>
      </c>
      <c r="E24" s="51">
        <f t="shared" si="2"/>
        <v>504000</v>
      </c>
      <c r="F24" s="70">
        <f t="shared" si="3"/>
        <v>0.20143884892086331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31651000</v>
      </c>
      <c r="D25" s="51">
        <v>33893000</v>
      </c>
      <c r="E25" s="51">
        <f t="shared" si="2"/>
        <v>2242000</v>
      </c>
      <c r="F25" s="70">
        <f t="shared" si="3"/>
        <v>7.0835044706328398E-2</v>
      </c>
    </row>
    <row r="26" spans="1:7" ht="23.1" customHeight="1" x14ac:dyDescent="0.2">
      <c r="A26" s="25">
        <v>5</v>
      </c>
      <c r="B26" s="48" t="s">
        <v>84</v>
      </c>
      <c r="C26" s="51">
        <v>21932000</v>
      </c>
      <c r="D26" s="51">
        <v>22454000</v>
      </c>
      <c r="E26" s="51">
        <f t="shared" si="2"/>
        <v>522000</v>
      </c>
      <c r="F26" s="70">
        <f t="shared" si="3"/>
        <v>2.3800838956775486E-2</v>
      </c>
    </row>
    <row r="27" spans="1:7" ht="23.1" customHeight="1" x14ac:dyDescent="0.2">
      <c r="A27" s="25">
        <v>6</v>
      </c>
      <c r="B27" s="48" t="s">
        <v>85</v>
      </c>
      <c r="C27" s="51">
        <v>11895000</v>
      </c>
      <c r="D27" s="51">
        <v>13720000</v>
      </c>
      <c r="E27" s="51">
        <f t="shared" si="2"/>
        <v>1825000</v>
      </c>
      <c r="F27" s="70">
        <f t="shared" si="3"/>
        <v>0.15342580916351409</v>
      </c>
    </row>
    <row r="28" spans="1:7" ht="23.1" customHeight="1" x14ac:dyDescent="0.2">
      <c r="A28" s="25">
        <v>7</v>
      </c>
      <c r="B28" s="48" t="s">
        <v>86</v>
      </c>
      <c r="C28" s="51">
        <v>4085000</v>
      </c>
      <c r="D28" s="51">
        <v>3614000</v>
      </c>
      <c r="E28" s="51">
        <f t="shared" si="2"/>
        <v>-471000</v>
      </c>
      <c r="F28" s="70">
        <f t="shared" si="3"/>
        <v>-0.11529987760097919</v>
      </c>
    </row>
    <row r="29" spans="1:7" ht="23.1" customHeight="1" x14ac:dyDescent="0.2">
      <c r="A29" s="25">
        <v>8</v>
      </c>
      <c r="B29" s="48" t="s">
        <v>87</v>
      </c>
      <c r="C29" s="51">
        <v>4222000</v>
      </c>
      <c r="D29" s="51">
        <v>2859000</v>
      </c>
      <c r="E29" s="51">
        <f t="shared" si="2"/>
        <v>-1363000</v>
      </c>
      <c r="F29" s="70">
        <f t="shared" si="3"/>
        <v>-0.32283278067266696</v>
      </c>
    </row>
    <row r="30" spans="1:7" ht="23.1" customHeight="1" x14ac:dyDescent="0.2">
      <c r="A30" s="25">
        <v>9</v>
      </c>
      <c r="B30" s="48" t="s">
        <v>88</v>
      </c>
      <c r="C30" s="51">
        <v>54259000</v>
      </c>
      <c r="D30" s="51">
        <v>55581000</v>
      </c>
      <c r="E30" s="51">
        <f t="shared" si="2"/>
        <v>1322000</v>
      </c>
      <c r="F30" s="70">
        <f t="shared" si="3"/>
        <v>2.4364621537440793E-2</v>
      </c>
    </row>
    <row r="31" spans="1:7" ht="23.1" customHeight="1" x14ac:dyDescent="0.25">
      <c r="A31" s="29"/>
      <c r="B31" s="71" t="s">
        <v>89</v>
      </c>
      <c r="C31" s="27">
        <f>SUM(C22:C30)</f>
        <v>328329000</v>
      </c>
      <c r="D31" s="27">
        <f>SUM(D22:D30)</f>
        <v>344623000</v>
      </c>
      <c r="E31" s="27">
        <f t="shared" si="2"/>
        <v>16294000</v>
      </c>
      <c r="F31" s="28">
        <f t="shared" si="3"/>
        <v>4.9627050915392795E-2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19377000</v>
      </c>
      <c r="D33" s="27">
        <f>+D19-D31</f>
        <v>14812000</v>
      </c>
      <c r="E33" s="27">
        <f>D33-C33</f>
        <v>-4565000</v>
      </c>
      <c r="F33" s="28">
        <f>IF(C33=0,0,E33/C33)</f>
        <v>-0.23558858440419053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3254000</v>
      </c>
      <c r="D36" s="51">
        <v>5968000</v>
      </c>
      <c r="E36" s="51">
        <f>D36-C36</f>
        <v>2714000</v>
      </c>
      <c r="F36" s="70">
        <f>IF(C36=0,0,E36/C36)</f>
        <v>0.83405039950829751</v>
      </c>
    </row>
    <row r="37" spans="1:6" ht="23.1" customHeight="1" x14ac:dyDescent="0.2">
      <c r="A37" s="44">
        <v>2</v>
      </c>
      <c r="B37" s="48" t="s">
        <v>93</v>
      </c>
      <c r="C37" s="51">
        <v>491000</v>
      </c>
      <c r="D37" s="51">
        <v>471000</v>
      </c>
      <c r="E37" s="51">
        <f>D37-C37</f>
        <v>-20000</v>
      </c>
      <c r="F37" s="70">
        <f>IF(C37=0,0,E37/C37)</f>
        <v>-4.0733197556008148E-2</v>
      </c>
    </row>
    <row r="38" spans="1:6" ht="23.1" customHeight="1" x14ac:dyDescent="0.2">
      <c r="A38" s="44">
        <v>3</v>
      </c>
      <c r="B38" s="48" t="s">
        <v>94</v>
      </c>
      <c r="C38" s="51">
        <v>-930000</v>
      </c>
      <c r="D38" s="51">
        <v>-1288000</v>
      </c>
      <c r="E38" s="51">
        <f>D38-C38</f>
        <v>-358000</v>
      </c>
      <c r="F38" s="70">
        <f>IF(C38=0,0,E38/C38)</f>
        <v>0.38494623655913979</v>
      </c>
    </row>
    <row r="39" spans="1:6" ht="23.1" customHeight="1" x14ac:dyDescent="0.25">
      <c r="A39" s="20"/>
      <c r="B39" s="71" t="s">
        <v>95</v>
      </c>
      <c r="C39" s="27">
        <f>SUM(C36:C38)</f>
        <v>2815000</v>
      </c>
      <c r="D39" s="27">
        <f>SUM(D36:D38)</f>
        <v>5151000</v>
      </c>
      <c r="E39" s="27">
        <f>D39-C39</f>
        <v>2336000</v>
      </c>
      <c r="F39" s="28">
        <f>IF(C39=0,0,E39/C39)</f>
        <v>0.82984014209591472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22192000</v>
      </c>
      <c r="D41" s="27">
        <f>D33+D39</f>
        <v>19963000</v>
      </c>
      <c r="E41" s="27">
        <f>D41-C41</f>
        <v>-2229000</v>
      </c>
      <c r="F41" s="28">
        <f>IF(C41=0,0,E41/C41)</f>
        <v>-0.10044160057678443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22192000</v>
      </c>
      <c r="D48" s="27">
        <f>D41+D46</f>
        <v>19963000</v>
      </c>
      <c r="E48" s="27">
        <f>D48-C48</f>
        <v>-2229000</v>
      </c>
      <c r="F48" s="28">
        <f>IF(C48=0,0,E48/C48)</f>
        <v>-0.10044160057678443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FILING&amp;R&amp;8MIDDLESEX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2012-06-28T13:52:39Z</cp:lastPrinted>
  <dcterms:created xsi:type="dcterms:W3CDTF">2006-08-03T13:49:12Z</dcterms:created>
  <dcterms:modified xsi:type="dcterms:W3CDTF">2012-06-28T13:53:08Z</dcterms:modified>
</cp:coreProperties>
</file>