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9" i="14" s="1"/>
  <c r="D230" i="14"/>
  <c r="D229" i="14"/>
  <c r="D226" i="14"/>
  <c r="D227" i="14" s="1"/>
  <c r="D223" i="14"/>
  <c r="D204" i="14"/>
  <c r="D269" i="14"/>
  <c r="D203" i="14"/>
  <c r="D267" i="14"/>
  <c r="D198" i="14"/>
  <c r="D290" i="14"/>
  <c r="D191" i="14"/>
  <c r="D264" i="14"/>
  <c r="D189" i="14"/>
  <c r="D278" i="14"/>
  <c r="D188" i="14"/>
  <c r="D190" i="14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46" i="14" s="1"/>
  <c r="D136" i="14"/>
  <c r="D137" i="14" s="1"/>
  <c r="D135" i="14"/>
  <c r="D130" i="14"/>
  <c r="D129" i="14"/>
  <c r="D123" i="14"/>
  <c r="D120" i="14"/>
  <c r="D110" i="14"/>
  <c r="D109" i="14"/>
  <c r="D111" i="14" s="1"/>
  <c r="D101" i="14"/>
  <c r="D102" i="14" s="1"/>
  <c r="D103" i="14" s="1"/>
  <c r="D100" i="14"/>
  <c r="D95" i="14"/>
  <c r="D94" i="14"/>
  <c r="D88" i="14"/>
  <c r="D89" i="14" s="1"/>
  <c r="D85" i="14"/>
  <c r="D76" i="14"/>
  <c r="D77" i="14"/>
  <c r="D67" i="14"/>
  <c r="D66" i="14"/>
  <c r="D68" i="14" s="1"/>
  <c r="D59" i="14"/>
  <c r="D60" i="14" s="1"/>
  <c r="D61" i="14" s="1"/>
  <c r="D58" i="14"/>
  <c r="D53" i="14"/>
  <c r="D52" i="14"/>
  <c r="D47" i="14"/>
  <c r="D48" i="14" s="1"/>
  <c r="D44" i="14"/>
  <c r="D36" i="14"/>
  <c r="D37" i="14"/>
  <c r="D35" i="14"/>
  <c r="D30" i="14"/>
  <c r="D31" i="14" s="1"/>
  <c r="D32" i="14" s="1"/>
  <c r="D29" i="14"/>
  <c r="D24" i="14"/>
  <c r="D23" i="14"/>
  <c r="D20" i="14"/>
  <c r="D21" i="14" s="1"/>
  <c r="D17" i="14"/>
  <c r="E97" i="19"/>
  <c r="D97" i="19"/>
  <c r="C97" i="19"/>
  <c r="E96" i="19"/>
  <c r="E98" i="19"/>
  <c r="D96" i="19"/>
  <c r="D98" i="19" s="1"/>
  <c r="C96" i="19"/>
  <c r="C98" i="19" s="1"/>
  <c r="E92" i="19"/>
  <c r="D92" i="19"/>
  <c r="C92" i="19"/>
  <c r="E91" i="19"/>
  <c r="E93" i="19" s="1"/>
  <c r="D91" i="19"/>
  <c r="D93" i="19" s="1"/>
  <c r="C91" i="19"/>
  <c r="C93" i="19"/>
  <c r="E87" i="19"/>
  <c r="D87" i="19"/>
  <c r="C87" i="19"/>
  <c r="E86" i="19"/>
  <c r="E88" i="19" s="1"/>
  <c r="D86" i="19"/>
  <c r="D88" i="19" s="1"/>
  <c r="C86" i="19"/>
  <c r="C88" i="19" s="1"/>
  <c r="E83" i="19"/>
  <c r="E101" i="19" s="1"/>
  <c r="D83" i="19"/>
  <c r="D102" i="19" s="1"/>
  <c r="C83" i="19"/>
  <c r="C102" i="19" s="1"/>
  <c r="E76" i="19"/>
  <c r="D76" i="19"/>
  <c r="C76" i="19"/>
  <c r="E75" i="19"/>
  <c r="D75" i="19"/>
  <c r="D101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3" i="19"/>
  <c r="C12" i="19"/>
  <c r="C23" i="19"/>
  <c r="C46" i="19" s="1"/>
  <c r="D21" i="18"/>
  <c r="E21" i="18" s="1"/>
  <c r="F21" i="18" s="1"/>
  <c r="C21" i="18"/>
  <c r="D19" i="18"/>
  <c r="E19" i="18" s="1"/>
  <c r="F19" i="18" s="1"/>
  <c r="C19" i="18"/>
  <c r="E17" i="18"/>
  <c r="F17" i="18" s="1"/>
  <c r="F15" i="18"/>
  <c r="E15" i="18"/>
  <c r="D45" i="17"/>
  <c r="E45" i="17" s="1"/>
  <c r="C45" i="17"/>
  <c r="F45" i="17" s="1"/>
  <c r="D44" i="17"/>
  <c r="E44" i="17" s="1"/>
  <c r="C44" i="17"/>
  <c r="F44" i="17" s="1"/>
  <c r="D43" i="17"/>
  <c r="D46" i="17" s="1"/>
  <c r="C43" i="17"/>
  <c r="D36" i="17"/>
  <c r="D40" i="17"/>
  <c r="C36" i="17"/>
  <c r="E35" i="17"/>
  <c r="F35" i="17"/>
  <c r="E34" i="17"/>
  <c r="F34" i="17"/>
  <c r="E33" i="17"/>
  <c r="E36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E24" i="17"/>
  <c r="F24" i="17" s="1"/>
  <c r="E23" i="17"/>
  <c r="F23" i="17" s="1"/>
  <c r="E22" i="17"/>
  <c r="F22" i="17" s="1"/>
  <c r="E25" i="17"/>
  <c r="D19" i="17"/>
  <c r="D20" i="17" s="1"/>
  <c r="C19" i="17"/>
  <c r="E18" i="17"/>
  <c r="F18" i="17"/>
  <c r="D16" i="17"/>
  <c r="C16" i="17"/>
  <c r="E16" i="17"/>
  <c r="F16" i="17"/>
  <c r="E15" i="17"/>
  <c r="F15" i="17"/>
  <c r="E13" i="17"/>
  <c r="F13" i="17"/>
  <c r="E12" i="17"/>
  <c r="F12" i="17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/>
  <c r="C36" i="16"/>
  <c r="C32" i="16"/>
  <c r="C33" i="16" s="1"/>
  <c r="C21" i="16"/>
  <c r="C22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/>
  <c r="C314" i="15"/>
  <c r="C316" i="15"/>
  <c r="C320" i="15" s="1"/>
  <c r="E308" i="15"/>
  <c r="E305" i="15"/>
  <c r="D301" i="15"/>
  <c r="E301" i="15" s="1"/>
  <c r="C301" i="15"/>
  <c r="D293" i="15"/>
  <c r="C293" i="15"/>
  <c r="E293" i="15" s="1"/>
  <c r="D292" i="15"/>
  <c r="E292" i="15" s="1"/>
  <c r="C292" i="15"/>
  <c r="D291" i="15"/>
  <c r="E291" i="15"/>
  <c r="C291" i="15"/>
  <c r="D290" i="15"/>
  <c r="C290" i="15"/>
  <c r="E290" i="15"/>
  <c r="D288" i="15"/>
  <c r="E288" i="15"/>
  <c r="C288" i="15"/>
  <c r="D287" i="15"/>
  <c r="E287" i="15" s="1"/>
  <c r="C287" i="15"/>
  <c r="D282" i="15"/>
  <c r="E282" i="15"/>
  <c r="C282" i="15"/>
  <c r="D281" i="15"/>
  <c r="E281" i="15" s="1"/>
  <c r="C281" i="15"/>
  <c r="D280" i="15"/>
  <c r="C280" i="15"/>
  <c r="E280" i="15" s="1"/>
  <c r="D279" i="15"/>
  <c r="E279" i="15" s="1"/>
  <c r="C279" i="15"/>
  <c r="D278" i="15"/>
  <c r="E278" i="15"/>
  <c r="C278" i="15"/>
  <c r="D277" i="15"/>
  <c r="E277" i="15" s="1"/>
  <c r="C277" i="15"/>
  <c r="D276" i="15"/>
  <c r="C276" i="15"/>
  <c r="E276" i="15" s="1"/>
  <c r="E270" i="15"/>
  <c r="D265" i="15"/>
  <c r="E265" i="15" s="1"/>
  <c r="C265" i="15"/>
  <c r="C302" i="15" s="1"/>
  <c r="C303" i="15" s="1"/>
  <c r="C306" i="15" s="1"/>
  <c r="C310" i="15" s="1"/>
  <c r="D262" i="15"/>
  <c r="C262" i="15"/>
  <c r="E262" i="15" s="1"/>
  <c r="D251" i="15"/>
  <c r="C251" i="15"/>
  <c r="D233" i="15"/>
  <c r="C233" i="15"/>
  <c r="D232" i="15"/>
  <c r="E232" i="15" s="1"/>
  <c r="C232" i="15"/>
  <c r="D231" i="15"/>
  <c r="C231" i="15"/>
  <c r="D230" i="15"/>
  <c r="C230" i="15"/>
  <c r="D228" i="15"/>
  <c r="E228" i="15"/>
  <c r="C228" i="15"/>
  <c r="D227" i="15"/>
  <c r="C227" i="15"/>
  <c r="E227" i="15"/>
  <c r="D221" i="15"/>
  <c r="D245" i="15"/>
  <c r="C221" i="15"/>
  <c r="C245" i="15"/>
  <c r="D220" i="15"/>
  <c r="D244" i="15"/>
  <c r="C220" i="15"/>
  <c r="C244" i="15"/>
  <c r="D219" i="15"/>
  <c r="C219" i="15"/>
  <c r="C243" i="15" s="1"/>
  <c r="D218" i="15"/>
  <c r="D242" i="15" s="1"/>
  <c r="C218" i="15"/>
  <c r="D216" i="15"/>
  <c r="E216" i="15" s="1"/>
  <c r="C216" i="15"/>
  <c r="C222" i="15" s="1"/>
  <c r="D215" i="15"/>
  <c r="C215" i="15"/>
  <c r="C239" i="15"/>
  <c r="E209" i="15"/>
  <c r="E208" i="15"/>
  <c r="E207" i="15"/>
  <c r="E206" i="15"/>
  <c r="D205" i="15"/>
  <c r="E205" i="15"/>
  <c r="C205" i="15"/>
  <c r="C229" i="15"/>
  <c r="C210" i="15"/>
  <c r="C211" i="15"/>
  <c r="E204" i="15"/>
  <c r="E203" i="15"/>
  <c r="E197" i="15"/>
  <c r="E196" i="15"/>
  <c r="D195" i="15"/>
  <c r="C195" i="15"/>
  <c r="C260" i="15" s="1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C179" i="15"/>
  <c r="E179" i="15" s="1"/>
  <c r="D178" i="15"/>
  <c r="E178" i="15" s="1"/>
  <c r="C178" i="15"/>
  <c r="D177" i="15"/>
  <c r="C177" i="15"/>
  <c r="D176" i="15"/>
  <c r="C176" i="15"/>
  <c r="E176" i="15" s="1"/>
  <c r="D174" i="15"/>
  <c r="E174" i="15" s="1"/>
  <c r="C174" i="15"/>
  <c r="D173" i="15"/>
  <c r="C173" i="15"/>
  <c r="D167" i="15"/>
  <c r="E167" i="15"/>
  <c r="C167" i="15"/>
  <c r="D166" i="15"/>
  <c r="E166" i="15" s="1"/>
  <c r="C166" i="15"/>
  <c r="D165" i="15"/>
  <c r="C165" i="15"/>
  <c r="E165" i="15" s="1"/>
  <c r="D164" i="15"/>
  <c r="E164" i="15" s="1"/>
  <c r="C164" i="15"/>
  <c r="D162" i="15"/>
  <c r="C162" i="15"/>
  <c r="D161" i="15"/>
  <c r="C161" i="15"/>
  <c r="E161" i="15" s="1"/>
  <c r="E155" i="15"/>
  <c r="E154" i="15"/>
  <c r="E153" i="15"/>
  <c r="E152" i="15"/>
  <c r="D151" i="15"/>
  <c r="E151" i="15" s="1"/>
  <c r="C151" i="15"/>
  <c r="C156" i="15" s="1"/>
  <c r="C157" i="15" s="1"/>
  <c r="E150" i="15"/>
  <c r="E149" i="15"/>
  <c r="E143" i="15"/>
  <c r="E142" i="15"/>
  <c r="E141" i="15"/>
  <c r="E140" i="15"/>
  <c r="D139" i="15"/>
  <c r="D144" i="15"/>
  <c r="D145" i="15" s="1"/>
  <c r="C139" i="15"/>
  <c r="C144" i="15" s="1"/>
  <c r="C180" i="15" s="1"/>
  <c r="E138" i="15"/>
  <c r="E137" i="15"/>
  <c r="D75" i="15"/>
  <c r="E75" i="15"/>
  <c r="C75" i="15"/>
  <c r="D74" i="15"/>
  <c r="C74" i="15"/>
  <c r="E74" i="15"/>
  <c r="D73" i="15"/>
  <c r="E73" i="15"/>
  <c r="C73" i="15"/>
  <c r="D72" i="15"/>
  <c r="E72" i="15" s="1"/>
  <c r="C72" i="15"/>
  <c r="D70" i="15"/>
  <c r="C70" i="15"/>
  <c r="D69" i="15"/>
  <c r="C69" i="15"/>
  <c r="E69" i="15" s="1"/>
  <c r="E64" i="15"/>
  <c r="E63" i="15"/>
  <c r="E62" i="15"/>
  <c r="E61" i="15"/>
  <c r="D60" i="15"/>
  <c r="D71" i="15" s="1"/>
  <c r="C60" i="15"/>
  <c r="C65" i="15" s="1"/>
  <c r="C66" i="15" s="1"/>
  <c r="E59" i="15"/>
  <c r="E58" i="15"/>
  <c r="D54" i="15"/>
  <c r="D55" i="15"/>
  <c r="C54" i="15"/>
  <c r="E54" i="15"/>
  <c r="E53" i="15"/>
  <c r="E52" i="15"/>
  <c r="E51" i="15"/>
  <c r="E50" i="15"/>
  <c r="E49" i="15"/>
  <c r="E48" i="15"/>
  <c r="E47" i="15"/>
  <c r="D42" i="15"/>
  <c r="C42" i="15"/>
  <c r="E42" i="15" s="1"/>
  <c r="D41" i="15"/>
  <c r="C41" i="15"/>
  <c r="E41" i="15"/>
  <c r="D40" i="15"/>
  <c r="E40" i="15"/>
  <c r="C40" i="15"/>
  <c r="D39" i="15"/>
  <c r="C39" i="15"/>
  <c r="D38" i="15"/>
  <c r="C38" i="15"/>
  <c r="E38" i="15" s="1"/>
  <c r="D37" i="15"/>
  <c r="D43" i="15" s="1"/>
  <c r="C37" i="15"/>
  <c r="E37" i="15"/>
  <c r="D36" i="15"/>
  <c r="E36" i="15"/>
  <c r="C36" i="15"/>
  <c r="D33" i="15"/>
  <c r="D32" i="15"/>
  <c r="C32" i="15"/>
  <c r="C33" i="15" s="1"/>
  <c r="C295" i="15" s="1"/>
  <c r="E31" i="15"/>
  <c r="E30" i="15"/>
  <c r="E29" i="15"/>
  <c r="E28" i="15"/>
  <c r="E27" i="15"/>
  <c r="E26" i="15"/>
  <c r="E25" i="15"/>
  <c r="D21" i="15"/>
  <c r="D22" i="15" s="1"/>
  <c r="C21" i="15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11" i="14" s="1"/>
  <c r="F311" i="14" s="1"/>
  <c r="E308" i="14"/>
  <c r="F308" i="14" s="1"/>
  <c r="C307" i="14"/>
  <c r="C299" i="14"/>
  <c r="C298" i="14"/>
  <c r="C297" i="14"/>
  <c r="E297" i="14" s="1"/>
  <c r="F297" i="14" s="1"/>
  <c r="C296" i="14"/>
  <c r="E296" i="14" s="1"/>
  <c r="C295" i="14"/>
  <c r="C294" i="14"/>
  <c r="E294" i="14" s="1"/>
  <c r="F294" i="14" s="1"/>
  <c r="C250" i="14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C237" i="14"/>
  <c r="C239" i="14"/>
  <c r="E234" i="14"/>
  <c r="F234" i="14"/>
  <c r="E233" i="14"/>
  <c r="F233" i="14" s="1"/>
  <c r="C230" i="14"/>
  <c r="C229" i="14"/>
  <c r="E229" i="14" s="1"/>
  <c r="E228" i="14"/>
  <c r="F228" i="14" s="1"/>
  <c r="C226" i="14"/>
  <c r="E226" i="14" s="1"/>
  <c r="E225" i="14"/>
  <c r="F225" i="14" s="1"/>
  <c r="E224" i="14"/>
  <c r="F224" i="14" s="1"/>
  <c r="C223" i="14"/>
  <c r="E222" i="14"/>
  <c r="F222" i="14"/>
  <c r="E221" i="14"/>
  <c r="F221" i="14"/>
  <c r="C204" i="14"/>
  <c r="E204" i="14" s="1"/>
  <c r="C203" i="14"/>
  <c r="C267" i="14" s="1"/>
  <c r="C198" i="14"/>
  <c r="C290" i="14" s="1"/>
  <c r="C191" i="14"/>
  <c r="C264" i="14" s="1"/>
  <c r="C190" i="14"/>
  <c r="C189" i="14"/>
  <c r="C215" i="14"/>
  <c r="C188" i="14"/>
  <c r="C277" i="14"/>
  <c r="C180" i="14"/>
  <c r="E180" i="14"/>
  <c r="C179" i="14"/>
  <c r="C171" i="14"/>
  <c r="C172" i="14" s="1"/>
  <c r="C173" i="14" s="1"/>
  <c r="C170" i="14"/>
  <c r="E170" i="14"/>
  <c r="E169" i="14"/>
  <c r="F169" i="14"/>
  <c r="E168" i="14"/>
  <c r="F168" i="14"/>
  <c r="C165" i="14"/>
  <c r="E165" i="14"/>
  <c r="F165" i="14" s="1"/>
  <c r="C164" i="14"/>
  <c r="E164" i="14" s="1"/>
  <c r="E163" i="14"/>
  <c r="F163" i="14" s="1"/>
  <c r="C159" i="14"/>
  <c r="C158" i="14"/>
  <c r="E158" i="14"/>
  <c r="F158" i="14" s="1"/>
  <c r="F157" i="14"/>
  <c r="E157" i="14"/>
  <c r="E156" i="14"/>
  <c r="F156" i="14" s="1"/>
  <c r="C155" i="14"/>
  <c r="E155" i="14" s="1"/>
  <c r="E154" i="14"/>
  <c r="F154" i="14" s="1"/>
  <c r="E153" i="14"/>
  <c r="F153" i="14" s="1"/>
  <c r="C145" i="14"/>
  <c r="C144" i="14"/>
  <c r="E144" i="14"/>
  <c r="C136" i="14"/>
  <c r="C137" i="14"/>
  <c r="C135" i="14"/>
  <c r="E135" i="14"/>
  <c r="F135" i="14" s="1"/>
  <c r="E134" i="14"/>
  <c r="F134" i="14" s="1"/>
  <c r="E133" i="14"/>
  <c r="F133" i="14" s="1"/>
  <c r="C130" i="14"/>
  <c r="E130" i="14" s="1"/>
  <c r="C129" i="14"/>
  <c r="E129" i="14" s="1"/>
  <c r="E128" i="14"/>
  <c r="F128" i="14" s="1"/>
  <c r="C123" i="14"/>
  <c r="C192" i="14" s="1"/>
  <c r="E122" i="14"/>
  <c r="F122" i="14" s="1"/>
  <c r="E121" i="14"/>
  <c r="F121" i="14" s="1"/>
  <c r="C120" i="14"/>
  <c r="E120" i="14" s="1"/>
  <c r="F119" i="14"/>
  <c r="E119" i="14"/>
  <c r="E118" i="14"/>
  <c r="F118" i="14" s="1"/>
  <c r="C110" i="14"/>
  <c r="E110" i="14" s="1"/>
  <c r="C109" i="14"/>
  <c r="E109" i="14" s="1"/>
  <c r="C101" i="14"/>
  <c r="C100" i="14"/>
  <c r="E100" i="14"/>
  <c r="E99" i="14"/>
  <c r="F99" i="14"/>
  <c r="E98" i="14"/>
  <c r="F98" i="14"/>
  <c r="C95" i="14"/>
  <c r="E95" i="14"/>
  <c r="C94" i="14"/>
  <c r="E94" i="14"/>
  <c r="F94" i="14" s="1"/>
  <c r="E93" i="14"/>
  <c r="F93" i="14" s="1"/>
  <c r="C89" i="14"/>
  <c r="C88" i="14"/>
  <c r="E88" i="14"/>
  <c r="E87" i="14"/>
  <c r="F87" i="14"/>
  <c r="E86" i="14"/>
  <c r="F86" i="14"/>
  <c r="C85" i="14"/>
  <c r="E85" i="14"/>
  <c r="F85" i="14" s="1"/>
  <c r="E84" i="14"/>
  <c r="F84" i="14" s="1"/>
  <c r="E83" i="14"/>
  <c r="F83" i="14" s="1"/>
  <c r="C77" i="14"/>
  <c r="C76" i="14"/>
  <c r="E76" i="14"/>
  <c r="E74" i="14"/>
  <c r="F74" i="14"/>
  <c r="E73" i="14"/>
  <c r="F73" i="14"/>
  <c r="C67" i="14"/>
  <c r="E67" i="14"/>
  <c r="C66" i="14"/>
  <c r="E66" i="14"/>
  <c r="C59" i="14"/>
  <c r="C60" i="14"/>
  <c r="C58" i="14"/>
  <c r="E58" i="14" s="1"/>
  <c r="E57" i="14"/>
  <c r="F57" i="14" s="1"/>
  <c r="F56" i="14"/>
  <c r="E56" i="14"/>
  <c r="C53" i="14"/>
  <c r="C52" i="14"/>
  <c r="E52" i="14"/>
  <c r="E51" i="14"/>
  <c r="F51" i="14"/>
  <c r="C47" i="14"/>
  <c r="C48" i="14"/>
  <c r="E46" i="14"/>
  <c r="F46" i="14"/>
  <c r="E45" i="14"/>
  <c r="F45" i="14"/>
  <c r="C44" i="14"/>
  <c r="E44" i="14" s="1"/>
  <c r="E43" i="14"/>
  <c r="F43" i="14" s="1"/>
  <c r="F42" i="14"/>
  <c r="E42" i="14"/>
  <c r="C36" i="14"/>
  <c r="C35" i="14"/>
  <c r="C37" i="14"/>
  <c r="C30" i="14"/>
  <c r="C31" i="14"/>
  <c r="C29" i="14"/>
  <c r="E29" i="14" s="1"/>
  <c r="E28" i="14"/>
  <c r="F28" i="14" s="1"/>
  <c r="F27" i="14"/>
  <c r="E27" i="14"/>
  <c r="C24" i="14"/>
  <c r="C23" i="14"/>
  <c r="E23" i="14"/>
  <c r="E22" i="14"/>
  <c r="F22" i="14"/>
  <c r="C20" i="14"/>
  <c r="E20" i="14"/>
  <c r="E19" i="14"/>
  <c r="F19" i="14"/>
  <c r="E18" i="14"/>
  <c r="F18" i="14"/>
  <c r="C17" i="14"/>
  <c r="E17" i="14"/>
  <c r="E16" i="14"/>
  <c r="F16" i="14"/>
  <c r="E15" i="14"/>
  <c r="F15" i="14"/>
  <c r="D25" i="13"/>
  <c r="C25" i="13"/>
  <c r="E24" i="13"/>
  <c r="F24" i="13"/>
  <c r="E23" i="13"/>
  <c r="F23" i="13"/>
  <c r="E22" i="13"/>
  <c r="F22" i="13"/>
  <c r="D19" i="13"/>
  <c r="E19" i="13" s="1"/>
  <c r="C19" i="13"/>
  <c r="E18" i="13"/>
  <c r="F18" i="13"/>
  <c r="F17" i="13"/>
  <c r="E17" i="13"/>
  <c r="D14" i="13"/>
  <c r="C14" i="13"/>
  <c r="E14" i="13" s="1"/>
  <c r="E13" i="13"/>
  <c r="F13" i="13"/>
  <c r="E12" i="13"/>
  <c r="F12" i="13" s="1"/>
  <c r="D99" i="12"/>
  <c r="E99" i="12" s="1"/>
  <c r="C99" i="12"/>
  <c r="E98" i="12"/>
  <c r="F98" i="12"/>
  <c r="E97" i="12"/>
  <c r="F97" i="12"/>
  <c r="E96" i="12"/>
  <c r="F96" i="12"/>
  <c r="D92" i="12"/>
  <c r="C92" i="12"/>
  <c r="E91" i="12"/>
  <c r="F91" i="12"/>
  <c r="F90" i="12"/>
  <c r="E90" i="12"/>
  <c r="E89" i="12"/>
  <c r="F89" i="12"/>
  <c r="E88" i="12"/>
  <c r="F88" i="12"/>
  <c r="E87" i="12"/>
  <c r="F87" i="12"/>
  <c r="D84" i="12"/>
  <c r="E84" i="12" s="1"/>
  <c r="C84" i="12"/>
  <c r="E83" i="12"/>
  <c r="F83" i="12"/>
  <c r="E82" i="12"/>
  <c r="F82" i="12" s="1"/>
  <c r="E81" i="12"/>
  <c r="F81" i="12"/>
  <c r="F80" i="12"/>
  <c r="E80" i="12"/>
  <c r="F79" i="12"/>
  <c r="E79" i="12"/>
  <c r="D75" i="12"/>
  <c r="C75" i="12"/>
  <c r="E74" i="12"/>
  <c r="F74" i="12" s="1"/>
  <c r="E73" i="12"/>
  <c r="F73" i="12"/>
  <c r="D70" i="12"/>
  <c r="C70" i="12"/>
  <c r="E70" i="12"/>
  <c r="F70" i="12"/>
  <c r="E69" i="12"/>
  <c r="F69" i="12" s="1"/>
  <c r="E68" i="12"/>
  <c r="F68" i="12"/>
  <c r="D65" i="12"/>
  <c r="C65" i="12"/>
  <c r="E65" i="12"/>
  <c r="F65" i="12"/>
  <c r="E64" i="12"/>
  <c r="F64" i="12" s="1"/>
  <c r="E63" i="12"/>
  <c r="F63" i="12"/>
  <c r="D60" i="12"/>
  <c r="C60" i="12"/>
  <c r="F60" i="12" s="1"/>
  <c r="F59" i="12"/>
  <c r="E59" i="12"/>
  <c r="F58" i="12"/>
  <c r="E58" i="12"/>
  <c r="E60" i="12"/>
  <c r="D55" i="12"/>
  <c r="C55" i="12"/>
  <c r="E55" i="12"/>
  <c r="F54" i="12"/>
  <c r="E54" i="12"/>
  <c r="F53" i="12"/>
  <c r="E53" i="12"/>
  <c r="D50" i="12"/>
  <c r="C50" i="12"/>
  <c r="E50" i="12"/>
  <c r="F50" i="12" s="1"/>
  <c r="F49" i="12"/>
  <c r="E49" i="12"/>
  <c r="E48" i="12"/>
  <c r="F48" i="12" s="1"/>
  <c r="D45" i="12"/>
  <c r="C45" i="12"/>
  <c r="E45" i="12"/>
  <c r="F45" i="12" s="1"/>
  <c r="E44" i="12"/>
  <c r="F44" i="12" s="1"/>
  <c r="E43" i="12"/>
  <c r="F43" i="12" s="1"/>
  <c r="D37" i="12"/>
  <c r="C37" i="12"/>
  <c r="E37" i="12"/>
  <c r="F37" i="12" s="1"/>
  <c r="F36" i="12"/>
  <c r="E36" i="12"/>
  <c r="F35" i="12"/>
  <c r="E35" i="12"/>
  <c r="F34" i="12"/>
  <c r="E34" i="12"/>
  <c r="E33" i="12"/>
  <c r="F33" i="12" s="1"/>
  <c r="D30" i="12"/>
  <c r="C30" i="12"/>
  <c r="E30" i="12"/>
  <c r="F30" i="12"/>
  <c r="F29" i="12"/>
  <c r="E29" i="12"/>
  <c r="F28" i="12"/>
  <c r="E28" i="12"/>
  <c r="E27" i="12"/>
  <c r="F27" i="12" s="1"/>
  <c r="F26" i="12"/>
  <c r="E26" i="12"/>
  <c r="D23" i="12"/>
  <c r="C23" i="12"/>
  <c r="E23" i="12"/>
  <c r="F23" i="12" s="1"/>
  <c r="F22" i="12"/>
  <c r="E22" i="12"/>
  <c r="E21" i="12"/>
  <c r="F21" i="12"/>
  <c r="E20" i="12"/>
  <c r="F20" i="12" s="1"/>
  <c r="E19" i="12"/>
  <c r="F19" i="12"/>
  <c r="D16" i="12"/>
  <c r="C16" i="12"/>
  <c r="E16" i="12" s="1"/>
  <c r="F16" i="12" s="1"/>
  <c r="F15" i="12"/>
  <c r="E15" i="12"/>
  <c r="E14" i="12"/>
  <c r="F14" i="12"/>
  <c r="E13" i="12"/>
  <c r="F13" i="12" s="1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3" i="11"/>
  <c r="E36" i="11" s="1"/>
  <c r="E38" i="11" s="1"/>
  <c r="E40" i="11" s="1"/>
  <c r="D17" i="11"/>
  <c r="D31" i="11" s="1"/>
  <c r="C17" i="11"/>
  <c r="F17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 s="1"/>
  <c r="E77" i="10" s="1"/>
  <c r="D78" i="10"/>
  <c r="D80" i="10"/>
  <c r="D77" i="10" s="1"/>
  <c r="C78" i="10"/>
  <c r="C80" i="10" s="1"/>
  <c r="C77" i="10" s="1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E50" i="10" s="1"/>
  <c r="D55" i="10"/>
  <c r="D50" i="10" s="1"/>
  <c r="C55" i="10"/>
  <c r="E54" i="10"/>
  <c r="D54" i="10"/>
  <c r="C54" i="10"/>
  <c r="C50" i="10" s="1"/>
  <c r="E46" i="10"/>
  <c r="E48" i="10"/>
  <c r="E42" i="10" s="1"/>
  <c r="D46" i="10"/>
  <c r="D59" i="10" s="1"/>
  <c r="D61" i="10" s="1"/>
  <c r="D57" i="10" s="1"/>
  <c r="C46" i="10"/>
  <c r="C48" i="10" s="1"/>
  <c r="C42" i="10" s="1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25" i="10" s="1"/>
  <c r="E27" i="10" s="1"/>
  <c r="D13" i="10"/>
  <c r="D15" i="10" s="1"/>
  <c r="D24" i="10" s="1"/>
  <c r="C13" i="10"/>
  <c r="C15" i="10"/>
  <c r="D46" i="9"/>
  <c r="C46" i="9"/>
  <c r="F46" i="9" s="1"/>
  <c r="F45" i="9"/>
  <c r="E45" i="9"/>
  <c r="F44" i="9"/>
  <c r="E44" i="9"/>
  <c r="D39" i="9"/>
  <c r="C39" i="9"/>
  <c r="E38" i="9"/>
  <c r="F38" i="9"/>
  <c r="E37" i="9"/>
  <c r="F37" i="9"/>
  <c r="E36" i="9"/>
  <c r="F36" i="9"/>
  <c r="D31" i="9"/>
  <c r="E31" i="9" s="1"/>
  <c r="C31" i="9"/>
  <c r="E30" i="9"/>
  <c r="F30" i="9"/>
  <c r="E29" i="9"/>
  <c r="F29" i="9" s="1"/>
  <c r="E28" i="9"/>
  <c r="F28" i="9"/>
  <c r="E27" i="9"/>
  <c r="F27" i="9" s="1"/>
  <c r="E26" i="9"/>
  <c r="F26" i="9"/>
  <c r="E25" i="9"/>
  <c r="F25" i="9" s="1"/>
  <c r="E24" i="9"/>
  <c r="F24" i="9"/>
  <c r="E23" i="9"/>
  <c r="F23" i="9" s="1"/>
  <c r="E22" i="9"/>
  <c r="F22" i="9"/>
  <c r="F18" i="9"/>
  <c r="E18" i="9"/>
  <c r="E17" i="9"/>
  <c r="F17" i="9"/>
  <c r="D16" i="9"/>
  <c r="D19" i="9" s="1"/>
  <c r="C16" i="9"/>
  <c r="F15" i="9"/>
  <c r="E15" i="9"/>
  <c r="E14" i="9"/>
  <c r="F14" i="9" s="1"/>
  <c r="E13" i="9"/>
  <c r="F13" i="9" s="1"/>
  <c r="E12" i="9"/>
  <c r="F12" i="9" s="1"/>
  <c r="D73" i="8"/>
  <c r="C73" i="8"/>
  <c r="E72" i="8"/>
  <c r="F72" i="8" s="1"/>
  <c r="E71" i="8"/>
  <c r="F71" i="8" s="1"/>
  <c r="E70" i="8"/>
  <c r="F70" i="8" s="1"/>
  <c r="E67" i="8"/>
  <c r="F67" i="8" s="1"/>
  <c r="E64" i="8"/>
  <c r="F64" i="8" s="1"/>
  <c r="E63" i="8"/>
  <c r="F63" i="8" s="1"/>
  <c r="D61" i="8"/>
  <c r="D65" i="8" s="1"/>
  <c r="D75" i="8" s="1"/>
  <c r="C61" i="8"/>
  <c r="E60" i="8"/>
  <c r="F60" i="8" s="1"/>
  <c r="E59" i="8"/>
  <c r="F59" i="8"/>
  <c r="D56" i="8"/>
  <c r="C56" i="8"/>
  <c r="E55" i="8"/>
  <c r="F55" i="8" s="1"/>
  <c r="E54" i="8"/>
  <c r="F54" i="8" s="1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F40" i="8"/>
  <c r="E40" i="8"/>
  <c r="D38" i="8"/>
  <c r="E38" i="8" s="1"/>
  <c r="C38" i="8"/>
  <c r="C41" i="8" s="1"/>
  <c r="E37" i="8"/>
  <c r="F37" i="8" s="1"/>
  <c r="E36" i="8"/>
  <c r="F36" i="8" s="1"/>
  <c r="E33" i="8"/>
  <c r="F33" i="8" s="1"/>
  <c r="E32" i="8"/>
  <c r="F32" i="8" s="1"/>
  <c r="F31" i="8"/>
  <c r="E31" i="8"/>
  <c r="D29" i="8"/>
  <c r="C29" i="8"/>
  <c r="E28" i="8"/>
  <c r="F28" i="8" s="1"/>
  <c r="F27" i="8"/>
  <c r="E27" i="8"/>
  <c r="E26" i="8"/>
  <c r="F26" i="8" s="1"/>
  <c r="E25" i="8"/>
  <c r="F25" i="8" s="1"/>
  <c r="D22" i="8"/>
  <c r="C22" i="8"/>
  <c r="E21" i="8"/>
  <c r="F21" i="8" s="1"/>
  <c r="E20" i="8"/>
  <c r="F20" i="8" s="1"/>
  <c r="E19" i="8"/>
  <c r="F19" i="8" s="1"/>
  <c r="F18" i="8"/>
  <c r="E18" i="8"/>
  <c r="F17" i="8"/>
  <c r="E17" i="8"/>
  <c r="E16" i="8"/>
  <c r="F16" i="8" s="1"/>
  <c r="F15" i="8"/>
  <c r="E15" i="8"/>
  <c r="E14" i="8"/>
  <c r="F14" i="8" s="1"/>
  <c r="F13" i="8"/>
  <c r="E13" i="8"/>
  <c r="D120" i="7"/>
  <c r="E120" i="7" s="1"/>
  <c r="C120" i="7"/>
  <c r="D119" i="7"/>
  <c r="E119" i="7"/>
  <c r="C119" i="7"/>
  <c r="D118" i="7"/>
  <c r="E118" i="7" s="1"/>
  <c r="C118" i="7"/>
  <c r="D117" i="7"/>
  <c r="E117" i="7"/>
  <c r="C117" i="7"/>
  <c r="D116" i="7"/>
  <c r="E116" i="7" s="1"/>
  <c r="C116" i="7"/>
  <c r="D115" i="7"/>
  <c r="C115" i="7"/>
  <c r="E115" i="7" s="1"/>
  <c r="F115" i="7" s="1"/>
  <c r="D114" i="7"/>
  <c r="E114" i="7" s="1"/>
  <c r="C114" i="7"/>
  <c r="D113" i="7"/>
  <c r="D122" i="7" s="1"/>
  <c r="C113" i="7"/>
  <c r="D112" i="7"/>
  <c r="D121" i="7"/>
  <c r="C112" i="7"/>
  <c r="D108" i="7"/>
  <c r="E108" i="7" s="1"/>
  <c r="C108" i="7"/>
  <c r="F108" i="7" s="1"/>
  <c r="D107" i="7"/>
  <c r="E107" i="7" s="1"/>
  <c r="C107" i="7"/>
  <c r="E106" i="7"/>
  <c r="F106" i="7"/>
  <c r="E105" i="7"/>
  <c r="F105" i="7" s="1"/>
  <c r="E104" i="7"/>
  <c r="F104" i="7"/>
  <c r="E103" i="7"/>
  <c r="F103" i="7" s="1"/>
  <c r="E102" i="7"/>
  <c r="F102" i="7"/>
  <c r="E101" i="7"/>
  <c r="F101" i="7" s="1"/>
  <c r="E100" i="7"/>
  <c r="F100" i="7"/>
  <c r="E99" i="7"/>
  <c r="F99" i="7" s="1"/>
  <c r="E98" i="7"/>
  <c r="F98" i="7"/>
  <c r="D96" i="7"/>
  <c r="C96" i="7"/>
  <c r="E96" i="7" s="1"/>
  <c r="D95" i="7"/>
  <c r="C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E72" i="7" s="1"/>
  <c r="D71" i="7"/>
  <c r="C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 s="1"/>
  <c r="D59" i="7"/>
  <c r="E59" i="7" s="1"/>
  <c r="C59" i="7"/>
  <c r="E58" i="7"/>
  <c r="F58" i="7"/>
  <c r="E57" i="7"/>
  <c r="F57" i="7" s="1"/>
  <c r="E56" i="7"/>
  <c r="F56" i="7"/>
  <c r="E55" i="7"/>
  <c r="F55" i="7" s="1"/>
  <c r="E54" i="7"/>
  <c r="F54" i="7"/>
  <c r="E53" i="7"/>
  <c r="F53" i="7" s="1"/>
  <c r="E52" i="7"/>
  <c r="F52" i="7" s="1"/>
  <c r="F51" i="7"/>
  <c r="E51" i="7"/>
  <c r="E50" i="7"/>
  <c r="F50" i="7" s="1"/>
  <c r="D48" i="7"/>
  <c r="C48" i="7"/>
  <c r="E48" i="7"/>
  <c r="D47" i="7"/>
  <c r="C47" i="7"/>
  <c r="E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C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 s="1"/>
  <c r="D23" i="7"/>
  <c r="C23" i="7"/>
  <c r="E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C206" i="6"/>
  <c r="E206" i="6"/>
  <c r="D205" i="6"/>
  <c r="E205" i="6" s="1"/>
  <c r="C205" i="6"/>
  <c r="D204" i="6"/>
  <c r="C204" i="6"/>
  <c r="D203" i="6"/>
  <c r="C203" i="6"/>
  <c r="D202" i="6"/>
  <c r="E202" i="6" s="1"/>
  <c r="C202" i="6"/>
  <c r="D201" i="6"/>
  <c r="E201" i="6" s="1"/>
  <c r="C201" i="6"/>
  <c r="F201" i="6" s="1"/>
  <c r="D200" i="6"/>
  <c r="E200" i="6" s="1"/>
  <c r="C200" i="6"/>
  <c r="F200" i="6" s="1"/>
  <c r="D199" i="6"/>
  <c r="D208" i="6" s="1"/>
  <c r="C199" i="6"/>
  <c r="D198" i="6"/>
  <c r="C198" i="6"/>
  <c r="E198" i="6" s="1"/>
  <c r="D193" i="6"/>
  <c r="E193" i="6"/>
  <c r="C193" i="6"/>
  <c r="F193" i="6"/>
  <c r="D192" i="6"/>
  <c r="C192" i="6"/>
  <c r="F192" i="6" s="1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E180" i="6"/>
  <c r="D179" i="6"/>
  <c r="C179" i="6"/>
  <c r="F179" i="6" s="1"/>
  <c r="E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E154" i="6" s="1"/>
  <c r="D153" i="6"/>
  <c r="C153" i="6"/>
  <c r="E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E128" i="6"/>
  <c r="D127" i="6"/>
  <c r="C127" i="6"/>
  <c r="F127" i="6" s="1"/>
  <c r="E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E115" i="6"/>
  <c r="C115" i="6"/>
  <c r="F115" i="6"/>
  <c r="D114" i="6"/>
  <c r="E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E102" i="6" s="1"/>
  <c r="D101" i="6"/>
  <c r="C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F89" i="6"/>
  <c r="D88" i="6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E76" i="6"/>
  <c r="D75" i="6"/>
  <c r="C75" i="6"/>
  <c r="F75" i="6" s="1"/>
  <c r="E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E63" i="6"/>
  <c r="C63" i="6"/>
  <c r="D62" i="6"/>
  <c r="C62" i="6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F50" i="6"/>
  <c r="E50" i="6"/>
  <c r="D49" i="6"/>
  <c r="C49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E37" i="6" s="1"/>
  <c r="C37" i="6"/>
  <c r="F37" i="6" s="1"/>
  <c r="D36" i="6"/>
  <c r="C36" i="6"/>
  <c r="E36" i="6" s="1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F24" i="6" s="1"/>
  <c r="E24" i="6"/>
  <c r="D23" i="6"/>
  <c r="C23" i="6"/>
  <c r="F23" i="6" s="1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/>
  <c r="E166" i="5" s="1"/>
  <c r="D164" i="5"/>
  <c r="D160" i="5" s="1"/>
  <c r="D166" i="5" s="1"/>
  <c r="C164" i="5"/>
  <c r="C160" i="5"/>
  <c r="C166" i="5" s="1"/>
  <c r="E162" i="5"/>
  <c r="D162" i="5"/>
  <c r="C162" i="5"/>
  <c r="E161" i="5"/>
  <c r="D161" i="5"/>
  <c r="C161" i="5"/>
  <c r="E147" i="5"/>
  <c r="D147" i="5"/>
  <c r="D143" i="5"/>
  <c r="D149" i="5" s="1"/>
  <c r="C147" i="5"/>
  <c r="C143" i="5" s="1"/>
  <c r="C149" i="5" s="1"/>
  <c r="E145" i="5"/>
  <c r="D145" i="5"/>
  <c r="C145" i="5"/>
  <c r="E144" i="5"/>
  <c r="D144" i="5"/>
  <c r="C144" i="5"/>
  <c r="E143" i="5"/>
  <c r="E149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/>
  <c r="D106" i="5" s="1"/>
  <c r="C107" i="5"/>
  <c r="C109" i="5" s="1"/>
  <c r="C106" i="5" s="1"/>
  <c r="E102" i="5"/>
  <c r="E104" i="5"/>
  <c r="D102" i="5"/>
  <c r="D104" i="5"/>
  <c r="C102" i="5"/>
  <c r="C104" i="5"/>
  <c r="E100" i="5"/>
  <c r="D100" i="5"/>
  <c r="C100" i="5"/>
  <c r="E95" i="5"/>
  <c r="D95" i="5"/>
  <c r="D94" i="5"/>
  <c r="C95" i="5"/>
  <c r="E94" i="5"/>
  <c r="C94" i="5"/>
  <c r="E89" i="5"/>
  <c r="D89" i="5"/>
  <c r="C89" i="5"/>
  <c r="E87" i="5"/>
  <c r="D87" i="5"/>
  <c r="C87" i="5"/>
  <c r="E84" i="5"/>
  <c r="E79" i="5" s="1"/>
  <c r="D84" i="5"/>
  <c r="D79" i="5" s="1"/>
  <c r="C84" i="5"/>
  <c r="E83" i="5"/>
  <c r="D83" i="5"/>
  <c r="C83" i="5"/>
  <c r="C79" i="5"/>
  <c r="E75" i="5"/>
  <c r="E88" i="5"/>
  <c r="E90" i="5" s="1"/>
  <c r="E86" i="5" s="1"/>
  <c r="D75" i="5"/>
  <c r="D77" i="5"/>
  <c r="C75" i="5"/>
  <c r="C88" i="5"/>
  <c r="C90" i="5" s="1"/>
  <c r="C86" i="5" s="1"/>
  <c r="E74" i="5"/>
  <c r="D74" i="5"/>
  <c r="D71" i="5" s="1"/>
  <c r="C74" i="5"/>
  <c r="E67" i="5"/>
  <c r="D67" i="5"/>
  <c r="C67" i="5"/>
  <c r="E38" i="5"/>
  <c r="E49" i="5" s="1"/>
  <c r="D38" i="5"/>
  <c r="D43" i="5" s="1"/>
  <c r="C38" i="5"/>
  <c r="C53" i="5" s="1"/>
  <c r="E33" i="5"/>
  <c r="E34" i="5" s="1"/>
  <c r="D33" i="5"/>
  <c r="D34" i="5" s="1"/>
  <c r="E26" i="5"/>
  <c r="D26" i="5"/>
  <c r="C26" i="5"/>
  <c r="E13" i="5"/>
  <c r="E15" i="5"/>
  <c r="D13" i="5"/>
  <c r="D25" i="5"/>
  <c r="D27" i="5" s="1"/>
  <c r="C13" i="5"/>
  <c r="C15" i="5" s="1"/>
  <c r="F174" i="4"/>
  <c r="E174" i="4"/>
  <c r="D171" i="4"/>
  <c r="C171" i="4"/>
  <c r="E170" i="4"/>
  <c r="F170" i="4"/>
  <c r="E169" i="4"/>
  <c r="F169" i="4"/>
  <c r="E168" i="4"/>
  <c r="F168" i="4"/>
  <c r="E167" i="4"/>
  <c r="F167" i="4"/>
  <c r="F166" i="4"/>
  <c r="E166" i="4"/>
  <c r="F165" i="4"/>
  <c r="E165" i="4"/>
  <c r="E164" i="4"/>
  <c r="F164" i="4"/>
  <c r="E163" i="4"/>
  <c r="F163" i="4"/>
  <c r="F162" i="4"/>
  <c r="E162" i="4"/>
  <c r="E161" i="4"/>
  <c r="F161" i="4"/>
  <c r="F160" i="4"/>
  <c r="E160" i="4"/>
  <c r="E159" i="4"/>
  <c r="F159" i="4"/>
  <c r="E158" i="4"/>
  <c r="F158" i="4"/>
  <c r="D155" i="4"/>
  <c r="E155" i="4" s="1"/>
  <c r="C155" i="4"/>
  <c r="E154" i="4"/>
  <c r="F154" i="4" s="1"/>
  <c r="F153" i="4"/>
  <c r="E153" i="4"/>
  <c r="E152" i="4"/>
  <c r="F152" i="4" s="1"/>
  <c r="E151" i="4"/>
  <c r="F151" i="4"/>
  <c r="F150" i="4"/>
  <c r="E150" i="4"/>
  <c r="E149" i="4"/>
  <c r="F149" i="4"/>
  <c r="E148" i="4"/>
  <c r="F148" i="4"/>
  <c r="F147" i="4"/>
  <c r="E147" i="4"/>
  <c r="E146" i="4"/>
  <c r="F146" i="4"/>
  <c r="E145" i="4"/>
  <c r="F145" i="4"/>
  <c r="E144" i="4"/>
  <c r="F144" i="4"/>
  <c r="E143" i="4"/>
  <c r="F143" i="4"/>
  <c r="E142" i="4"/>
  <c r="F142" i="4"/>
  <c r="F141" i="4"/>
  <c r="E141" i="4"/>
  <c r="E140" i="4"/>
  <c r="F140" i="4"/>
  <c r="E139" i="4"/>
  <c r="F139" i="4"/>
  <c r="E138" i="4"/>
  <c r="F138" i="4"/>
  <c r="F137" i="4"/>
  <c r="E137" i="4"/>
  <c r="E136" i="4"/>
  <c r="F136" i="4"/>
  <c r="F135" i="4"/>
  <c r="E135" i="4"/>
  <c r="E134" i="4"/>
  <c r="F134" i="4"/>
  <c r="F133" i="4"/>
  <c r="E133" i="4"/>
  <c r="E132" i="4"/>
  <c r="F132" i="4"/>
  <c r="E131" i="4"/>
  <c r="F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C118" i="4"/>
  <c r="E118" i="4" s="1"/>
  <c r="E117" i="4"/>
  <c r="F117" i="4"/>
  <c r="E116" i="4"/>
  <c r="F116" i="4" s="1"/>
  <c r="E115" i="4"/>
  <c r="F115" i="4"/>
  <c r="E114" i="4"/>
  <c r="F114" i="4" s="1"/>
  <c r="E113" i="4"/>
  <c r="F113" i="4"/>
  <c r="E112" i="4"/>
  <c r="F112" i="4" s="1"/>
  <c r="D109" i="4"/>
  <c r="C109" i="4"/>
  <c r="E109" i="4"/>
  <c r="F109" i="4" s="1"/>
  <c r="E108" i="4"/>
  <c r="F108" i="4"/>
  <c r="E107" i="4"/>
  <c r="F107" i="4"/>
  <c r="E106" i="4"/>
  <c r="F106" i="4"/>
  <c r="F105" i="4"/>
  <c r="E105" i="4"/>
  <c r="E104" i="4"/>
  <c r="F104" i="4"/>
  <c r="E103" i="4"/>
  <c r="F103" i="4"/>
  <c r="E102" i="4"/>
  <c r="F102" i="4"/>
  <c r="E101" i="4"/>
  <c r="F101" i="4"/>
  <c r="E100" i="4"/>
  <c r="F100" i="4"/>
  <c r="E99" i="4"/>
  <c r="F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C78" i="4"/>
  <c r="E77" i="4"/>
  <c r="F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F59" i="4" s="1"/>
  <c r="E59" i="4"/>
  <c r="F58" i="4"/>
  <c r="E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E41" i="4" s="1"/>
  <c r="E40" i="4"/>
  <c r="F40" i="4"/>
  <c r="E39" i="4"/>
  <c r="F39" i="4" s="1"/>
  <c r="E38" i="4"/>
  <c r="F38" i="4"/>
  <c r="D35" i="4"/>
  <c r="C35" i="4"/>
  <c r="E35" i="4" s="1"/>
  <c r="F34" i="4"/>
  <c r="E34" i="4"/>
  <c r="E33" i="4"/>
  <c r="F33" i="4" s="1"/>
  <c r="D30" i="4"/>
  <c r="C30" i="4"/>
  <c r="E30" i="4"/>
  <c r="F29" i="4"/>
  <c r="E29" i="4"/>
  <c r="E28" i="4"/>
  <c r="F28" i="4"/>
  <c r="E27" i="4"/>
  <c r="F27" i="4"/>
  <c r="D24" i="4"/>
  <c r="C24" i="4"/>
  <c r="E23" i="4"/>
  <c r="F23" i="4" s="1"/>
  <c r="F22" i="4"/>
  <c r="E22" i="4"/>
  <c r="E21" i="4"/>
  <c r="F21" i="4" s="1"/>
  <c r="D18" i="4"/>
  <c r="D83" i="4" s="1"/>
  <c r="C18" i="4"/>
  <c r="E18" i="4"/>
  <c r="E17" i="4"/>
  <c r="F17" i="4" s="1"/>
  <c r="E16" i="4"/>
  <c r="F16" i="4"/>
  <c r="E15" i="4"/>
  <c r="F15" i="4" s="1"/>
  <c r="D179" i="3"/>
  <c r="C179" i="3"/>
  <c r="E179" i="3"/>
  <c r="F179" i="3"/>
  <c r="F178" i="3"/>
  <c r="E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F166" i="3" s="1"/>
  <c r="E166" i="3"/>
  <c r="F165" i="3"/>
  <c r="E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E153" i="3" s="1"/>
  <c r="C153" i="3"/>
  <c r="F152" i="3"/>
  <c r="E152" i="3"/>
  <c r="E151" i="3"/>
  <c r="F151" i="3" s="1"/>
  <c r="E150" i="3"/>
  <c r="F150" i="3"/>
  <c r="E149" i="3"/>
  <c r="F149" i="3" s="1"/>
  <c r="E148" i="3"/>
  <c r="F148" i="3"/>
  <c r="E147" i="3"/>
  <c r="F147" i="3" s="1"/>
  <c r="E146" i="3"/>
  <c r="F146" i="3"/>
  <c r="E145" i="3"/>
  <c r="F145" i="3" s="1"/>
  <c r="E144" i="3"/>
  <c r="F144" i="3"/>
  <c r="E143" i="3"/>
  <c r="F143" i="3" s="1"/>
  <c r="E142" i="3"/>
  <c r="F142" i="3"/>
  <c r="D137" i="3"/>
  <c r="C137" i="3"/>
  <c r="E137" i="3"/>
  <c r="F136" i="3"/>
  <c r="E136" i="3"/>
  <c r="E135" i="3"/>
  <c r="F135" i="3"/>
  <c r="E134" i="3"/>
  <c r="F134" i="3" s="1"/>
  <c r="E133" i="3"/>
  <c r="F133" i="3"/>
  <c r="E132" i="3"/>
  <c r="F132" i="3" s="1"/>
  <c r="E131" i="3"/>
  <c r="F131" i="3"/>
  <c r="E130" i="3"/>
  <c r="F130" i="3" s="1"/>
  <c r="E129" i="3"/>
  <c r="F129" i="3"/>
  <c r="E128" i="3"/>
  <c r="F128" i="3" s="1"/>
  <c r="E127" i="3"/>
  <c r="F127" i="3"/>
  <c r="E126" i="3"/>
  <c r="F126" i="3" s="1"/>
  <c r="D124" i="3"/>
  <c r="C124" i="3"/>
  <c r="E124" i="3" s="1"/>
  <c r="F124" i="3" s="1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F111" i="3" s="1"/>
  <c r="E111" i="3"/>
  <c r="F110" i="3"/>
  <c r="E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/>
  <c r="C94" i="3"/>
  <c r="F94" i="3"/>
  <c r="D93" i="3"/>
  <c r="E93" i="3"/>
  <c r="C93" i="3"/>
  <c r="D92" i="3"/>
  <c r="C92" i="3"/>
  <c r="E92" i="3"/>
  <c r="F92" i="3" s="1"/>
  <c r="D91" i="3"/>
  <c r="E91" i="3" s="1"/>
  <c r="F91" i="3" s="1"/>
  <c r="C91" i="3"/>
  <c r="D90" i="3"/>
  <c r="E90" i="3" s="1"/>
  <c r="F90" i="3" s="1"/>
  <c r="C90" i="3"/>
  <c r="D89" i="3"/>
  <c r="E89" i="3" s="1"/>
  <c r="F89" i="3" s="1"/>
  <c r="C89" i="3"/>
  <c r="D88" i="3"/>
  <c r="C88" i="3"/>
  <c r="E88" i="3" s="1"/>
  <c r="F88" i="3" s="1"/>
  <c r="D87" i="3"/>
  <c r="C87" i="3"/>
  <c r="D86" i="3"/>
  <c r="C86" i="3"/>
  <c r="D85" i="3"/>
  <c r="E85" i="3"/>
  <c r="C85" i="3"/>
  <c r="E84" i="3"/>
  <c r="D84" i="3"/>
  <c r="D95" i="3"/>
  <c r="C84" i="3"/>
  <c r="D81" i="3"/>
  <c r="C81" i="3"/>
  <c r="E81" i="3"/>
  <c r="F81" i="3" s="1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E68" i="3" s="1"/>
  <c r="F68" i="3" s="1"/>
  <c r="C68" i="3"/>
  <c r="F67" i="3"/>
  <c r="E67" i="3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E51" i="3" s="1"/>
  <c r="C51" i="3"/>
  <c r="F51" i="3" s="1"/>
  <c r="D50" i="3"/>
  <c r="E50" i="3" s="1"/>
  <c r="F50" i="3" s="1"/>
  <c r="C50" i="3"/>
  <c r="D49" i="3"/>
  <c r="C49" i="3"/>
  <c r="E49" i="3"/>
  <c r="F49" i="3" s="1"/>
  <c r="D48" i="3"/>
  <c r="E48" i="3" s="1"/>
  <c r="C48" i="3"/>
  <c r="D47" i="3"/>
  <c r="C47" i="3"/>
  <c r="D46" i="3"/>
  <c r="C46" i="3"/>
  <c r="D45" i="3"/>
  <c r="C45" i="3"/>
  <c r="E45" i="3" s="1"/>
  <c r="F45" i="3" s="1"/>
  <c r="D44" i="3"/>
  <c r="E44" i="3"/>
  <c r="C44" i="3"/>
  <c r="D43" i="3"/>
  <c r="E43" i="3" s="1"/>
  <c r="C43" i="3"/>
  <c r="D42" i="3"/>
  <c r="C42" i="3"/>
  <c r="D41" i="3"/>
  <c r="E41" i="3" s="1"/>
  <c r="C41" i="3"/>
  <c r="D38" i="3"/>
  <c r="C38" i="3"/>
  <c r="F37" i="3"/>
  <c r="E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E25" i="3" s="1"/>
  <c r="F25" i="3" s="1"/>
  <c r="F24" i="3"/>
  <c r="E24" i="3"/>
  <c r="E23" i="3"/>
  <c r="F23" i="3"/>
  <c r="E22" i="3"/>
  <c r="F22" i="3" s="1"/>
  <c r="E21" i="3"/>
  <c r="F21" i="3"/>
  <c r="E20" i="3"/>
  <c r="F20" i="3" s="1"/>
  <c r="E19" i="3"/>
  <c r="F19" i="3"/>
  <c r="E18" i="3"/>
  <c r="F18" i="3" s="1"/>
  <c r="E17" i="3"/>
  <c r="F17" i="3"/>
  <c r="E16" i="3"/>
  <c r="F16" i="3" s="1"/>
  <c r="E15" i="3"/>
  <c r="F15" i="3"/>
  <c r="E14" i="3"/>
  <c r="F14" i="3" s="1"/>
  <c r="E49" i="2"/>
  <c r="F49" i="2"/>
  <c r="D46" i="2"/>
  <c r="C46" i="2"/>
  <c r="E46" i="2" s="1"/>
  <c r="F45" i="2"/>
  <c r="E45" i="2"/>
  <c r="F44" i="2"/>
  <c r="E44" i="2"/>
  <c r="D39" i="2"/>
  <c r="C39" i="2"/>
  <c r="E39" i="2"/>
  <c r="F39" i="2" s="1"/>
  <c r="F38" i="2"/>
  <c r="E38" i="2"/>
  <c r="E37" i="2"/>
  <c r="F37" i="2" s="1"/>
  <c r="F36" i="2"/>
  <c r="E36" i="2"/>
  <c r="D31" i="2"/>
  <c r="C31" i="2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F18" i="2"/>
  <c r="E18" i="2"/>
  <c r="E17" i="2"/>
  <c r="F17" i="2" s="1"/>
  <c r="D16" i="2"/>
  <c r="D19" i="2" s="1"/>
  <c r="D33" i="2" s="1"/>
  <c r="D41" i="2" s="1"/>
  <c r="D48" i="2" s="1"/>
  <c r="C16" i="2"/>
  <c r="E16" i="2" s="1"/>
  <c r="F15" i="2"/>
  <c r="E15" i="2"/>
  <c r="E14" i="2"/>
  <c r="F14" i="2"/>
  <c r="E13" i="2"/>
  <c r="F13" i="2"/>
  <c r="E12" i="2"/>
  <c r="F12" i="2"/>
  <c r="D73" i="1"/>
  <c r="C73" i="1"/>
  <c r="E73" i="1"/>
  <c r="E72" i="1"/>
  <c r="F72" i="1" s="1"/>
  <c r="E71" i="1"/>
  <c r="F71" i="1" s="1"/>
  <c r="F70" i="1"/>
  <c r="E70" i="1"/>
  <c r="F67" i="1"/>
  <c r="E67" i="1"/>
  <c r="E64" i="1"/>
  <c r="F64" i="1"/>
  <c r="E63" i="1"/>
  <c r="F63" i="1"/>
  <c r="D61" i="1"/>
  <c r="E61" i="1" s="1"/>
  <c r="C61" i="1"/>
  <c r="F61" i="1" s="1"/>
  <c r="F60" i="1"/>
  <c r="E60" i="1"/>
  <c r="E59" i="1"/>
  <c r="F59" i="1" s="1"/>
  <c r="D56" i="1"/>
  <c r="C56" i="1"/>
  <c r="E55" i="1"/>
  <c r="F55" i="1"/>
  <c r="E54" i="1"/>
  <c r="F54" i="1"/>
  <c r="E53" i="1"/>
  <c r="F53" i="1"/>
  <c r="F52" i="1"/>
  <c r="E52" i="1"/>
  <c r="E51" i="1"/>
  <c r="F51" i="1"/>
  <c r="E50" i="1"/>
  <c r="F50" i="1"/>
  <c r="A50" i="1"/>
  <c r="A51" i="1"/>
  <c r="A52" i="1" s="1"/>
  <c r="A53" i="1" s="1"/>
  <c r="A54" i="1" s="1"/>
  <c r="A55" i="1" s="1"/>
  <c r="E49" i="1"/>
  <c r="F49" i="1"/>
  <c r="E40" i="1"/>
  <c r="F40" i="1" s="1"/>
  <c r="D38" i="1"/>
  <c r="D41" i="1"/>
  <c r="C38" i="1"/>
  <c r="C41" i="1"/>
  <c r="E37" i="1"/>
  <c r="F37" i="1"/>
  <c r="E36" i="1"/>
  <c r="F36" i="1" s="1"/>
  <c r="E33" i="1"/>
  <c r="F33" i="1" s="1"/>
  <c r="E32" i="1"/>
  <c r="F32" i="1" s="1"/>
  <c r="F31" i="1"/>
  <c r="E31" i="1"/>
  <c r="D29" i="1"/>
  <c r="C29" i="1"/>
  <c r="E29" i="1"/>
  <c r="E28" i="1"/>
  <c r="F28" i="1"/>
  <c r="F27" i="1"/>
  <c r="E27" i="1"/>
  <c r="E26" i="1"/>
  <c r="F26" i="1"/>
  <c r="E25" i="1"/>
  <c r="F25" i="1"/>
  <c r="D22" i="1"/>
  <c r="C22" i="1"/>
  <c r="C43" i="1"/>
  <c r="E21" i="1"/>
  <c r="F21" i="1" s="1"/>
  <c r="E20" i="1"/>
  <c r="F20" i="1"/>
  <c r="E19" i="1"/>
  <c r="F19" i="1" s="1"/>
  <c r="F18" i="1"/>
  <c r="E18" i="1"/>
  <c r="F17" i="1"/>
  <c r="E17" i="1"/>
  <c r="E16" i="1"/>
  <c r="F16" i="1"/>
  <c r="E15" i="1"/>
  <c r="F15" i="1"/>
  <c r="E14" i="1"/>
  <c r="F14" i="1"/>
  <c r="E13" i="1"/>
  <c r="F13" i="1"/>
  <c r="D90" i="14"/>
  <c r="F52" i="14"/>
  <c r="E159" i="14"/>
  <c r="D192" i="14"/>
  <c r="E192" i="14" s="1"/>
  <c r="D199" i="14"/>
  <c r="D283" i="14"/>
  <c r="E77" i="14"/>
  <c r="E89" i="14"/>
  <c r="D206" i="14"/>
  <c r="D205" i="14"/>
  <c r="D261" i="14"/>
  <c r="D215" i="14"/>
  <c r="D255" i="14"/>
  <c r="E264" i="14"/>
  <c r="F264" i="14" s="1"/>
  <c r="D284" i="15"/>
  <c r="F48" i="3"/>
  <c r="D88" i="5"/>
  <c r="D90" i="5"/>
  <c r="D86" i="5" s="1"/>
  <c r="E22" i="1"/>
  <c r="F22" i="1" s="1"/>
  <c r="F29" i="1"/>
  <c r="F16" i="2"/>
  <c r="C19" i="2"/>
  <c r="F46" i="2"/>
  <c r="F41" i="3"/>
  <c r="E24" i="4"/>
  <c r="F24" i="4" s="1"/>
  <c r="F30" i="4"/>
  <c r="E77" i="5"/>
  <c r="E71" i="5"/>
  <c r="F76" i="6"/>
  <c r="F102" i="6"/>
  <c r="F128" i="6"/>
  <c r="F154" i="6"/>
  <c r="F180" i="6"/>
  <c r="D207" i="6"/>
  <c r="F23" i="7"/>
  <c r="F36" i="7"/>
  <c r="F59" i="7"/>
  <c r="F99" i="12"/>
  <c r="C83" i="4"/>
  <c r="E83" i="4"/>
  <c r="E78" i="4"/>
  <c r="F78" i="4"/>
  <c r="C176" i="4"/>
  <c r="E171" i="4"/>
  <c r="F171" i="4" s="1"/>
  <c r="D53" i="5"/>
  <c r="D49" i="5"/>
  <c r="E21" i="10"/>
  <c r="E31" i="14"/>
  <c r="F31" i="14"/>
  <c r="C32" i="14"/>
  <c r="E37" i="14"/>
  <c r="F37" i="14" s="1"/>
  <c r="E60" i="14"/>
  <c r="F60" i="14" s="1"/>
  <c r="C61" i="14"/>
  <c r="C207" i="14"/>
  <c r="E137" i="14"/>
  <c r="F137" i="14" s="1"/>
  <c r="C138" i="14"/>
  <c r="F85" i="3"/>
  <c r="F93" i="3"/>
  <c r="F44" i="3"/>
  <c r="E38" i="1"/>
  <c r="F38" i="1" s="1"/>
  <c r="E19" i="2"/>
  <c r="F84" i="3"/>
  <c r="D57" i="5"/>
  <c r="D62" i="5"/>
  <c r="F24" i="7"/>
  <c r="F47" i="7"/>
  <c r="F60" i="7"/>
  <c r="F84" i="12"/>
  <c r="C49" i="5"/>
  <c r="C43" i="5"/>
  <c r="C137" i="5"/>
  <c r="D33" i="9"/>
  <c r="C24" i="10"/>
  <c r="C17" i="10"/>
  <c r="C28" i="10" s="1"/>
  <c r="E215" i="14"/>
  <c r="F215" i="14"/>
  <c r="C246" i="15"/>
  <c r="C223" i="15"/>
  <c r="C247" i="15" s="1"/>
  <c r="E247" i="15" s="1"/>
  <c r="F43" i="3"/>
  <c r="C57" i="5"/>
  <c r="C62" i="5"/>
  <c r="F63" i="6"/>
  <c r="E199" i="6"/>
  <c r="F199" i="6" s="1"/>
  <c r="F205" i="6"/>
  <c r="E290" i="14"/>
  <c r="F290" i="14"/>
  <c r="F198" i="6"/>
  <c r="F202" i="6"/>
  <c r="F206" i="6"/>
  <c r="F107" i="7"/>
  <c r="F38" i="8"/>
  <c r="F14" i="13"/>
  <c r="C283" i="15"/>
  <c r="C22" i="15"/>
  <c r="E215" i="15"/>
  <c r="D239" i="15"/>
  <c r="E239" i="15"/>
  <c r="E219" i="15"/>
  <c r="D243" i="15"/>
  <c r="E243" i="15" s="1"/>
  <c r="D217" i="15"/>
  <c r="D207" i="14"/>
  <c r="D138" i="14"/>
  <c r="E138" i="14" s="1"/>
  <c r="F138" i="14" s="1"/>
  <c r="C95" i="3"/>
  <c r="C207" i="6"/>
  <c r="C208" i="6"/>
  <c r="C121" i="7"/>
  <c r="E121" i="7"/>
  <c r="C122" i="7"/>
  <c r="E22" i="8"/>
  <c r="F22" i="8" s="1"/>
  <c r="E29" i="8"/>
  <c r="F29" i="8" s="1"/>
  <c r="E56" i="8"/>
  <c r="F56" i="8" s="1"/>
  <c r="E61" i="8"/>
  <c r="F61" i="8" s="1"/>
  <c r="E73" i="8"/>
  <c r="F73" i="8" s="1"/>
  <c r="E16" i="9"/>
  <c r="F16" i="9" s="1"/>
  <c r="E39" i="9"/>
  <c r="F39" i="9" s="1"/>
  <c r="E46" i="9"/>
  <c r="D48" i="10"/>
  <c r="D42" i="10"/>
  <c r="C33" i="11"/>
  <c r="C36" i="11"/>
  <c r="C38" i="11" s="1"/>
  <c r="C40" i="11" s="1"/>
  <c r="G33" i="11"/>
  <c r="G36" i="11"/>
  <c r="G38" i="11" s="1"/>
  <c r="G40" i="11" s="1"/>
  <c r="E75" i="12"/>
  <c r="F75" i="12"/>
  <c r="E92" i="12"/>
  <c r="F92" i="12"/>
  <c r="E25" i="13"/>
  <c r="F25" i="13"/>
  <c r="F17" i="14"/>
  <c r="C21" i="14"/>
  <c r="C160" i="14"/>
  <c r="C199" i="14"/>
  <c r="D163" i="15"/>
  <c r="D252" i="15"/>
  <c r="F36" i="17"/>
  <c r="F204" i="14"/>
  <c r="C269" i="14"/>
  <c r="C270" i="14" s="1"/>
  <c r="E238" i="14"/>
  <c r="F238" i="14" s="1"/>
  <c r="E299" i="14"/>
  <c r="F299" i="14" s="1"/>
  <c r="C294" i="15"/>
  <c r="E32" i="15"/>
  <c r="E70" i="15"/>
  <c r="C175" i="15"/>
  <c r="C163" i="15"/>
  <c r="E139" i="15"/>
  <c r="C261" i="15"/>
  <c r="E188" i="15"/>
  <c r="D229" i="15"/>
  <c r="E229" i="15"/>
  <c r="D210" i="15"/>
  <c r="D175" i="15"/>
  <c r="C108" i="19"/>
  <c r="C109" i="19"/>
  <c r="D175" i="14"/>
  <c r="D140" i="14"/>
  <c r="D62" i="14"/>
  <c r="D105" i="14"/>
  <c r="C52" i="3"/>
  <c r="D41" i="8"/>
  <c r="E41" i="8"/>
  <c r="F41" i="8" s="1"/>
  <c r="C25" i="10"/>
  <c r="C27" i="10"/>
  <c r="E59" i="10"/>
  <c r="E61" i="10"/>
  <c r="E57" i="10" s="1"/>
  <c r="C31" i="11"/>
  <c r="F31" i="11" s="1"/>
  <c r="F20" i="14"/>
  <c r="F23" i="14"/>
  <c r="E30" i="14"/>
  <c r="F30" i="14" s="1"/>
  <c r="E36" i="14"/>
  <c r="F36" i="14" s="1"/>
  <c r="E48" i="14"/>
  <c r="F48" i="14" s="1"/>
  <c r="E59" i="14"/>
  <c r="F59" i="14" s="1"/>
  <c r="F66" i="14"/>
  <c r="C68" i="14"/>
  <c r="F76" i="14"/>
  <c r="F88" i="14"/>
  <c r="C90" i="14"/>
  <c r="F95" i="14"/>
  <c r="F109" i="14"/>
  <c r="C111" i="14"/>
  <c r="F120" i="14"/>
  <c r="C124" i="14"/>
  <c r="F129" i="14"/>
  <c r="E136" i="14"/>
  <c r="F136" i="14"/>
  <c r="F159" i="14"/>
  <c r="C206" i="14"/>
  <c r="E191" i="14"/>
  <c r="F191" i="14"/>
  <c r="C193" i="14"/>
  <c r="E198" i="14"/>
  <c r="F198" i="14" s="1"/>
  <c r="F229" i="14"/>
  <c r="C282" i="14"/>
  <c r="F296" i="14"/>
  <c r="D44" i="15"/>
  <c r="E162" i="15"/>
  <c r="E173" i="15"/>
  <c r="E177" i="15"/>
  <c r="E220" i="15"/>
  <c r="C234" i="15"/>
  <c r="C65" i="16"/>
  <c r="C114" i="16" s="1"/>
  <c r="C116" i="16" s="1"/>
  <c r="C119" i="16" s="1"/>
  <c r="C123" i="16" s="1"/>
  <c r="D268" i="14"/>
  <c r="C262" i="14"/>
  <c r="C255" i="14"/>
  <c r="E189" i="14"/>
  <c r="F189" i="14"/>
  <c r="C280" i="14"/>
  <c r="C200" i="14"/>
  <c r="C274" i="14"/>
  <c r="E250" i="14"/>
  <c r="F250" i="14"/>
  <c r="E295" i="14"/>
  <c r="F295" i="14"/>
  <c r="E33" i="15"/>
  <c r="C289" i="15"/>
  <c r="E60" i="15"/>
  <c r="D180" i="15"/>
  <c r="E180" i="15" s="1"/>
  <c r="E144" i="15"/>
  <c r="D240" i="15"/>
  <c r="D222" i="15"/>
  <c r="E112" i="7"/>
  <c r="F112" i="7"/>
  <c r="E113" i="7"/>
  <c r="F113" i="7"/>
  <c r="C43" i="8"/>
  <c r="C65" i="8"/>
  <c r="E65" i="8" s="1"/>
  <c r="F65" i="8" s="1"/>
  <c r="C19" i="9"/>
  <c r="G17" i="11"/>
  <c r="F67" i="14"/>
  <c r="F89" i="14"/>
  <c r="F100" i="14"/>
  <c r="F110" i="14"/>
  <c r="F130" i="14"/>
  <c r="F144" i="14"/>
  <c r="C146" i="14"/>
  <c r="F155" i="14"/>
  <c r="F164" i="14"/>
  <c r="F170" i="14"/>
  <c r="E172" i="14"/>
  <c r="F172" i="14"/>
  <c r="C181" i="14"/>
  <c r="F192" i="14"/>
  <c r="C55" i="15"/>
  <c r="C235" i="15"/>
  <c r="E230" i="15"/>
  <c r="D41" i="17"/>
  <c r="D139" i="14"/>
  <c r="E203" i="14"/>
  <c r="F203" i="14"/>
  <c r="C283" i="14"/>
  <c r="C287" i="14"/>
  <c r="C254" i="14"/>
  <c r="F226" i="14"/>
  <c r="C227" i="14"/>
  <c r="E21" i="15"/>
  <c r="D283" i="15"/>
  <c r="E283" i="15"/>
  <c r="C168" i="15"/>
  <c r="C145" i="15"/>
  <c r="E145" i="15" s="1"/>
  <c r="D260" i="15"/>
  <c r="E195" i="15"/>
  <c r="C217" i="15"/>
  <c r="C241" i="15" s="1"/>
  <c r="E241" i="15" s="1"/>
  <c r="C242" i="15"/>
  <c r="E242" i="15" s="1"/>
  <c r="E218" i="15"/>
  <c r="E233" i="15"/>
  <c r="D320" i="15"/>
  <c r="E320" i="15"/>
  <c r="E316" i="15"/>
  <c r="D330" i="15"/>
  <c r="E330" i="15" s="1"/>
  <c r="E326" i="15"/>
  <c r="D270" i="14"/>
  <c r="E267" i="14"/>
  <c r="F267" i="14"/>
  <c r="D17" i="10"/>
  <c r="D28" i="10"/>
  <c r="D70" i="10" s="1"/>
  <c r="D72" i="10" s="1"/>
  <c r="D69" i="10" s="1"/>
  <c r="C266" i="14"/>
  <c r="E123" i="14"/>
  <c r="F123" i="14"/>
  <c r="F180" i="14"/>
  <c r="E190" i="14"/>
  <c r="F190" i="14"/>
  <c r="C205" i="14"/>
  <c r="C214" i="14"/>
  <c r="E239" i="14"/>
  <c r="F239" i="14"/>
  <c r="C278" i="14"/>
  <c r="C306" i="14"/>
  <c r="C43" i="15"/>
  <c r="E43" i="15" s="1"/>
  <c r="C71" i="15"/>
  <c r="E71" i="15" s="1"/>
  <c r="C76" i="15"/>
  <c r="C77" i="15" s="1"/>
  <c r="D76" i="15"/>
  <c r="D77" i="15" s="1"/>
  <c r="D156" i="15"/>
  <c r="D223" i="15"/>
  <c r="E231" i="15"/>
  <c r="E255" i="14"/>
  <c r="C261" i="14"/>
  <c r="E251" i="15"/>
  <c r="C37" i="16"/>
  <c r="C38" i="16"/>
  <c r="C127" i="16" s="1"/>
  <c r="C129" i="16" s="1"/>
  <c r="C133" i="16" s="1"/>
  <c r="C20" i="17"/>
  <c r="E20" i="17" s="1"/>
  <c r="F20" i="17" s="1"/>
  <c r="C40" i="17"/>
  <c r="E40" i="17" s="1"/>
  <c r="C46" i="17"/>
  <c r="E22" i="19"/>
  <c r="C33" i="19"/>
  <c r="D34" i="19"/>
  <c r="D77" i="19"/>
  <c r="C101" i="19"/>
  <c r="C103" i="19"/>
  <c r="D161" i="14"/>
  <c r="D174" i="14"/>
  <c r="D193" i="14"/>
  <c r="D282" i="14"/>
  <c r="D271" i="14"/>
  <c r="D277" i="14"/>
  <c r="D285" i="14"/>
  <c r="E314" i="15"/>
  <c r="C49" i="16"/>
  <c r="F33" i="17"/>
  <c r="D22" i="19"/>
  <c r="E23" i="19"/>
  <c r="C54" i="19"/>
  <c r="D124" i="14"/>
  <c r="E124" i="14"/>
  <c r="F124" i="14" s="1"/>
  <c r="D160" i="14"/>
  <c r="E160" i="14" s="1"/>
  <c r="F160" i="14" s="1"/>
  <c r="D200" i="14"/>
  <c r="E200" i="14"/>
  <c r="F200" i="14" s="1"/>
  <c r="D262" i="14"/>
  <c r="D274" i="14"/>
  <c r="E274" i="14"/>
  <c r="D280" i="14"/>
  <c r="E324" i="15"/>
  <c r="E19" i="17"/>
  <c r="F19" i="17"/>
  <c r="E39" i="17"/>
  <c r="E43" i="17"/>
  <c r="E46" i="17" s="1"/>
  <c r="F46" i="17" s="1"/>
  <c r="D23" i="19"/>
  <c r="D46" i="19"/>
  <c r="E33" i="19"/>
  <c r="C111" i="19"/>
  <c r="D49" i="14"/>
  <c r="D91" i="14"/>
  <c r="D104" i="14"/>
  <c r="C30" i="19"/>
  <c r="C36" i="19"/>
  <c r="C40" i="19"/>
  <c r="E77" i="19"/>
  <c r="E108" i="19"/>
  <c r="D40" i="19"/>
  <c r="D30" i="19"/>
  <c r="D54" i="19"/>
  <c r="E54" i="19"/>
  <c r="E46" i="19"/>
  <c r="E40" i="19"/>
  <c r="E36" i="19"/>
  <c r="E30" i="19"/>
  <c r="E111" i="19"/>
  <c r="D304" i="14"/>
  <c r="E278" i="14"/>
  <c r="F278" i="14" s="1"/>
  <c r="E109" i="19"/>
  <c r="D50" i="14"/>
  <c r="D109" i="19"/>
  <c r="D108" i="19"/>
  <c r="E53" i="19"/>
  <c r="E45" i="19"/>
  <c r="E39" i="19"/>
  <c r="E35" i="19"/>
  <c r="E29" i="19"/>
  <c r="E205" i="14"/>
  <c r="F205" i="14"/>
  <c r="D253" i="15"/>
  <c r="C272" i="14"/>
  <c r="D258" i="15"/>
  <c r="D98" i="15"/>
  <c r="D87" i="15"/>
  <c r="D83" i="15"/>
  <c r="D101" i="15"/>
  <c r="D97" i="15"/>
  <c r="D86" i="15"/>
  <c r="D100" i="15"/>
  <c r="D89" i="15"/>
  <c r="D95" i="15"/>
  <c r="D84" i="15"/>
  <c r="D96" i="15"/>
  <c r="D85" i="15"/>
  <c r="D99" i="15"/>
  <c r="D88" i="15"/>
  <c r="D106" i="14"/>
  <c r="D176" i="14"/>
  <c r="D211" i="15"/>
  <c r="E210" i="15"/>
  <c r="D234" i="15"/>
  <c r="E234" i="15" s="1"/>
  <c r="D208" i="14"/>
  <c r="E207" i="14"/>
  <c r="D156" i="5"/>
  <c r="D152" i="5"/>
  <c r="D155" i="5"/>
  <c r="D157" i="5"/>
  <c r="D153" i="5"/>
  <c r="D154" i="5"/>
  <c r="C75" i="8"/>
  <c r="C284" i="15"/>
  <c r="E22" i="15"/>
  <c r="C265" i="14"/>
  <c r="D53" i="19"/>
  <c r="D45" i="19"/>
  <c r="D39" i="19"/>
  <c r="D35" i="19"/>
  <c r="D29" i="19"/>
  <c r="D110" i="19"/>
  <c r="E223" i="15"/>
  <c r="D287" i="14"/>
  <c r="D279" i="14"/>
  <c r="D284" i="14"/>
  <c r="E277" i="14"/>
  <c r="F277" i="14"/>
  <c r="C56" i="19"/>
  <c r="C48" i="19"/>
  <c r="C38" i="19"/>
  <c r="C113" i="19"/>
  <c r="D92" i="14"/>
  <c r="E280" i="14"/>
  <c r="D194" i="14"/>
  <c r="E193" i="14"/>
  <c r="F193" i="14" s="1"/>
  <c r="C216" i="14"/>
  <c r="C169" i="15"/>
  <c r="C181" i="15"/>
  <c r="E227" i="14"/>
  <c r="F227" i="14"/>
  <c r="C33" i="9"/>
  <c r="E222" i="15"/>
  <c r="C194" i="14"/>
  <c r="D141" i="14"/>
  <c r="E269" i="14"/>
  <c r="F269" i="14"/>
  <c r="D241" i="15"/>
  <c r="E217" i="15"/>
  <c r="E32" i="14"/>
  <c r="F32" i="14" s="1"/>
  <c r="C140" i="14"/>
  <c r="C62" i="14"/>
  <c r="C175" i="14"/>
  <c r="C33" i="2"/>
  <c r="F19" i="2"/>
  <c r="D125" i="14"/>
  <c r="E306" i="14"/>
  <c r="E76" i="15"/>
  <c r="C259" i="15"/>
  <c r="C263" i="15"/>
  <c r="D259" i="15"/>
  <c r="F274" i="14"/>
  <c r="F255" i="14"/>
  <c r="F43" i="17"/>
  <c r="E55" i="15"/>
  <c r="E175" i="15"/>
  <c r="F121" i="7"/>
  <c r="C279" i="14"/>
  <c r="F83" i="4"/>
  <c r="C300" i="14"/>
  <c r="D272" i="14"/>
  <c r="E272" i="14" s="1"/>
  <c r="F272" i="14" s="1"/>
  <c r="E262" i="14"/>
  <c r="F262" i="14" s="1"/>
  <c r="C268" i="14"/>
  <c r="C271" i="14"/>
  <c r="E271" i="14"/>
  <c r="F271" i="14" s="1"/>
  <c r="C263" i="14"/>
  <c r="E261" i="14"/>
  <c r="F261" i="14"/>
  <c r="D157" i="15"/>
  <c r="E156" i="15"/>
  <c r="E260" i="15"/>
  <c r="E283" i="14"/>
  <c r="F283" i="14"/>
  <c r="E146" i="14"/>
  <c r="F146" i="14"/>
  <c r="E206" i="14"/>
  <c r="F206" i="14"/>
  <c r="E111" i="14"/>
  <c r="F111" i="14"/>
  <c r="E90" i="14"/>
  <c r="F90" i="14"/>
  <c r="D63" i="14"/>
  <c r="E62" i="14"/>
  <c r="D254" i="15"/>
  <c r="E199" i="14"/>
  <c r="F199" i="14" s="1"/>
  <c r="E33" i="9"/>
  <c r="D41" i="9"/>
  <c r="E61" i="14"/>
  <c r="C174" i="14"/>
  <c r="F61" i="14"/>
  <c r="C139" i="14"/>
  <c r="E139" i="14"/>
  <c r="D263" i="14"/>
  <c r="E263" i="14"/>
  <c r="F263" i="14" s="1"/>
  <c r="D300" i="14"/>
  <c r="E300" i="14"/>
  <c r="D126" i="14"/>
  <c r="C304" i="14"/>
  <c r="D288" i="14"/>
  <c r="F39" i="17"/>
  <c r="C125" i="14"/>
  <c r="E208" i="6"/>
  <c r="F208" i="6" s="1"/>
  <c r="E95" i="3"/>
  <c r="F95" i="3" s="1"/>
  <c r="D162" i="14"/>
  <c r="E181" i="14"/>
  <c r="F181" i="14"/>
  <c r="F280" i="14"/>
  <c r="C281" i="14"/>
  <c r="E68" i="14"/>
  <c r="F68" i="14"/>
  <c r="C196" i="14"/>
  <c r="C126" i="14"/>
  <c r="C49" i="14"/>
  <c r="E49" i="14"/>
  <c r="E21" i="14"/>
  <c r="C161" i="14"/>
  <c r="E161" i="14" s="1"/>
  <c r="F161" i="14" s="1"/>
  <c r="C91" i="14"/>
  <c r="F21" i="14"/>
  <c r="F207" i="14"/>
  <c r="C208" i="14"/>
  <c r="C210" i="14"/>
  <c r="C155" i="5"/>
  <c r="C154" i="5"/>
  <c r="C152" i="5"/>
  <c r="C153" i="5"/>
  <c r="C156" i="5"/>
  <c r="C157" i="5"/>
  <c r="D168" i="15"/>
  <c r="E168" i="15"/>
  <c r="E268" i="14"/>
  <c r="D286" i="14"/>
  <c r="E163" i="15"/>
  <c r="C41" i="17"/>
  <c r="C284" i="14"/>
  <c r="E19" i="9"/>
  <c r="F19" i="9" s="1"/>
  <c r="D43" i="8"/>
  <c r="E43" i="8" s="1"/>
  <c r="F43" i="8" s="1"/>
  <c r="E122" i="7"/>
  <c r="F122" i="7"/>
  <c r="E207" i="6"/>
  <c r="F207" i="6"/>
  <c r="E284" i="15"/>
  <c r="C92" i="14"/>
  <c r="E92" i="14" s="1"/>
  <c r="F92" i="14" s="1"/>
  <c r="C127" i="14"/>
  <c r="C176" i="14"/>
  <c r="C141" i="14"/>
  <c r="D322" i="14"/>
  <c r="E141" i="14"/>
  <c r="E194" i="14"/>
  <c r="D195" i="14"/>
  <c r="D196" i="14"/>
  <c r="D324" i="14"/>
  <c r="D113" i="14"/>
  <c r="D291" i="14"/>
  <c r="D289" i="14"/>
  <c r="E211" i="15"/>
  <c r="D235" i="15"/>
  <c r="E235" i="15" s="1"/>
  <c r="D181" i="15"/>
  <c r="E181" i="15"/>
  <c r="D70" i="14"/>
  <c r="E304" i="14"/>
  <c r="F304" i="14"/>
  <c r="D48" i="9"/>
  <c r="E259" i="15"/>
  <c r="C41" i="2"/>
  <c r="E33" i="2"/>
  <c r="F33" i="2" s="1"/>
  <c r="E47" i="19"/>
  <c r="E37" i="19"/>
  <c r="E112" i="19"/>
  <c r="E55" i="19"/>
  <c r="D113" i="19"/>
  <c r="D56" i="19"/>
  <c r="D48" i="19"/>
  <c r="D38" i="19"/>
  <c r="E140" i="14"/>
  <c r="F140" i="14" s="1"/>
  <c r="E91" i="14"/>
  <c r="F91" i="14" s="1"/>
  <c r="E279" i="14"/>
  <c r="D273" i="14"/>
  <c r="F49" i="14"/>
  <c r="C50" i="14"/>
  <c r="E50" i="14"/>
  <c r="F194" i="14"/>
  <c r="C195" i="14"/>
  <c r="D47" i="19"/>
  <c r="D37" i="19"/>
  <c r="D112" i="19"/>
  <c r="D55" i="19"/>
  <c r="E75" i="8"/>
  <c r="F75" i="8"/>
  <c r="D90" i="15"/>
  <c r="E48" i="19"/>
  <c r="E38" i="19"/>
  <c r="E113" i="19"/>
  <c r="E56" i="19"/>
  <c r="C158" i="5"/>
  <c r="F139" i="14"/>
  <c r="F268" i="14"/>
  <c r="F300" i="14"/>
  <c r="F279" i="14"/>
  <c r="E284" i="14"/>
  <c r="F284" i="14"/>
  <c r="D158" i="5"/>
  <c r="E176" i="14"/>
  <c r="C162" i="14"/>
  <c r="E162" i="14"/>
  <c r="D183" i="14"/>
  <c r="D323" i="14"/>
  <c r="D127" i="14"/>
  <c r="E126" i="14"/>
  <c r="F126" i="14"/>
  <c r="E157" i="15"/>
  <c r="D169" i="15"/>
  <c r="E169" i="15" s="1"/>
  <c r="C273" i="14"/>
  <c r="F62" i="14"/>
  <c r="C63" i="14"/>
  <c r="C41" i="9"/>
  <c r="E41" i="9"/>
  <c r="F33" i="9"/>
  <c r="E208" i="14"/>
  <c r="F208" i="14" s="1"/>
  <c r="D210" i="14"/>
  <c r="D211" i="14" s="1"/>
  <c r="E211" i="14" s="1"/>
  <c r="F211" i="14" s="1"/>
  <c r="D209" i="14"/>
  <c r="D102" i="15"/>
  <c r="C209" i="14"/>
  <c r="E125" i="14"/>
  <c r="F125" i="14"/>
  <c r="E174" i="14"/>
  <c r="F174" i="14"/>
  <c r="E175" i="14"/>
  <c r="F175" i="14"/>
  <c r="E195" i="14"/>
  <c r="E210" i="14"/>
  <c r="F210" i="14" s="1"/>
  <c r="D305" i="14"/>
  <c r="D197" i="14"/>
  <c r="E196" i="14"/>
  <c r="F196" i="14" s="1"/>
  <c r="C148" i="14"/>
  <c r="E209" i="14"/>
  <c r="F209" i="14"/>
  <c r="C323" i="14"/>
  <c r="F162" i="14"/>
  <c r="C183" i="14"/>
  <c r="C70" i="14"/>
  <c r="E70" i="14"/>
  <c r="F70" i="14" s="1"/>
  <c r="F50" i="14"/>
  <c r="C48" i="2"/>
  <c r="E41" i="2"/>
  <c r="F41" i="2"/>
  <c r="D325" i="14"/>
  <c r="F195" i="14"/>
  <c r="F176" i="14"/>
  <c r="F41" i="9"/>
  <c r="C48" i="9"/>
  <c r="D148" i="14"/>
  <c r="E148" i="14"/>
  <c r="E127" i="14"/>
  <c r="F127" i="14"/>
  <c r="C322" i="14"/>
  <c r="C211" i="14"/>
  <c r="F141" i="14"/>
  <c r="E63" i="14"/>
  <c r="F63" i="14" s="1"/>
  <c r="E273" i="14"/>
  <c r="F273" i="14" s="1"/>
  <c r="D309" i="14"/>
  <c r="E48" i="9"/>
  <c r="F48" i="9" s="1"/>
  <c r="F148" i="14"/>
  <c r="E323" i="14"/>
  <c r="F323" i="14"/>
  <c r="E183" i="14"/>
  <c r="F183" i="14"/>
  <c r="E48" i="2"/>
  <c r="F48" i="2" s="1"/>
  <c r="E322" i="14"/>
  <c r="F322" i="14" s="1"/>
  <c r="D310" i="14"/>
  <c r="D312" i="14" s="1"/>
  <c r="D103" i="15"/>
  <c r="C197" i="14"/>
  <c r="D91" i="15"/>
  <c r="E282" i="14"/>
  <c r="F282" i="14" s="1"/>
  <c r="D281" i="14"/>
  <c r="E281" i="14" s="1"/>
  <c r="F281" i="14" s="1"/>
  <c r="E287" i="14"/>
  <c r="F287" i="14"/>
  <c r="C21" i="10"/>
  <c r="C20" i="10"/>
  <c r="E110" i="19"/>
  <c r="D111" i="19"/>
  <c r="D36" i="19"/>
  <c r="D266" i="14"/>
  <c r="C44" i="15"/>
  <c r="C24" i="5"/>
  <c r="C17" i="5"/>
  <c r="E17" i="5"/>
  <c r="E24" i="5"/>
  <c r="C140" i="5"/>
  <c r="C139" i="5"/>
  <c r="C135" i="5"/>
  <c r="C138" i="5"/>
  <c r="C136" i="5"/>
  <c r="D43" i="1"/>
  <c r="E43" i="1"/>
  <c r="F43" i="1" s="1"/>
  <c r="E41" i="1"/>
  <c r="F41" i="1"/>
  <c r="D21" i="5"/>
  <c r="E136" i="5"/>
  <c r="E135" i="5"/>
  <c r="E138" i="5"/>
  <c r="E140" i="5"/>
  <c r="E139" i="5"/>
  <c r="E137" i="5"/>
  <c r="D140" i="5"/>
  <c r="D137" i="5"/>
  <c r="D139" i="5"/>
  <c r="D138" i="5"/>
  <c r="D136" i="5"/>
  <c r="D135" i="5"/>
  <c r="D141" i="5"/>
  <c r="E153" i="5"/>
  <c r="E152" i="5"/>
  <c r="E155" i="5"/>
  <c r="E157" i="5"/>
  <c r="E156" i="5"/>
  <c r="E154" i="5"/>
  <c r="E56" i="1"/>
  <c r="F73" i="1"/>
  <c r="F137" i="3"/>
  <c r="F18" i="4"/>
  <c r="F35" i="4"/>
  <c r="C25" i="5"/>
  <c r="C27" i="5" s="1"/>
  <c r="E43" i="5"/>
  <c r="E53" i="5"/>
  <c r="E88" i="6"/>
  <c r="F101" i="6"/>
  <c r="E140" i="6"/>
  <c r="F153" i="6"/>
  <c r="E192" i="6"/>
  <c r="F48" i="7"/>
  <c r="F71" i="7"/>
  <c r="F72" i="7"/>
  <c r="F95" i="7"/>
  <c r="F96" i="7"/>
  <c r="F56" i="1"/>
  <c r="D176" i="4"/>
  <c r="E176" i="4"/>
  <c r="F176" i="4" s="1"/>
  <c r="D15" i="5"/>
  <c r="E25" i="5"/>
  <c r="E27" i="5"/>
  <c r="E57" i="5"/>
  <c r="E62" i="5"/>
  <c r="C77" i="5"/>
  <c r="C71" i="5"/>
  <c r="F116" i="7"/>
  <c r="F117" i="7"/>
  <c r="F118" i="7"/>
  <c r="F119" i="7"/>
  <c r="F120" i="7"/>
  <c r="F31" i="9"/>
  <c r="D25" i="10"/>
  <c r="D27" i="10" s="1"/>
  <c r="C59" i="10"/>
  <c r="C61" i="10" s="1"/>
  <c r="C57" i="10" s="1"/>
  <c r="E31" i="11"/>
  <c r="G31" i="11"/>
  <c r="D33" i="11"/>
  <c r="F55" i="12"/>
  <c r="E24" i="14"/>
  <c r="F24" i="14"/>
  <c r="E35" i="14"/>
  <c r="F35" i="14"/>
  <c r="E53" i="14"/>
  <c r="F53" i="14"/>
  <c r="E101" i="14"/>
  <c r="F101" i="14"/>
  <c r="C102" i="14"/>
  <c r="E145" i="14"/>
  <c r="F145" i="14" s="1"/>
  <c r="E179" i="14"/>
  <c r="F179" i="14"/>
  <c r="E230" i="14"/>
  <c r="F230" i="14"/>
  <c r="E298" i="14"/>
  <c r="F298" i="14"/>
  <c r="E307" i="14"/>
  <c r="F307" i="14"/>
  <c r="E173" i="14"/>
  <c r="F173" i="14"/>
  <c r="E47" i="14"/>
  <c r="F47" i="14"/>
  <c r="E171" i="14"/>
  <c r="F171" i="14"/>
  <c r="E188" i="14"/>
  <c r="F188" i="14"/>
  <c r="E223" i="14"/>
  <c r="F223" i="14"/>
  <c r="E237" i="14"/>
  <c r="F237" i="14"/>
  <c r="D289" i="15"/>
  <c r="E289" i="15"/>
  <c r="D65" i="15"/>
  <c r="E244" i="15"/>
  <c r="E245" i="15"/>
  <c r="D103" i="19"/>
  <c r="E221" i="15"/>
  <c r="F25" i="17"/>
  <c r="C34" i="19"/>
  <c r="C22" i="19"/>
  <c r="D214" i="14"/>
  <c r="D254" i="14" s="1"/>
  <c r="C45" i="19"/>
  <c r="C53" i="19"/>
  <c r="C39" i="19"/>
  <c r="C110" i="19"/>
  <c r="C29" i="19"/>
  <c r="C35" i="19"/>
  <c r="D216" i="14"/>
  <c r="E216" i="14" s="1"/>
  <c r="F216" i="14" s="1"/>
  <c r="D36" i="11"/>
  <c r="D38" i="11" s="1"/>
  <c r="D40" i="11" s="1"/>
  <c r="F33" i="11"/>
  <c r="F36" i="11"/>
  <c r="F38" i="11" s="1"/>
  <c r="F40" i="11" s="1"/>
  <c r="D24" i="5"/>
  <c r="D20" i="5"/>
  <c r="D17" i="5"/>
  <c r="C141" i="5"/>
  <c r="E112" i="5"/>
  <c r="E111" i="5"/>
  <c r="E28" i="5"/>
  <c r="E99" i="5"/>
  <c r="E101" i="5" s="1"/>
  <c r="E98" i="5" s="1"/>
  <c r="E266" i="14"/>
  <c r="F266" i="14"/>
  <c r="D265" i="14"/>
  <c r="E265" i="14"/>
  <c r="F265" i="14" s="1"/>
  <c r="D105" i="15"/>
  <c r="D66" i="15"/>
  <c r="D294" i="15"/>
  <c r="E294" i="15"/>
  <c r="E65" i="15"/>
  <c r="D246" i="15"/>
  <c r="E246" i="15" s="1"/>
  <c r="C103" i="14"/>
  <c r="E102" i="14"/>
  <c r="F102" i="14" s="1"/>
  <c r="E20" i="5"/>
  <c r="E21" i="5"/>
  <c r="E22" i="5"/>
  <c r="E158" i="5"/>
  <c r="E141" i="5"/>
  <c r="C28" i="5"/>
  <c r="C99" i="5" s="1"/>
  <c r="C101" i="5" s="1"/>
  <c r="C98" i="5" s="1"/>
  <c r="C112" i="5"/>
  <c r="C111" i="5" s="1"/>
  <c r="E44" i="15"/>
  <c r="C258" i="15"/>
  <c r="C97" i="15"/>
  <c r="E97" i="15" s="1"/>
  <c r="C100" i="15"/>
  <c r="E100" i="15" s="1"/>
  <c r="C89" i="15"/>
  <c r="E89" i="15" s="1"/>
  <c r="C95" i="15"/>
  <c r="C98" i="15"/>
  <c r="E98" i="15"/>
  <c r="C99" i="15"/>
  <c r="E99" i="15"/>
  <c r="C83" i="15"/>
  <c r="C101" i="15"/>
  <c r="E101" i="15" s="1"/>
  <c r="C86" i="15"/>
  <c r="E86" i="15" s="1"/>
  <c r="C96" i="15"/>
  <c r="C85" i="15"/>
  <c r="E85" i="15"/>
  <c r="C84" i="15"/>
  <c r="C87" i="15"/>
  <c r="E87" i="15" s="1"/>
  <c r="C88" i="15"/>
  <c r="E88" i="15" s="1"/>
  <c r="E197" i="14"/>
  <c r="F197" i="14"/>
  <c r="E83" i="15"/>
  <c r="E103" i="14"/>
  <c r="F103" i="14" s="1"/>
  <c r="C105" i="14"/>
  <c r="C104" i="14"/>
  <c r="E66" i="15"/>
  <c r="D247" i="15"/>
  <c r="D295" i="15"/>
  <c r="E295" i="15"/>
  <c r="C90" i="15"/>
  <c r="E90" i="15"/>
  <c r="E84" i="15"/>
  <c r="C102" i="15"/>
  <c r="E102" i="15" s="1"/>
  <c r="E96" i="15"/>
  <c r="E95" i="15"/>
  <c r="E258" i="15"/>
  <c r="C264" i="15"/>
  <c r="D28" i="5"/>
  <c r="D22" i="5" s="1"/>
  <c r="D112" i="5"/>
  <c r="D111" i="5"/>
  <c r="C55" i="19"/>
  <c r="C37" i="19"/>
  <c r="C112" i="19"/>
  <c r="C47" i="19"/>
  <c r="D99" i="5"/>
  <c r="D101" i="5" s="1"/>
  <c r="D98" i="5" s="1"/>
  <c r="C266" i="15"/>
  <c r="C103" i="15"/>
  <c r="E103" i="15" s="1"/>
  <c r="E105" i="14"/>
  <c r="F105" i="14" s="1"/>
  <c r="C106" i="14"/>
  <c r="C324" i="14" s="1"/>
  <c r="C91" i="15"/>
  <c r="E104" i="14"/>
  <c r="F104" i="14"/>
  <c r="E91" i="15"/>
  <c r="C113" i="14"/>
  <c r="F113" i="14" s="1"/>
  <c r="E106" i="14"/>
  <c r="C267" i="15"/>
  <c r="C268" i="15" s="1"/>
  <c r="C271" i="15" s="1"/>
  <c r="C269" i="15"/>
  <c r="E113" i="14"/>
  <c r="C20" i="5" l="1"/>
  <c r="C21" i="5"/>
  <c r="C22" i="5"/>
  <c r="E41" i="17"/>
  <c r="F41" i="17" s="1"/>
  <c r="F40" i="17"/>
  <c r="D110" i="15"/>
  <c r="D112" i="15"/>
  <c r="D115" i="15"/>
  <c r="E77" i="15"/>
  <c r="D125" i="15"/>
  <c r="D124" i="15"/>
  <c r="D109" i="15"/>
  <c r="D114" i="15"/>
  <c r="E114" i="15" s="1"/>
  <c r="D123" i="15"/>
  <c r="D126" i="15"/>
  <c r="D127" i="15"/>
  <c r="D111" i="15"/>
  <c r="D121" i="15"/>
  <c r="D113" i="15"/>
  <c r="E113" i="15" s="1"/>
  <c r="D122" i="15"/>
  <c r="C70" i="10"/>
  <c r="C72" i="10" s="1"/>
  <c r="C69" i="10" s="1"/>
  <c r="C22" i="10"/>
  <c r="E324" i="14"/>
  <c r="F324" i="14" s="1"/>
  <c r="C325" i="14"/>
  <c r="E254" i="14"/>
  <c r="F254" i="14" s="1"/>
  <c r="D22" i="10"/>
  <c r="D21" i="10"/>
  <c r="D20" i="10"/>
  <c r="D313" i="14"/>
  <c r="C109" i="15"/>
  <c r="C126" i="15"/>
  <c r="C122" i="15"/>
  <c r="C111" i="15"/>
  <c r="C113" i="15"/>
  <c r="C112" i="15"/>
  <c r="C110" i="15"/>
  <c r="C124" i="15"/>
  <c r="C123" i="15"/>
  <c r="C121" i="15"/>
  <c r="C114" i="15"/>
  <c r="C127" i="15"/>
  <c r="C115" i="15"/>
  <c r="C125" i="15"/>
  <c r="E270" i="14"/>
  <c r="F270" i="14" s="1"/>
  <c r="F106" i="14"/>
  <c r="C105" i="15"/>
  <c r="E105" i="15" s="1"/>
  <c r="E214" i="14"/>
  <c r="F214" i="14" s="1"/>
  <c r="F153" i="3"/>
  <c r="F155" i="4"/>
  <c r="F114" i="7"/>
  <c r="C65" i="1"/>
  <c r="E38" i="3"/>
  <c r="F38" i="3" s="1"/>
  <c r="E42" i="3"/>
  <c r="F42" i="3" s="1"/>
  <c r="E46" i="3"/>
  <c r="F46" i="3" s="1"/>
  <c r="E47" i="3"/>
  <c r="F47" i="3" s="1"/>
  <c r="E86" i="3"/>
  <c r="F86" i="3" s="1"/>
  <c r="E87" i="3"/>
  <c r="F87" i="3" s="1"/>
  <c r="F41" i="4"/>
  <c r="F118" i="4"/>
  <c r="E203" i="6"/>
  <c r="F203" i="6" s="1"/>
  <c r="E204" i="6"/>
  <c r="F204" i="6" s="1"/>
  <c r="E35" i="7"/>
  <c r="F35" i="7" s="1"/>
  <c r="D65" i="1"/>
  <c r="E65" i="1" s="1"/>
  <c r="D52" i="3"/>
  <c r="E52" i="3" s="1"/>
  <c r="F52" i="3" s="1"/>
  <c r="F19" i="13"/>
  <c r="F29" i="14"/>
  <c r="F44" i="14"/>
  <c r="F58" i="14"/>
  <c r="C285" i="14"/>
  <c r="E39" i="15"/>
  <c r="E189" i="15"/>
  <c r="E15" i="10"/>
  <c r="D261" i="15"/>
  <c r="C240" i="15"/>
  <c r="D302" i="15"/>
  <c r="E102" i="19"/>
  <c r="E103" i="19" s="1"/>
  <c r="E240" i="15" l="1"/>
  <c r="C252" i="15"/>
  <c r="C253" i="15"/>
  <c r="E253" i="15" s="1"/>
  <c r="E24" i="10"/>
  <c r="E20" i="10" s="1"/>
  <c r="E17" i="10"/>
  <c r="E28" i="10" s="1"/>
  <c r="D314" i="14"/>
  <c r="D315" i="14"/>
  <c r="D251" i="14"/>
  <c r="D256" i="14"/>
  <c r="E325" i="14"/>
  <c r="F325" i="14" s="1"/>
  <c r="E111" i="15"/>
  <c r="E126" i="15"/>
  <c r="E124" i="15"/>
  <c r="E112" i="15"/>
  <c r="E302" i="15"/>
  <c r="D303" i="15"/>
  <c r="E261" i="15"/>
  <c r="D263" i="15"/>
  <c r="C288" i="14"/>
  <c r="E285" i="14"/>
  <c r="F285" i="14" s="1"/>
  <c r="C286" i="14"/>
  <c r="C75" i="1"/>
  <c r="F65" i="1"/>
  <c r="D75" i="1"/>
  <c r="E75" i="1" s="1"/>
  <c r="C116" i="15"/>
  <c r="C128" i="15"/>
  <c r="C129" i="15" s="1"/>
  <c r="C117" i="15"/>
  <c r="D128" i="15"/>
  <c r="E128" i="15" s="1"/>
  <c r="E122" i="15"/>
  <c r="E121" i="15"/>
  <c r="D129" i="15"/>
  <c r="E127" i="15"/>
  <c r="E123" i="15"/>
  <c r="E109" i="15"/>
  <c r="E125" i="15"/>
  <c r="E115" i="15"/>
  <c r="E110" i="15"/>
  <c r="D116" i="15"/>
  <c r="E116" i="15" s="1"/>
  <c r="D117" i="15" l="1"/>
  <c r="E129" i="15"/>
  <c r="C131" i="15"/>
  <c r="E286" i="14"/>
  <c r="F286" i="14" s="1"/>
  <c r="E288" i="14"/>
  <c r="F288" i="14"/>
  <c r="C289" i="14"/>
  <c r="C291" i="14"/>
  <c r="E263" i="15"/>
  <c r="D264" i="15"/>
  <c r="E303" i="15"/>
  <c r="D306" i="15"/>
  <c r="D257" i="14"/>
  <c r="D318" i="14"/>
  <c r="E70" i="10"/>
  <c r="E72" i="10" s="1"/>
  <c r="E69" i="10" s="1"/>
  <c r="E22" i="10"/>
  <c r="F75" i="1"/>
  <c r="C254" i="15"/>
  <c r="E254" i="15" s="1"/>
  <c r="E252" i="15"/>
  <c r="D310" i="15" l="1"/>
  <c r="E310" i="15" s="1"/>
  <c r="E306" i="15"/>
  <c r="D266" i="15"/>
  <c r="E264" i="15"/>
  <c r="E291" i="14"/>
  <c r="F291" i="14"/>
  <c r="C305" i="14"/>
  <c r="D131" i="15"/>
  <c r="E131" i="15" s="1"/>
  <c r="E117" i="15"/>
  <c r="E289" i="14"/>
  <c r="F289" i="14" s="1"/>
  <c r="C309" i="14" l="1"/>
  <c r="E305" i="14"/>
  <c r="F305" i="14"/>
  <c r="D267" i="15"/>
  <c r="E266" i="15"/>
  <c r="C310" i="14" l="1"/>
  <c r="E309" i="14"/>
  <c r="F309" i="14" s="1"/>
  <c r="D269" i="15"/>
  <c r="E269" i="15" s="1"/>
  <c r="E267" i="15"/>
  <c r="D268" i="15"/>
  <c r="C312" i="14" l="1"/>
  <c r="E310" i="14"/>
  <c r="F310" i="14"/>
  <c r="D271" i="15"/>
  <c r="E271" i="15" s="1"/>
  <c r="E268" i="15"/>
  <c r="C313" i="14" l="1"/>
  <c r="E312" i="14"/>
  <c r="F312" i="14" s="1"/>
  <c r="C256" i="14" l="1"/>
  <c r="C315" i="14"/>
  <c r="C251" i="14"/>
  <c r="C314" i="14"/>
  <c r="E313" i="14"/>
  <c r="F313" i="14" s="1"/>
  <c r="C318" i="14" l="1"/>
  <c r="E314" i="14"/>
  <c r="F314" i="14" s="1"/>
  <c r="E315" i="14"/>
  <c r="F315" i="14" s="1"/>
  <c r="C257" i="14"/>
  <c r="E256" i="14"/>
  <c r="F256" i="14" s="1"/>
  <c r="F251" i="14"/>
  <c r="E251" i="14"/>
  <c r="F257" i="14" l="1"/>
  <c r="E257" i="14"/>
  <c r="F318" i="14"/>
  <c r="E318" i="14"/>
</calcChain>
</file>

<file path=xl/sharedStrings.xml><?xml version="1.0" encoding="utf-8"?>
<sst xmlns="http://schemas.openxmlformats.org/spreadsheetml/2006/main" count="2304" uniqueCount="983">
  <si>
    <t>MIDDLESEX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</si>
  <si>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</si>
  <si>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</si>
  <si>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</si>
  <si>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</si>
  <si>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</si>
  <si>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</si>
  <si>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</si>
  <si>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</si>
  <si>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</si>
  <si>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</si>
  <si>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</si>
  <si>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</si>
  <si>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</si>
  <si>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</si>
  <si>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</si>
  <si>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</si>
  <si>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</si>
  <si>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</si>
  <si>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</si>
  <si>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</si>
  <si>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</si>
  <si>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</si>
  <si>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</si>
  <si>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</si>
  <si>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</si>
  <si>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</si>
  <si>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</si>
  <si>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</si>
  <si>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</si>
  <si>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</si>
  <si>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</si>
  <si>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</si>
  <si>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</si>
  <si>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</si>
  <si>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</si>
  <si>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</si>
  <si>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</si>
  <si>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</si>
  <si>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</si>
  <si>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</si>
  <si>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</si>
  <si>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</si>
  <si>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</si>
  <si>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</si>
  <si>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</si>
  <si>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</si>
  <si>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</si>
  <si>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</si>
  <si>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</si>
  <si>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</si>
  <si>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</si>
  <si>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</si>
  <si>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</si>
  <si>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</si>
  <si>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</si>
  <si>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</si>
  <si>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</si>
  <si>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</si>
  <si>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</si>
  <si>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</si>
  <si>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</si>
  <si>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</si>
  <si>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</si>
  <si>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</si>
  <si>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</si>
  <si>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</si>
  <si>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</si>
  <si>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</si>
  <si>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</si>
  <si>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</si>
  <si>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</si>
  <si>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</si>
  <si>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</si>
  <si>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</si>
  <si>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</si>
  <si>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</si>
  <si>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</si>
  <si>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</si>
  <si>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</si>
  <si>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</si>
  <si>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</si>
  <si>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</si>
  <si>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</si>
  <si>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</si>
  <si>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</si>
  <si>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</si>
  <si>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</si>
  <si>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</si>
  <si>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</si>
  <si>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</si>
  <si>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</si>
  <si>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</si>
  <si>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</si>
  <si>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</si>
  <si>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</si>
  <si>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</si>
  <si>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</si>
  <si>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</si>
  <si>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</si>
  <si>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</si>
  <si>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</si>
  <si>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</si>
  <si>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</si>
  <si>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</si>
  <si>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</si>
  <si>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</si>
  <si>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</si>
  <si>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</si>
  <si>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</si>
  <si>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</si>
  <si>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</si>
  <si>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</si>
  <si>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</si>
  <si>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</si>
  <si>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</si>
  <si>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</si>
  <si>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</si>
  <si>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</si>
  <si>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</si>
  <si>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</si>
  <si>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</si>
  <si>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</si>
  <si>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</si>
  <si>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</si>
  <si>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</si>
  <si>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</si>
  <si>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</si>
  <si>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</si>
  <si>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</si>
  <si>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</si>
  <si>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</si>
  <si>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</si>
  <si>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</si>
  <si>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</si>
  <si>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</si>
  <si>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</si>
  <si>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</si>
  <si>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</si>
  <si>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</si>
  <si>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</si>
  <si>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</si>
  <si>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</si>
  <si>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</si>
  <si>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</si>
  <si>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</si>
  <si>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</si>
  <si>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</si>
  <si>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</si>
  <si>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</si>
  <si>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</si>
  <si>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</si>
  <si>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</si>
  <si>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</si>
  <si>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</si>
  <si>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</si>
  <si>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</si>
  <si>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</si>
  <si>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</si>
  <si>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</si>
  <si>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</si>
  <si>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</si>
  <si>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</si>
  <si>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</si>
  <si>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</si>
  <si>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</si>
  <si>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</si>
  <si>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</si>
  <si>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</si>
  <si>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</si>
  <si>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</si>
  <si>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</si>
  <si>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</si>
  <si>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</si>
  <si>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</si>
  <si>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</si>
  <si>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</si>
  <si>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</si>
  <si>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</si>
  <si>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</si>
  <si>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</si>
  <si>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</si>
  <si>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</si>
  <si>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</si>
  <si>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</si>
  <si>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</si>
  <si>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</si>
  <si>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</si>
  <si>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</si>
  <si>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</si>
  <si>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</si>
  <si>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</si>
  <si>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</si>
  <si>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</si>
  <si>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</si>
  <si>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</si>
  <si>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</si>
  <si>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</si>
  <si>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</si>
  <si>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</si>
  <si>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</si>
  <si>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</si>
  <si>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</si>
  <si>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</si>
  <si>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</si>
  <si>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</si>
  <si>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</si>
  <si>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</si>
  <si>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</si>
  <si>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</si>
  <si>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</si>
  <si>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</si>
  <si>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</si>
  <si>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</si>
  <si>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</si>
  <si>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</si>
  <si>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</si>
  <si>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</si>
  <si>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</si>
  <si>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</si>
  <si>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</si>
  <si>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</si>
  <si>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</si>
  <si>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</si>
  <si>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</si>
  <si>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</si>
  <si>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</si>
  <si>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</si>
  <si>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</si>
  <si>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</si>
  <si>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</si>
  <si>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</si>
  <si>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</si>
  <si>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</si>
  <si>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</si>
  <si>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</si>
  <si>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</si>
  <si>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</si>
  <si>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</si>
  <si>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</si>
  <si>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</si>
  <si>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</si>
  <si>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</si>
  <si>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</si>
  <si>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</si>
  <si>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</si>
  <si>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</si>
  <si>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</si>
  <si>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</si>
  <si>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</si>
  <si>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</si>
  <si>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</si>
  <si>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</si>
  <si>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</si>
  <si>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</si>
  <si>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</si>
  <si>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</si>
  <si>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</si>
  <si>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</si>
  <si>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</si>
  <si>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</si>
  <si>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</si>
  <si>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</si>
  <si>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</si>
  <si>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</si>
  <si>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</si>
  <si>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</si>
  <si>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</si>
  <si>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</si>
  <si>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</si>
  <si>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</si>
  <si>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</si>
  <si>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</si>
  <si>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</si>
  <si>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</si>
  <si>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</si>
  <si>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</si>
  <si>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</si>
  <si>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</si>
  <si>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</si>
  <si>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</si>
  <si>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</si>
  <si>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</si>
  <si>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</si>
  <si>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</si>
  <si>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</si>
  <si>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</si>
  <si>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</si>
  <si>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</si>
  <si>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</si>
  <si>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</si>
  <si>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</si>
  <si>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</si>
  <si>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</si>
  <si>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</si>
  <si>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</si>
  <si>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</si>
  <si>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</si>
  <si>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</si>
  <si>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</si>
  <si>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</si>
  <si>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</si>
  <si>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</si>
  <si>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</si>
  <si>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</si>
  <si>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</si>
  <si>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</si>
  <si>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</si>
  <si>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</si>
  <si>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</si>
  <si>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</si>
  <si>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</si>
  <si>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</si>
  <si>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</si>
  <si>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</si>
  <si>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</si>
  <si>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</si>
  <si>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</si>
  <si>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</si>
  <si>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</si>
  <si>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</si>
  <si>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</si>
  <si>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</si>
  <si>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</si>
  <si>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</si>
  <si>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</si>
  <si>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</si>
  <si>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</si>
  <si>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</si>
  <si>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</si>
  <si>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</si>
  <si>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</si>
  <si>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</si>
  <si>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</si>
  <si>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</si>
  <si>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</si>
  <si>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</si>
  <si>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</si>
  <si>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</si>
  <si>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</si>
  <si>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</si>
  <si>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</si>
  <si>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</si>
  <si>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</si>
  <si>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</si>
  <si>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</si>
  <si>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</si>
  <si>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</si>
  <si>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</si>
  <si>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</si>
  <si>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</si>
  <si>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</si>
  <si>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</si>
  <si>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</si>
  <si>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</si>
  <si>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</si>
  <si>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</si>
  <si>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</si>
  <si>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</si>
  <si>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</si>
  <si>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</si>
  <si>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</si>
  <si>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</si>
  <si>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</si>
  <si>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</si>
  <si>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</si>
  <si>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</si>
  <si>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</si>
  <si>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</si>
  <si>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</si>
  <si>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</si>
  <si>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</si>
  <si>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</si>
  <si>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</si>
  <si>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</si>
  <si>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</si>
  <si>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</si>
  <si>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</si>
  <si>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</si>
  <si>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</si>
  <si>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</si>
  <si>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</si>
  <si>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</si>
  <si>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</si>
  <si>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</si>
  <si>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</si>
  <si>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</si>
  <si>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</si>
  <si>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</si>
  <si>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</si>
  <si>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</si>
  <si>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</si>
  <si>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</si>
  <si>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</si>
  <si>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</si>
  <si>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</si>
  <si>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</si>
  <si>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</si>
  <si>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</si>
  <si>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</si>
  <si>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</si>
  <si>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</si>
  <si>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</si>
  <si>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</si>
  <si>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</si>
  <si>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</si>
  <si>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</si>
  <si>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</si>
  <si>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</si>
  <si>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</si>
  <si>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</si>
  <si>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</si>
  <si>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</si>
  <si>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</si>
  <si>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</si>
  <si>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</si>
  <si>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</si>
  <si>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</si>
  <si>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</si>
  <si>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</si>
  <si>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</si>
  <si>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</si>
  <si>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</si>
  <si>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</si>
  <si>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</si>
  <si>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</si>
  <si>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</si>
  <si>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</si>
  <si>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</si>
  <si>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</si>
  <si>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</si>
  <si>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</si>
  <si>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</si>
  <si>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</si>
  <si>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</si>
  <si>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</si>
  <si>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</si>
  <si>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</si>
  <si>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</si>
  <si>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</si>
  <si>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</si>
  <si>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</si>
  <si>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</si>
  <si>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</si>
  <si>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</si>
  <si>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</si>
  <si>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</si>
  <si>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</si>
  <si>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</si>
  <si>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</si>
  <si>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</si>
  <si>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</si>
  <si>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</si>
  <si>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</si>
  <si>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</si>
  <si>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</si>
  <si>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</si>
  <si>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</si>
  <si>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</si>
  <si>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</si>
  <si>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</si>
  <si>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</si>
  <si>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</si>
  <si>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</si>
  <si>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</si>
  <si>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</si>
  <si>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</si>
  <si>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</si>
  <si>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</si>
  <si>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</si>
  <si>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</si>
  <si>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</si>
  <si>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</si>
  <si>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</si>
  <si>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</si>
  <si>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</si>
  <si>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</si>
  <si>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</si>
  <si>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</si>
  <si>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MIDDLESEX HEALTH SYSTEM,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</si>
  <si>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</si>
  <si>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</si>
  <si>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</si>
  <si>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</si>
  <si>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</si>
  <si>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</si>
  <si>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</si>
  <si>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</si>
  <si>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</si>
  <si>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</si>
  <si>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</si>
  <si>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</si>
  <si>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</si>
  <si>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</si>
  <si>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</si>
  <si>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</si>
  <si>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</si>
  <si>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</si>
  <si>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</si>
  <si>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</si>
  <si>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</si>
  <si>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</si>
  <si>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</si>
  <si>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</si>
  <si>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</si>
  <si>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</si>
  <si>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</si>
  <si>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</si>
  <si>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</si>
  <si>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</si>
  <si>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</si>
  <si>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</si>
  <si>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</si>
  <si>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</si>
  <si>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</si>
  <si>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</si>
  <si>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</si>
  <si>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</si>
  <si>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</si>
  <si>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</si>
  <si>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</si>
  <si>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</si>
  <si>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</si>
  <si>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</si>
  <si>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</si>
  <si>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</si>
  <si>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</si>
  <si>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</si>
  <si>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</si>
  <si>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</si>
  <si>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</si>
  <si>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</si>
  <si>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</si>
  <si>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</si>
  <si>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</si>
  <si>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</si>
  <si>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</si>
  <si>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</si>
  <si>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</si>
  <si>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</si>
  <si>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</si>
  <si>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</si>
  <si>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</si>
  <si>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</si>
  <si>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</si>
  <si>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</si>
  <si>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</si>
  <si>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</si>
  <si>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</si>
  <si>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</si>
  <si>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</si>
  <si>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</si>
  <si>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</si>
  <si>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</si>
  <si>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</si>
  <si>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</si>
  <si>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</si>
  <si>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</si>
  <si>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</si>
  <si>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</si>
  <si>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</si>
  <si>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</si>
  <si>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</si>
  <si>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</si>
  <si>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</si>
  <si>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</si>
  <si>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</si>
  <si>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</si>
  <si>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</si>
  <si>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</si>
  <si>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</si>
  <si>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</si>
  <si>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</si>
  <si>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</si>
  <si>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</si>
  <si>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</si>
  <si>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</si>
  <si>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</si>
  <si>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</si>
  <si>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</si>
  <si>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</si>
  <si>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</si>
  <si>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</si>
  <si>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MH OP Center Saybrook Road</t>
  </si>
  <si>
    <t>Middlesex Hospital</t>
  </si>
  <si>
    <t xml:space="preserve">      Total Outpatient Surgical Procedures(A)     </t>
  </si>
  <si>
    <t>MH Shoreline Oscopy Room</t>
  </si>
  <si>
    <t xml:space="preserve">      Total Outpatient Endoscopy Procedures(B)     </t>
  </si>
  <si>
    <t>Outpatient Hospital Emergency Room Visits</t>
  </si>
  <si>
    <t>MH Marlborough ED</t>
  </si>
  <si>
    <t>MH Shoreline ED</t>
  </si>
  <si>
    <t>Middlesex Hospital ED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</si>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</sst>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164" fontId="12" fillId="0" borderId="13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left"/>
    </xf>
    <xf numFmtId="164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4" fontId="10" fillId="0" borderId="9" xfId="0" applyNumberFormat="1" applyFont="1" applyBorder="1" applyAlignment="1"/>
    <xf numFmtId="164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4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4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4" fontId="15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1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4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8" xfId="0" applyNumberFormat="1" applyFont="1" applyFill="1" applyBorder="1" applyAlignment="1">
      <alignment horizontal="left"/>
    </xf>
    <xf numFmtId="164" fontId="6" fillId="33" borderId="19" xfId="0" applyNumberFormat="1" applyFont="1" applyFill="1" applyBorder="1" applyAlignment="1">
      <alignment horizontal="center" wrapText="1"/>
    </xf>
    <xf numFmtId="164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4" fontId="12" fillId="0" borderId="9" xfId="0" applyNumberFormat="1" applyFont="1" applyBorder="1" applyAlignment="1"/>
    <xf numFmtId="164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4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2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2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7" fillId="0" borderId="9" xfId="0" applyNumberFormat="1" applyFont="1" applyBorder="1" applyAlignment="1"/>
    <xf numFmtId="164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4" fontId="8" fillId="0" borderId="9" xfId="0" applyNumberFormat="1" applyFont="1" applyBorder="1" applyAlignment="1"/>
    <xf numFmtId="166" fontId="8" fillId="0" borderId="9" xfId="0" applyNumberFormat="1" applyFont="1" applyBorder="1" applyAlignment="1">
      <alignment horizontal="right"/>
    </xf>
    <xf numFmtId="166" fontId="8" fillId="0" borderId="9" xfId="28" applyNumberFormat="1" applyFont="1" applyBorder="1" applyAlignment="1">
      <alignment horizontal="right"/>
    </xf>
    <xf numFmtId="166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2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4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4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66" fontId="13" fillId="0" borderId="9" xfId="0" applyNumberFormat="1" applyFont="1" applyBorder="1" applyAlignment="1">
      <alignment vertical="top"/>
    </xf>
    <xf numFmtId="171" fontId="13" fillId="0" borderId="9" xfId="28" applyNumberFormat="1" applyFont="1" applyBorder="1" applyAlignment="1">
      <alignment vertical="top"/>
    </xf>
    <xf numFmtId="166" fontId="19" fillId="0" borderId="9" xfId="0" applyNumberFormat="1" applyFont="1" applyBorder="1" applyAlignment="1">
      <alignment vertical="top"/>
    </xf>
    <xf numFmtId="171" fontId="19" fillId="0" borderId="9" xfId="28" applyNumberFormat="1" applyFont="1" applyBorder="1" applyAlignment="1">
      <alignment vertical="top"/>
    </xf>
    <xf numFmtId="171" fontId="13" fillId="0" borderId="9" xfId="0" applyNumberFormat="1" applyFont="1" applyBorder="1" applyAlignment="1">
      <alignment vertical="top"/>
    </xf>
    <xf numFmtId="181" fontId="13" fillId="0" borderId="9" xfId="0" applyNumberFormat="1" applyFont="1" applyBorder="1" applyAlignment="1">
      <alignment horizontal="right" vertical="top"/>
    </xf>
    <xf numFmtId="168" fontId="13" fillId="0" borderId="9" xfId="28" applyNumberFormat="1" applyFont="1" applyBorder="1" applyAlignment="1">
      <alignment vertical="top"/>
    </xf>
    <xf numFmtId="181" fontId="19" fillId="0" borderId="9" xfId="0" applyNumberFormat="1" applyFont="1" applyBorder="1" applyAlignment="1">
      <alignment horizontal="right" vertical="top"/>
    </xf>
    <xf numFmtId="168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0" fontId="13" fillId="0" borderId="9" xfId="28" applyNumberFormat="1" applyFont="1" applyBorder="1" applyProtection="1">
      <protection locked="0"/>
    </xf>
    <xf numFmtId="170" fontId="13" fillId="0" borderId="9" xfId="0" applyNumberFormat="1" applyFont="1" applyBorder="1" applyProtection="1">
      <protection locked="0"/>
    </xf>
    <xf numFmtId="170" fontId="19" fillId="0" borderId="9" xfId="28" applyNumberFormat="1" applyFont="1" applyBorder="1" applyProtection="1">
      <protection locked="0"/>
    </xf>
    <xf numFmtId="170" fontId="19" fillId="0" borderId="9" xfId="0" applyNumberFormat="1" applyFont="1" applyBorder="1" applyProtection="1">
      <protection locked="0"/>
    </xf>
    <xf numFmtId="182" fontId="13" fillId="0" borderId="9" xfId="0" applyNumberFormat="1" applyFont="1" applyBorder="1" applyProtection="1">
      <protection locked="0"/>
    </xf>
    <xf numFmtId="182" fontId="19" fillId="0" borderId="9" xfId="0" applyNumberFormat="1" applyFont="1" applyBorder="1" applyProtection="1">
      <protection locked="0"/>
    </xf>
    <xf numFmtId="183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4" fontId="13" fillId="0" borderId="9" xfId="28" applyNumberFormat="1" applyFont="1" applyBorder="1" applyProtection="1">
      <protection locked="0"/>
    </xf>
    <xf numFmtId="185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86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19" xfId="0" applyNumberFormat="1" applyFont="1" applyFill="1" applyBorder="1" applyAlignment="1"/>
    <xf numFmtId="164" fontId="1" fillId="33" borderId="20" xfId="0" applyNumberFormat="1" applyFont="1" applyFill="1" applyBorder="1" applyAlignment="1"/>
    <xf numFmtId="164" fontId="1" fillId="33" borderId="18" xfId="0" applyNumberFormat="1" applyFont="1" applyFill="1" applyBorder="1" applyAlignment="1"/>
    <xf numFmtId="164" fontId="1" fillId="0" borderId="2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23" xfId="0" applyNumberFormat="1" applyFont="1" applyBorder="1" applyAlignment="1">
      <alignment horizontal="center" wrapText="1"/>
    </xf>
    <xf numFmtId="164" fontId="6" fillId="0" borderId="24" xfId="0" applyNumberFormat="1" applyFont="1" applyBorder="1" applyAlignment="1">
      <alignment horizontal="center" wrapText="1"/>
    </xf>
    <xf numFmtId="164" fontId="6" fillId="0" borderId="25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7" xfId="0" applyNumberFormat="1" applyFont="1" applyFill="1" applyBorder="1" applyAlignment="1">
      <alignment horizontal="center" wrapText="1"/>
    </xf>
    <xf numFmtId="164" fontId="6" fillId="33" borderId="28" xfId="0" applyNumberFormat="1" applyFont="1" applyFill="1" applyBorder="1" applyAlignment="1">
      <alignment horizontal="center" wrapText="1"/>
    </xf>
    <xf numFmtId="164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4" fontId="6" fillId="0" borderId="1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1" xfId="0" applyNumberFormat="1" applyFont="1" applyBorder="1" applyAlignment="1"/>
    <xf numFmtId="164" fontId="10" fillId="0" borderId="30" xfId="0" applyNumberFormat="1" applyFont="1" applyBorder="1" applyAlignment="1"/>
    <xf numFmtId="164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47781000</v>
      </c>
      <c r="D13" s="23">
        <v>50099000</v>
      </c>
      <c r="E13" s="23">
        <f t="shared" ref="E13:E22" si="0">D13-C13</f>
        <v>2318000</v>
      </c>
      <c r="F13" s="24">
        <f t="shared" ref="F13:F22" si="1">IF(C13=0,0,E13/C13)</f>
        <v>4.8513007262300914E-2</v>
      </c>
    </row>
    <row r="14" spans="1:8" ht="24" customHeight="1" x14ac:dyDescent="0.2">
      <c r="A14" s="21">
        <v>2</v>
      </c>
      <c r="B14" s="22" t="s">
        <v>17</v>
      </c>
      <c r="C14" s="23">
        <v>19181000</v>
      </c>
      <c r="D14" s="23">
        <v>27573000</v>
      </c>
      <c r="E14" s="23">
        <f t="shared" si="0"/>
        <v>8392000</v>
      </c>
      <c r="F14" s="24">
        <f t="shared" si="1"/>
        <v>0.43751629216412075</v>
      </c>
    </row>
    <row r="15" spans="1:8" ht="30" x14ac:dyDescent="0.2">
      <c r="A15" s="21">
        <v>3</v>
      </c>
      <c r="B15" s="22" t="s">
        <v>18</v>
      </c>
      <c r="C15" s="23">
        <v>39081000</v>
      </c>
      <c r="D15" s="23">
        <v>38248000</v>
      </c>
      <c r="E15" s="23">
        <f t="shared" si="0"/>
        <v>-833000</v>
      </c>
      <c r="F15" s="24">
        <f t="shared" si="1"/>
        <v>-2.1314705355543615E-2</v>
      </c>
    </row>
    <row r="16" spans="1:8" ht="24" customHeight="1" x14ac:dyDescent="0.2">
      <c r="A16" s="21">
        <v>4</v>
      </c>
      <c r="B16" s="22" t="s">
        <v>19</v>
      </c>
      <c r="C16" s="23">
        <v>4068000</v>
      </c>
      <c r="D16" s="23">
        <v>4213000</v>
      </c>
      <c r="E16" s="23">
        <f t="shared" si="0"/>
        <v>145000</v>
      </c>
      <c r="F16" s="24">
        <f t="shared" si="1"/>
        <v>3.5644051130776795E-2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334000</v>
      </c>
      <c r="E18" s="23">
        <f t="shared" si="0"/>
        <v>334000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1114000</v>
      </c>
      <c r="D19" s="23">
        <v>970000</v>
      </c>
      <c r="E19" s="23">
        <f t="shared" si="0"/>
        <v>-144000</v>
      </c>
      <c r="F19" s="24">
        <f t="shared" si="1"/>
        <v>-0.12926391382405744</v>
      </c>
    </row>
    <row r="20" spans="1:11" ht="24" customHeight="1" x14ac:dyDescent="0.2">
      <c r="A20" s="21">
        <v>8</v>
      </c>
      <c r="B20" s="22" t="s">
        <v>23</v>
      </c>
      <c r="C20" s="23">
        <v>2050000</v>
      </c>
      <c r="D20" s="23">
        <v>1439000</v>
      </c>
      <c r="E20" s="23">
        <f t="shared" si="0"/>
        <v>-611000</v>
      </c>
      <c r="F20" s="24">
        <f t="shared" si="1"/>
        <v>-0.29804878048780487</v>
      </c>
    </row>
    <row r="21" spans="1:11" ht="24" customHeight="1" x14ac:dyDescent="0.2">
      <c r="A21" s="21">
        <v>9</v>
      </c>
      <c r="B21" s="22" t="s">
        <v>24</v>
      </c>
      <c r="C21" s="23">
        <v>1056000</v>
      </c>
      <c r="D21" s="23">
        <v>1462000</v>
      </c>
      <c r="E21" s="23">
        <f t="shared" si="0"/>
        <v>406000</v>
      </c>
      <c r="F21" s="24">
        <f t="shared" si="1"/>
        <v>0.38446969696969696</v>
      </c>
    </row>
    <row r="22" spans="1:11" ht="24" customHeight="1" x14ac:dyDescent="0.25">
      <c r="A22" s="25"/>
      <c r="B22" s="26" t="s">
        <v>25</v>
      </c>
      <c r="C22" s="27">
        <f>SUM(C13:C21)</f>
        <v>114331000</v>
      </c>
      <c r="D22" s="27">
        <f>SUM(D13:D21)</f>
        <v>124338000</v>
      </c>
      <c r="E22" s="27">
        <f t="shared" si="0"/>
        <v>10007000</v>
      </c>
      <c r="F22" s="28">
        <f t="shared" si="1"/>
        <v>8.752656759758945E-2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7744000</v>
      </c>
      <c r="D25" s="23">
        <v>8694000</v>
      </c>
      <c r="E25" s="23">
        <f>D25-C25</f>
        <v>950000</v>
      </c>
      <c r="F25" s="24">
        <f>IF(C25=0,0,E25/C25)</f>
        <v>0.12267561983471074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75890000</v>
      </c>
      <c r="D26" s="23">
        <v>79978000</v>
      </c>
      <c r="E26" s="23">
        <f>D26-C26</f>
        <v>4088000</v>
      </c>
      <c r="F26" s="24">
        <f>IF(C26=0,0,E26/C26)</f>
        <v>5.3867439715377517E-2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12785000</v>
      </c>
      <c r="D28" s="23">
        <v>13377000</v>
      </c>
      <c r="E28" s="23">
        <f>D28-C28</f>
        <v>592000</v>
      </c>
      <c r="F28" s="24">
        <f>IF(C28=0,0,E28/C28)</f>
        <v>4.63042628079781E-2</v>
      </c>
    </row>
    <row r="29" spans="1:11" ht="24" customHeight="1" x14ac:dyDescent="0.25">
      <c r="A29" s="25"/>
      <c r="B29" s="26" t="s">
        <v>32</v>
      </c>
      <c r="C29" s="27">
        <f>SUM(C25:C28)</f>
        <v>96419000</v>
      </c>
      <c r="D29" s="27">
        <f>SUM(D25:D28)</f>
        <v>102049000</v>
      </c>
      <c r="E29" s="27">
        <f>D29-C29</f>
        <v>5630000</v>
      </c>
      <c r="F29" s="28">
        <f>IF(C29=0,0,E29/C29)</f>
        <v>5.8390981030709714E-2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3831000</v>
      </c>
      <c r="D32" s="23">
        <v>3640000</v>
      </c>
      <c r="E32" s="23">
        <f>D32-C32</f>
        <v>-191000</v>
      </c>
      <c r="F32" s="24">
        <f>IF(C32=0,0,E32/C32)</f>
        <v>-4.9856434351344299E-2</v>
      </c>
    </row>
    <row r="33" spans="1:8" ht="24" customHeight="1" x14ac:dyDescent="0.2">
      <c r="A33" s="21">
        <v>7</v>
      </c>
      <c r="B33" s="22" t="s">
        <v>35</v>
      </c>
      <c r="C33" s="23">
        <v>2621000</v>
      </c>
      <c r="D33" s="23">
        <v>3563000</v>
      </c>
      <c r="E33" s="23">
        <f>D33-C33</f>
        <v>942000</v>
      </c>
      <c r="F33" s="24">
        <f>IF(C33=0,0,E33/C33)</f>
        <v>0.35940480732544833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367111000</v>
      </c>
      <c r="D36" s="23">
        <v>391481000</v>
      </c>
      <c r="E36" s="23">
        <f>D36-C36</f>
        <v>24370000</v>
      </c>
      <c r="F36" s="24">
        <f>IF(C36=0,0,E36/C36)</f>
        <v>6.6383192004598066E-2</v>
      </c>
    </row>
    <row r="37" spans="1:8" ht="24" customHeight="1" x14ac:dyDescent="0.2">
      <c r="A37" s="21">
        <v>2</v>
      </c>
      <c r="B37" s="22" t="s">
        <v>39</v>
      </c>
      <c r="C37" s="23">
        <v>215843000</v>
      </c>
      <c r="D37" s="23">
        <v>236911000</v>
      </c>
      <c r="E37" s="23">
        <f>D37-C37</f>
        <v>21068000</v>
      </c>
      <c r="F37" s="24">
        <f>IF(C37=0,0,E37/C37)</f>
        <v>9.760798358065817E-2</v>
      </c>
    </row>
    <row r="38" spans="1:8" ht="24" customHeight="1" x14ac:dyDescent="0.25">
      <c r="A38" s="25"/>
      <c r="B38" s="26" t="s">
        <v>40</v>
      </c>
      <c r="C38" s="27">
        <f>C36-C37</f>
        <v>151268000</v>
      </c>
      <c r="D38" s="27">
        <f>D36-D37</f>
        <v>154570000</v>
      </c>
      <c r="E38" s="27">
        <f>D38-C38</f>
        <v>3302000</v>
      </c>
      <c r="F38" s="28">
        <f>IF(C38=0,0,E38/C38)</f>
        <v>2.1828807150223443E-2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5902000</v>
      </c>
      <c r="D40" s="23">
        <v>4148000</v>
      </c>
      <c r="E40" s="23">
        <f>D40-C40</f>
        <v>-1754000</v>
      </c>
      <c r="F40" s="24">
        <f>IF(C40=0,0,E40/C40)</f>
        <v>-0.29718739410369366</v>
      </c>
    </row>
    <row r="41" spans="1:8" ht="24" customHeight="1" x14ac:dyDescent="0.25">
      <c r="A41" s="25"/>
      <c r="B41" s="26" t="s">
        <v>42</v>
      </c>
      <c r="C41" s="27">
        <f>+C38+C40</f>
        <v>157170000</v>
      </c>
      <c r="D41" s="27">
        <f>+D38+D40</f>
        <v>158718000</v>
      </c>
      <c r="E41" s="27">
        <f>D41-C41</f>
        <v>1548000</v>
      </c>
      <c r="F41" s="28">
        <f>IF(C41=0,0,E41/C41)</f>
        <v>9.8492078640962013E-3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374372000</v>
      </c>
      <c r="D43" s="27">
        <f>D22+D29+D31+D32+D33+D41</f>
        <v>392308000</v>
      </c>
      <c r="E43" s="27">
        <f>D43-C43</f>
        <v>17936000</v>
      </c>
      <c r="F43" s="28">
        <f>IF(C43=0,0,E43/C43)</f>
        <v>4.790956588633765E-2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15479000</v>
      </c>
      <c r="D49" s="23">
        <v>12669000</v>
      </c>
      <c r="E49" s="23">
        <f t="shared" ref="E49:E56" si="2">D49-C49</f>
        <v>-2810000</v>
      </c>
      <c r="F49" s="24">
        <f t="shared" ref="F49:F56" si="3">IF(C49=0,0,E49/C49)</f>
        <v>-0.18153627495316235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22755000</v>
      </c>
      <c r="D50" s="23">
        <v>27456000</v>
      </c>
      <c r="E50" s="23">
        <f t="shared" si="2"/>
        <v>4701000</v>
      </c>
      <c r="F50" s="24">
        <f t="shared" si="3"/>
        <v>0.20659195781147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66000</v>
      </c>
      <c r="D51" s="23">
        <v>0</v>
      </c>
      <c r="E51" s="23">
        <f t="shared" si="2"/>
        <v>-66000</v>
      </c>
      <c r="F51" s="24">
        <f t="shared" si="3"/>
        <v>-1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2670000</v>
      </c>
      <c r="D53" s="23">
        <v>2785000</v>
      </c>
      <c r="E53" s="23">
        <f t="shared" si="2"/>
        <v>115000</v>
      </c>
      <c r="F53" s="24">
        <f t="shared" si="3"/>
        <v>4.307116104868914E-2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234000</v>
      </c>
      <c r="D54" s="23">
        <v>42000</v>
      </c>
      <c r="E54" s="23">
        <f t="shared" si="2"/>
        <v>-192000</v>
      </c>
      <c r="F54" s="24">
        <f t="shared" si="3"/>
        <v>-0.82051282051282048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11504000</v>
      </c>
      <c r="D55" s="23">
        <v>13195000</v>
      </c>
      <c r="E55" s="23">
        <f t="shared" si="2"/>
        <v>1691000</v>
      </c>
      <c r="F55" s="24">
        <f t="shared" si="3"/>
        <v>0.14699235048678722</v>
      </c>
    </row>
    <row r="56" spans="1:6" ht="24" customHeight="1" x14ac:dyDescent="0.25">
      <c r="A56" s="25"/>
      <c r="B56" s="26" t="s">
        <v>54</v>
      </c>
      <c r="C56" s="27">
        <f>SUM(C49:C55)</f>
        <v>52708000</v>
      </c>
      <c r="D56" s="27">
        <f>SUM(D49:D55)</f>
        <v>56147000</v>
      </c>
      <c r="E56" s="27">
        <f t="shared" si="2"/>
        <v>3439000</v>
      </c>
      <c r="F56" s="28">
        <f t="shared" si="3"/>
        <v>6.5246262426956053E-2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71095000</v>
      </c>
      <c r="D59" s="23">
        <v>68327000</v>
      </c>
      <c r="E59" s="23">
        <f>D59-C59</f>
        <v>-2768000</v>
      </c>
      <c r="F59" s="24">
        <f>IF(C59=0,0,E59/C59)</f>
        <v>-3.8933820943807582E-2</v>
      </c>
    </row>
    <row r="60" spans="1:6" ht="24" customHeight="1" x14ac:dyDescent="0.2">
      <c r="A60" s="21">
        <v>2</v>
      </c>
      <c r="B60" s="22" t="s">
        <v>57</v>
      </c>
      <c r="C60" s="23">
        <v>4820000</v>
      </c>
      <c r="D60" s="23">
        <v>775000</v>
      </c>
      <c r="E60" s="23">
        <f>D60-C60</f>
        <v>-4045000</v>
      </c>
      <c r="F60" s="24">
        <f>IF(C60=0,0,E60/C60)</f>
        <v>-0.83921161825726143</v>
      </c>
    </row>
    <row r="61" spans="1:6" ht="24" customHeight="1" x14ac:dyDescent="0.25">
      <c r="A61" s="25"/>
      <c r="B61" s="26" t="s">
        <v>58</v>
      </c>
      <c r="C61" s="27">
        <f>SUM(C59:C60)</f>
        <v>75915000</v>
      </c>
      <c r="D61" s="27">
        <f>SUM(D59:D60)</f>
        <v>69102000</v>
      </c>
      <c r="E61" s="27">
        <f>D61-C61</f>
        <v>-6813000</v>
      </c>
      <c r="F61" s="28">
        <f>IF(C61=0,0,E61/C61)</f>
        <v>-8.9745109662122111E-2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89528000</v>
      </c>
      <c r="D63" s="23">
        <v>103987000</v>
      </c>
      <c r="E63" s="23">
        <f>D63-C63</f>
        <v>14459000</v>
      </c>
      <c r="F63" s="24">
        <f>IF(C63=0,0,E63/C63)</f>
        <v>0.16150254668930392</v>
      </c>
    </row>
    <row r="64" spans="1:6" ht="24" customHeight="1" x14ac:dyDescent="0.2">
      <c r="A64" s="21">
        <v>4</v>
      </c>
      <c r="B64" s="22" t="s">
        <v>60</v>
      </c>
      <c r="C64" s="23">
        <v>18111000</v>
      </c>
      <c r="D64" s="23">
        <v>18262000</v>
      </c>
      <c r="E64" s="23">
        <f>D64-C64</f>
        <v>151000</v>
      </c>
      <c r="F64" s="24">
        <f>IF(C64=0,0,E64/C64)</f>
        <v>8.3374744630335153E-3</v>
      </c>
    </row>
    <row r="65" spans="1:6" ht="24" customHeight="1" x14ac:dyDescent="0.25">
      <c r="A65" s="25"/>
      <c r="B65" s="26" t="s">
        <v>61</v>
      </c>
      <c r="C65" s="27">
        <f>SUM(C61:C64)</f>
        <v>183554000</v>
      </c>
      <c r="D65" s="27">
        <f>SUM(D61:D64)</f>
        <v>191351000</v>
      </c>
      <c r="E65" s="27">
        <f>D65-C65</f>
        <v>7797000</v>
      </c>
      <c r="F65" s="28">
        <f>IF(C65=0,0,E65/C65)</f>
        <v>4.2477962888305347E-2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124916000</v>
      </c>
      <c r="D70" s="23">
        <v>131224000</v>
      </c>
      <c r="E70" s="23">
        <f>D70-C70</f>
        <v>6308000</v>
      </c>
      <c r="F70" s="24">
        <f>IF(C70=0,0,E70/C70)</f>
        <v>5.0497934612059307E-2</v>
      </c>
    </row>
    <row r="71" spans="1:6" ht="24" customHeight="1" x14ac:dyDescent="0.2">
      <c r="A71" s="21">
        <v>2</v>
      </c>
      <c r="B71" s="22" t="s">
        <v>65</v>
      </c>
      <c r="C71" s="23">
        <v>6606000</v>
      </c>
      <c r="D71" s="23">
        <v>6782000</v>
      </c>
      <c r="E71" s="23">
        <f>D71-C71</f>
        <v>176000</v>
      </c>
      <c r="F71" s="24">
        <f>IF(C71=0,0,E71/C71)</f>
        <v>2.664244626097487E-2</v>
      </c>
    </row>
    <row r="72" spans="1:6" ht="24" customHeight="1" x14ac:dyDescent="0.2">
      <c r="A72" s="21">
        <v>3</v>
      </c>
      <c r="B72" s="22" t="s">
        <v>66</v>
      </c>
      <c r="C72" s="23">
        <v>6588000</v>
      </c>
      <c r="D72" s="23">
        <v>6804000</v>
      </c>
      <c r="E72" s="23">
        <f>D72-C72</f>
        <v>216000</v>
      </c>
      <c r="F72" s="24">
        <f>IF(C72=0,0,E72/C72)</f>
        <v>3.2786885245901641E-2</v>
      </c>
    </row>
    <row r="73" spans="1:6" ht="24" customHeight="1" x14ac:dyDescent="0.25">
      <c r="A73" s="21"/>
      <c r="B73" s="26" t="s">
        <v>67</v>
      </c>
      <c r="C73" s="27">
        <f>SUM(C70:C72)</f>
        <v>138110000</v>
      </c>
      <c r="D73" s="27">
        <f>SUM(D70:D72)</f>
        <v>144810000</v>
      </c>
      <c r="E73" s="27">
        <f>D73-C73</f>
        <v>6700000</v>
      </c>
      <c r="F73" s="28">
        <f>IF(C73=0,0,E73/C73)</f>
        <v>4.8512055607848818E-2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374372000</v>
      </c>
      <c r="D75" s="27">
        <f>D56+D65+D67+D73</f>
        <v>392308000</v>
      </c>
      <c r="E75" s="27">
        <f>D75-C75</f>
        <v>17936000</v>
      </c>
      <c r="F75" s="28">
        <f>IF(C75=0,0,E75/C75)</f>
        <v>4.790956588633765E-2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305765000</v>
      </c>
      <c r="D11" s="51">
        <v>330980000</v>
      </c>
      <c r="E11" s="51">
        <v>337751000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9890000</v>
      </c>
      <c r="D12" s="49">
        <v>9513000</v>
      </c>
      <c r="E12" s="49">
        <v>9955000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315655000</v>
      </c>
      <c r="D13" s="51">
        <f>+D11+D12</f>
        <v>340493000</v>
      </c>
      <c r="E13" s="51">
        <f>+E11+E12</f>
        <v>347706000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308374000</v>
      </c>
      <c r="D14" s="49">
        <v>321164000</v>
      </c>
      <c r="E14" s="49">
        <v>328329000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7281000</v>
      </c>
      <c r="D15" s="51">
        <f>+D13-D14</f>
        <v>19329000</v>
      </c>
      <c r="E15" s="51">
        <f>+E13-E14</f>
        <v>19377000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2058000</v>
      </c>
      <c r="D16" s="49">
        <v>-2239000</v>
      </c>
      <c r="E16" s="49">
        <v>2815000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9339000</v>
      </c>
      <c r="D17" s="51">
        <f>D15+D16</f>
        <v>17090000</v>
      </c>
      <c r="E17" s="51">
        <f>E15+E16</f>
        <v>22192000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2.2916909286053767E-2</v>
      </c>
      <c r="D20" s="169">
        <f>IF(+D27=0,0,+D24/+D27)</f>
        <v>5.7143448414505076E-2</v>
      </c>
      <c r="E20" s="169">
        <f>IF(+E27=0,0,+E24/+E27)</f>
        <v>5.5280568068674915E-2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6.4775441986950483E-3</v>
      </c>
      <c r="D21" s="169">
        <f>IF(+D27=0,0,+D26/+D27)</f>
        <v>-6.6192860986122853E-3</v>
      </c>
      <c r="E21" s="169">
        <f>IF(+E27=0,0,+E26/+E27)</f>
        <v>8.0309025707446923E-3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2.9394453484748815E-2</v>
      </c>
      <c r="D22" s="169">
        <f>IF(+D27=0,0,+D28/+D27)</f>
        <v>5.0524162315892789E-2</v>
      </c>
      <c r="E22" s="169">
        <f>IF(+E27=0,0,+E28/+E27)</f>
        <v>6.3311470639419609E-2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7281000</v>
      </c>
      <c r="D24" s="51">
        <f>+D15</f>
        <v>19329000</v>
      </c>
      <c r="E24" s="51">
        <f>+E15</f>
        <v>19377000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315655000</v>
      </c>
      <c r="D25" s="51">
        <f>+D13</f>
        <v>340493000</v>
      </c>
      <c r="E25" s="51">
        <f>+E13</f>
        <v>347706000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2058000</v>
      </c>
      <c r="D26" s="51">
        <f>+D16</f>
        <v>-2239000</v>
      </c>
      <c r="E26" s="51">
        <f>+E16</f>
        <v>2815000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317713000</v>
      </c>
      <c r="D27" s="51">
        <f>SUM(D25:D26)</f>
        <v>338254000</v>
      </c>
      <c r="E27" s="51">
        <f>SUM(E25:E26)</f>
        <v>350521000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9339000</v>
      </c>
      <c r="D28" s="51">
        <f>+D17</f>
        <v>17090000</v>
      </c>
      <c r="E28" s="51">
        <f>+E17</f>
        <v>22192000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165235000</v>
      </c>
      <c r="D31" s="51">
        <v>128787000</v>
      </c>
      <c r="E31" s="52">
        <v>134810000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179416000</v>
      </c>
      <c r="D32" s="51">
        <v>141981000</v>
      </c>
      <c r="E32" s="51">
        <v>148452000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-18219000</v>
      </c>
      <c r="D33" s="51">
        <f>+D32-C32</f>
        <v>-37435000</v>
      </c>
      <c r="E33" s="51">
        <f>+E32-D32</f>
        <v>6471000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0.90780000000000005</v>
      </c>
      <c r="D34" s="171">
        <f>IF(C32=0,0,+D33/C32)</f>
        <v>-0.20864917287198467</v>
      </c>
      <c r="E34" s="171">
        <f>IF(D32=0,0,+E33/D32)</f>
        <v>4.5576520802079148E-2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2.0976315555159823</v>
      </c>
      <c r="D38" s="269">
        <f>IF(+D40=0,0,+D39/+D40)</f>
        <v>2.1565374837683122</v>
      </c>
      <c r="E38" s="269">
        <f>IF(+E40=0,0,+E39/+E40)</f>
        <v>2.2053039281358959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94234000</v>
      </c>
      <c r="D39" s="270">
        <v>117913000</v>
      </c>
      <c r="E39" s="270">
        <v>128395000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44924000</v>
      </c>
      <c r="D40" s="270">
        <v>54677000</v>
      </c>
      <c r="E40" s="270">
        <v>58221000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58.375875224338614</v>
      </c>
      <c r="D42" s="271">
        <f>IF((D48/365)=0,0,+D45/(D48/365))</f>
        <v>84.26453880624365</v>
      </c>
      <c r="E42" s="271">
        <f>IF((E48/365)=0,0,+E45/(E48/365))</f>
        <v>95.832498359970899</v>
      </c>
    </row>
    <row r="43" spans="1:14" ht="24" customHeight="1" x14ac:dyDescent="0.2">
      <c r="A43" s="17">
        <v>5</v>
      </c>
      <c r="B43" s="188" t="s">
        <v>16</v>
      </c>
      <c r="C43" s="272">
        <v>30927000</v>
      </c>
      <c r="D43" s="272">
        <v>50111000</v>
      </c>
      <c r="E43" s="272">
        <v>52873000</v>
      </c>
    </row>
    <row r="44" spans="1:14" ht="24" customHeight="1" x14ac:dyDescent="0.2">
      <c r="A44" s="17">
        <v>6</v>
      </c>
      <c r="B44" s="273" t="s">
        <v>17</v>
      </c>
      <c r="C44" s="274">
        <v>15145000</v>
      </c>
      <c r="D44" s="274">
        <v>19181000</v>
      </c>
      <c r="E44" s="274">
        <v>27573000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46072000</v>
      </c>
      <c r="D45" s="270">
        <f>+D43+D44</f>
        <v>69292000</v>
      </c>
      <c r="E45" s="270">
        <f>+E43+E44</f>
        <v>80446000</v>
      </c>
    </row>
    <row r="46" spans="1:14" ht="24" customHeight="1" x14ac:dyDescent="0.2">
      <c r="A46" s="17">
        <v>8</v>
      </c>
      <c r="B46" s="45" t="s">
        <v>324</v>
      </c>
      <c r="C46" s="270">
        <f>+C14</f>
        <v>308374000</v>
      </c>
      <c r="D46" s="270">
        <f>+D14</f>
        <v>321164000</v>
      </c>
      <c r="E46" s="270">
        <f>+E14</f>
        <v>328329000</v>
      </c>
    </row>
    <row r="47" spans="1:14" ht="24" customHeight="1" x14ac:dyDescent="0.2">
      <c r="A47" s="17">
        <v>9</v>
      </c>
      <c r="B47" s="45" t="s">
        <v>347</v>
      </c>
      <c r="C47" s="270">
        <v>20305000</v>
      </c>
      <c r="D47" s="270">
        <v>21019000</v>
      </c>
      <c r="E47" s="270">
        <v>21932000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288069000</v>
      </c>
      <c r="D48" s="270">
        <f>+D46-D47</f>
        <v>300145000</v>
      </c>
      <c r="E48" s="270">
        <f>+E46-E47</f>
        <v>306397000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47.903079162101612</v>
      </c>
      <c r="D50" s="278">
        <f>IF((D55/365)=0,0,+D54/(D55/365))</f>
        <v>43.877636110943264</v>
      </c>
      <c r="E50" s="278">
        <f>IF((E55/365)=0,0,+E54/(E55/365))</f>
        <v>42.691094919037994</v>
      </c>
    </row>
    <row r="51" spans="1:5" ht="24" customHeight="1" x14ac:dyDescent="0.2">
      <c r="A51" s="17">
        <v>12</v>
      </c>
      <c r="B51" s="188" t="s">
        <v>350</v>
      </c>
      <c r="C51" s="279">
        <v>40430000</v>
      </c>
      <c r="D51" s="279">
        <v>39854000</v>
      </c>
      <c r="E51" s="279">
        <v>39170000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334000</v>
      </c>
    </row>
    <row r="53" spans="1:5" ht="24" customHeight="1" x14ac:dyDescent="0.2">
      <c r="A53" s="17">
        <v>14</v>
      </c>
      <c r="B53" s="188" t="s">
        <v>49</v>
      </c>
      <c r="C53" s="270">
        <v>301000</v>
      </c>
      <c r="D53" s="270">
        <v>66000</v>
      </c>
      <c r="E53" s="270">
        <v>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40129000</v>
      </c>
      <c r="D54" s="280">
        <f>+D51+D52-D53</f>
        <v>39788000</v>
      </c>
      <c r="E54" s="280">
        <f>+E51+E52-E53</f>
        <v>39504000</v>
      </c>
    </row>
    <row r="55" spans="1:5" ht="24" customHeight="1" x14ac:dyDescent="0.2">
      <c r="A55" s="17">
        <v>16</v>
      </c>
      <c r="B55" s="45" t="s">
        <v>75</v>
      </c>
      <c r="C55" s="270">
        <f>+C11</f>
        <v>305765000</v>
      </c>
      <c r="D55" s="270">
        <f>+D11</f>
        <v>330980000</v>
      </c>
      <c r="E55" s="270">
        <f>+E11</f>
        <v>337751000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56.921293162402058</v>
      </c>
      <c r="D57" s="283">
        <f>IF((D61/365)=0,0,+D58/(D61/365))</f>
        <v>66.491545752886111</v>
      </c>
      <c r="E57" s="283">
        <f>IF((E61/365)=0,0,+E58/(E61/365))</f>
        <v>69.356635345646339</v>
      </c>
    </row>
    <row r="58" spans="1:5" ht="24" customHeight="1" x14ac:dyDescent="0.2">
      <c r="A58" s="17">
        <v>18</v>
      </c>
      <c r="B58" s="45" t="s">
        <v>54</v>
      </c>
      <c r="C58" s="281">
        <f>+C40</f>
        <v>44924000</v>
      </c>
      <c r="D58" s="281">
        <f>+D40</f>
        <v>54677000</v>
      </c>
      <c r="E58" s="281">
        <f>+E40</f>
        <v>58221000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308374000</v>
      </c>
      <c r="D59" s="281">
        <f t="shared" si="0"/>
        <v>321164000</v>
      </c>
      <c r="E59" s="281">
        <f t="shared" si="0"/>
        <v>328329000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20305000</v>
      </c>
      <c r="D60" s="176">
        <f t="shared" si="0"/>
        <v>21019000</v>
      </c>
      <c r="E60" s="176">
        <f t="shared" si="0"/>
        <v>21932000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288069000</v>
      </c>
      <c r="D61" s="281">
        <f>+D59-D60</f>
        <v>300145000</v>
      </c>
      <c r="E61" s="281">
        <f>+E59-E60</f>
        <v>306397000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49.692840326824538</v>
      </c>
      <c r="D65" s="284">
        <f>IF(D67=0,0,(D66/D67)*100)</f>
        <v>36.631182984344527</v>
      </c>
      <c r="E65" s="284">
        <f>IF(E67=0,0,(E66/E67)*100)</f>
        <v>36.56831494883707</v>
      </c>
    </row>
    <row r="66" spans="1:5" ht="24" customHeight="1" x14ac:dyDescent="0.2">
      <c r="A66" s="17">
        <v>2</v>
      </c>
      <c r="B66" s="45" t="s">
        <v>67</v>
      </c>
      <c r="C66" s="281">
        <f>+C32</f>
        <v>179416000</v>
      </c>
      <c r="D66" s="281">
        <f>+D32</f>
        <v>141981000</v>
      </c>
      <c r="E66" s="281">
        <f>+E32</f>
        <v>148452000</v>
      </c>
    </row>
    <row r="67" spans="1:5" ht="24" customHeight="1" x14ac:dyDescent="0.2">
      <c r="A67" s="17">
        <v>3</v>
      </c>
      <c r="B67" s="45" t="s">
        <v>43</v>
      </c>
      <c r="C67" s="281">
        <v>361050000</v>
      </c>
      <c r="D67" s="281">
        <v>387596000</v>
      </c>
      <c r="E67" s="281">
        <v>405958000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22.390235428295203</v>
      </c>
      <c r="D69" s="284">
        <f>IF(D75=0,0,(D72/D75)*100)</f>
        <v>27.787986174913591</v>
      </c>
      <c r="E69" s="284">
        <f>IF(E75=0,0,(E72/E75)*100)</f>
        <v>32.821809796555954</v>
      </c>
    </row>
    <row r="70" spans="1:5" ht="24" customHeight="1" x14ac:dyDescent="0.2">
      <c r="A70" s="17">
        <v>5</v>
      </c>
      <c r="B70" s="45" t="s">
        <v>358</v>
      </c>
      <c r="C70" s="281">
        <f>+C28</f>
        <v>9339000</v>
      </c>
      <c r="D70" s="281">
        <f>+D28</f>
        <v>17090000</v>
      </c>
      <c r="E70" s="281">
        <f>+E28</f>
        <v>22192000</v>
      </c>
    </row>
    <row r="71" spans="1:5" ht="24" customHeight="1" x14ac:dyDescent="0.2">
      <c r="A71" s="17">
        <v>6</v>
      </c>
      <c r="B71" s="45" t="s">
        <v>347</v>
      </c>
      <c r="C71" s="176">
        <f>+C47</f>
        <v>20305000</v>
      </c>
      <c r="D71" s="176">
        <f>+D47</f>
        <v>21019000</v>
      </c>
      <c r="E71" s="176">
        <f>+E47</f>
        <v>21932000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29644000</v>
      </c>
      <c r="D72" s="281">
        <f>+D70+D71</f>
        <v>38109000</v>
      </c>
      <c r="E72" s="281">
        <f>+E70+E71</f>
        <v>44124000</v>
      </c>
    </row>
    <row r="73" spans="1:5" ht="24" customHeight="1" x14ac:dyDescent="0.2">
      <c r="A73" s="17">
        <v>8</v>
      </c>
      <c r="B73" s="45" t="s">
        <v>54</v>
      </c>
      <c r="C73" s="270">
        <f>+C40</f>
        <v>44924000</v>
      </c>
      <c r="D73" s="270">
        <f>+D40</f>
        <v>54677000</v>
      </c>
      <c r="E73" s="270">
        <f>+E40</f>
        <v>58221000</v>
      </c>
    </row>
    <row r="74" spans="1:5" ht="24" customHeight="1" x14ac:dyDescent="0.2">
      <c r="A74" s="17">
        <v>9</v>
      </c>
      <c r="B74" s="45" t="s">
        <v>58</v>
      </c>
      <c r="C74" s="281">
        <v>87473000</v>
      </c>
      <c r="D74" s="281">
        <v>82465000</v>
      </c>
      <c r="E74" s="281">
        <v>76214000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132397000</v>
      </c>
      <c r="D75" s="270">
        <f>+D73+D74</f>
        <v>137142000</v>
      </c>
      <c r="E75" s="270">
        <f>+E73+E74</f>
        <v>134435000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32.77504880306045</v>
      </c>
      <c r="D77" s="286">
        <f>IF(D80=0,0,(D78/D80)*100)</f>
        <v>36.741577038574981</v>
      </c>
      <c r="E77" s="286">
        <f>IF(E80=0,0,(E78/E80)*100)</f>
        <v>33.923246063044701</v>
      </c>
    </row>
    <row r="78" spans="1:5" ht="24" customHeight="1" x14ac:dyDescent="0.2">
      <c r="A78" s="17">
        <v>12</v>
      </c>
      <c r="B78" s="45" t="s">
        <v>58</v>
      </c>
      <c r="C78" s="270">
        <f>+C74</f>
        <v>87473000</v>
      </c>
      <c r="D78" s="270">
        <f>+D74</f>
        <v>82465000</v>
      </c>
      <c r="E78" s="270">
        <f>+E74</f>
        <v>76214000</v>
      </c>
    </row>
    <row r="79" spans="1:5" ht="24" customHeight="1" x14ac:dyDescent="0.2">
      <c r="A79" s="17">
        <v>13</v>
      </c>
      <c r="B79" s="45" t="s">
        <v>67</v>
      </c>
      <c r="C79" s="270">
        <f>+C32</f>
        <v>179416000</v>
      </c>
      <c r="D79" s="270">
        <f>+D32</f>
        <v>141981000</v>
      </c>
      <c r="E79" s="270">
        <f>+E32</f>
        <v>148452000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266889000</v>
      </c>
      <c r="D80" s="270">
        <f>+D78+D79</f>
        <v>224446000</v>
      </c>
      <c r="E80" s="270">
        <f>+E78+E79</f>
        <v>224666000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FILING&amp;R&amp;8MIDDLESEX HEALTH SYSTEM,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" zoomScale="75" zoomScaleNormal="75" zoomScaleSheetLayoutView="75" workbookViewId="0">
      <selection activeCell="A4" sqref="A4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35141</v>
      </c>
      <c r="D11" s="297">
        <v>107</v>
      </c>
      <c r="E11" s="297">
        <v>114</v>
      </c>
      <c r="F11" s="298">
        <f>IF(D11=0,0,$C11/(D11*365))</f>
        <v>0.89978235821277686</v>
      </c>
      <c r="G11" s="298">
        <f>IF(E11=0,0,$C11/(E11*365))</f>
        <v>0.84453256428743095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10265</v>
      </c>
      <c r="D13" s="297">
        <v>33</v>
      </c>
      <c r="E13" s="297">
        <v>40</v>
      </c>
      <c r="F13" s="298">
        <f>IF(D13=0,0,$C13/(D13*365))</f>
        <v>0.85222083852220842</v>
      </c>
      <c r="G13" s="298">
        <f>IF(E13=0,0,$C13/(E13*365))</f>
        <v>0.70308219178082187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5977</v>
      </c>
      <c r="D16" s="297">
        <v>17</v>
      </c>
      <c r="E16" s="297">
        <v>20</v>
      </c>
      <c r="F16" s="298">
        <f t="shared" si="0"/>
        <v>0.96325543916196621</v>
      </c>
      <c r="G16" s="298">
        <f t="shared" si="0"/>
        <v>0.81876712328767121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5977</v>
      </c>
      <c r="D17" s="300">
        <f>SUM(D15:D16)</f>
        <v>17</v>
      </c>
      <c r="E17" s="300">
        <f>SUM(E15:E16)</f>
        <v>20</v>
      </c>
      <c r="F17" s="301">
        <f t="shared" si="0"/>
        <v>0.96325543916196621</v>
      </c>
      <c r="G17" s="301">
        <f t="shared" si="0"/>
        <v>0.81876712328767121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3230</v>
      </c>
      <c r="D21" s="297">
        <v>11</v>
      </c>
      <c r="E21" s="297">
        <v>20</v>
      </c>
      <c r="F21" s="298">
        <f>IF(D21=0,0,$C21/(D21*365))</f>
        <v>0.80448318804483188</v>
      </c>
      <c r="G21" s="298">
        <f>IF(E21=0,0,$C21/(E21*365))</f>
        <v>0.44246575342465755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3216</v>
      </c>
      <c r="D23" s="297">
        <v>10</v>
      </c>
      <c r="E23" s="297">
        <v>20</v>
      </c>
      <c r="F23" s="298">
        <f>IF(D23=0,0,$C23/(D23*365))</f>
        <v>0.88109589041095893</v>
      </c>
      <c r="G23" s="298">
        <f>IF(E23=0,0,$C23/(E23*365))</f>
        <v>0.44054794520547946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0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54613</v>
      </c>
      <c r="D31" s="300">
        <f>SUM(D10:D29)-D17-D23</f>
        <v>168</v>
      </c>
      <c r="E31" s="300">
        <f>SUM(E10:E29)-E17-E23</f>
        <v>194</v>
      </c>
      <c r="F31" s="301">
        <f>IF(D31=0,0,$C31/(D31*365))</f>
        <v>0.8906229615133725</v>
      </c>
      <c r="G31" s="301">
        <f>IF(E31=0,0,$C31/(E31*365))</f>
        <v>0.77126112131054936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57829</v>
      </c>
      <c r="D33" s="300">
        <f>SUM(D10:D29)-D17</f>
        <v>178</v>
      </c>
      <c r="E33" s="300">
        <f>SUM(E10:E29)-E17</f>
        <v>214</v>
      </c>
      <c r="F33" s="301">
        <f>IF(D33=0,0,$C33/(D33*365))</f>
        <v>0.89008773279975373</v>
      </c>
      <c r="G33" s="301">
        <f>IF(E33=0,0,$C33/(E33*365))</f>
        <v>0.74035334784278584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57829</v>
      </c>
      <c r="D36" s="300">
        <f>+D33</f>
        <v>178</v>
      </c>
      <c r="E36" s="300">
        <f>+E33</f>
        <v>214</v>
      </c>
      <c r="F36" s="301">
        <f>+F33</f>
        <v>0.89008773279975373</v>
      </c>
      <c r="G36" s="301">
        <f>+G33</f>
        <v>0.74035334784278584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57628</v>
      </c>
      <c r="D37" s="302">
        <v>176</v>
      </c>
      <c r="E37" s="302">
        <v>214</v>
      </c>
      <c r="F37" s="301">
        <f>IF(D37=0,0,$C37/(D37*365))</f>
        <v>0.89707347447073471</v>
      </c>
      <c r="G37" s="301">
        <f>IF(E37=0,0,$C37/(E37*365))</f>
        <v>0.73778005377032385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201</v>
      </c>
      <c r="D38" s="300">
        <f>+D36-D37</f>
        <v>2</v>
      </c>
      <c r="E38" s="300">
        <f>+E36-E37</f>
        <v>0</v>
      </c>
      <c r="F38" s="301">
        <f>+F36-F37</f>
        <v>-6.9857416709809828E-3</v>
      </c>
      <c r="G38" s="301">
        <f>+G36-G37</f>
        <v>2.5732940724619846E-3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3.4878878323037414E-3</v>
      </c>
      <c r="D40" s="148">
        <f>IF(D37=0,0,D38/D37)</f>
        <v>1.1363636363636364E-2</v>
      </c>
      <c r="E40" s="148">
        <f>IF(E37=0,0,E38/E37)</f>
        <v>0</v>
      </c>
      <c r="F40" s="148">
        <f>IF(F37=0,0,F38/F37)</f>
        <v>-7.7872569748007629E-3</v>
      </c>
      <c r="G40" s="148">
        <f>IF(G37=0,0,G38/G37)</f>
        <v>3.487887832303839E-3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297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FILING&amp;RMIDDLESEX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8968</v>
      </c>
      <c r="D12" s="296">
        <v>8665</v>
      </c>
      <c r="E12" s="296">
        <f>+D12-C12</f>
        <v>-303</v>
      </c>
      <c r="F12" s="316">
        <f>IF(C12=0,0,+E12/C12)</f>
        <v>-3.3786797502230154E-2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17632</v>
      </c>
      <c r="D13" s="296">
        <v>13023</v>
      </c>
      <c r="E13" s="296">
        <f>+D13-C13</f>
        <v>-4609</v>
      </c>
      <c r="F13" s="316">
        <f>IF(C13=0,0,+E13/C13)</f>
        <v>-0.2613997277676951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12109</v>
      </c>
      <c r="D14" s="296">
        <v>12544</v>
      </c>
      <c r="E14" s="296">
        <f>+D14-C14</f>
        <v>435</v>
      </c>
      <c r="F14" s="316">
        <f>IF(C14=0,0,+E14/C14)</f>
        <v>3.5923693120819222E-2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38709</v>
      </c>
      <c r="D16" s="300">
        <f>SUM(D12:D15)</f>
        <v>34232</v>
      </c>
      <c r="E16" s="300">
        <f>+D16-C16</f>
        <v>-4477</v>
      </c>
      <c r="F16" s="309">
        <f>IF(C16=0,0,+E16/C16)</f>
        <v>-0.11565785734583689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1138</v>
      </c>
      <c r="D19" s="296">
        <v>1237</v>
      </c>
      <c r="E19" s="296">
        <f>+D19-C19</f>
        <v>99</v>
      </c>
      <c r="F19" s="316">
        <f>IF(C19=0,0,+E19/C19)</f>
        <v>8.6994727592267132E-2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8663</v>
      </c>
      <c r="D20" s="296">
        <v>9506</v>
      </c>
      <c r="E20" s="296">
        <f>+D20-C20</f>
        <v>843</v>
      </c>
      <c r="F20" s="316">
        <f>IF(C20=0,0,+E20/C20)</f>
        <v>9.7310400554080578E-2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47</v>
      </c>
      <c r="D21" s="296">
        <v>60</v>
      </c>
      <c r="E21" s="296">
        <f>+D21-C21</f>
        <v>13</v>
      </c>
      <c r="F21" s="316">
        <f>IF(C21=0,0,+E21/C21)</f>
        <v>0.27659574468085107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9848</v>
      </c>
      <c r="D23" s="300">
        <f>SUM(D19:D22)</f>
        <v>10803</v>
      </c>
      <c r="E23" s="300">
        <f>+D23-C23</f>
        <v>955</v>
      </c>
      <c r="F23" s="309">
        <f>IF(C23=0,0,+E23/C23)</f>
        <v>9.6974004874086112E-2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25</v>
      </c>
      <c r="D27" s="296">
        <v>12</v>
      </c>
      <c r="E27" s="296">
        <f>+D27-C27</f>
        <v>-13</v>
      </c>
      <c r="F27" s="316">
        <f>IF(C27=0,0,+E27/C27)</f>
        <v>-0.52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25</v>
      </c>
      <c r="D30" s="300">
        <f>SUM(D26:D29)</f>
        <v>12</v>
      </c>
      <c r="E30" s="300">
        <f>+D30-C30</f>
        <v>-13</v>
      </c>
      <c r="F30" s="309">
        <f>IF(C30=0,0,+E30/C30)</f>
        <v>-0.52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3</v>
      </c>
      <c r="D33" s="296">
        <v>3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625</v>
      </c>
      <c r="D34" s="296">
        <v>460</v>
      </c>
      <c r="E34" s="296">
        <f>+D34-C34</f>
        <v>-165</v>
      </c>
      <c r="F34" s="316">
        <f>IF(C34=0,0,+E34/C34)</f>
        <v>-0.26400000000000001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628</v>
      </c>
      <c r="D37" s="300">
        <f>SUM(D33:D36)</f>
        <v>463</v>
      </c>
      <c r="E37" s="300">
        <f>+D37-C37</f>
        <v>-165</v>
      </c>
      <c r="F37" s="309">
        <f>IF(C37=0,0,+E37/C37)</f>
        <v>-0.26273885350318471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178</v>
      </c>
      <c r="D43" s="296">
        <v>159</v>
      </c>
      <c r="E43" s="296">
        <f>+D43-C43</f>
        <v>-19</v>
      </c>
      <c r="F43" s="316">
        <f>IF(C43=0,0,+E43/C43)</f>
        <v>-0.10674157303370786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10311</v>
      </c>
      <c r="D44" s="296">
        <v>9929</v>
      </c>
      <c r="E44" s="296">
        <f>+D44-C44</f>
        <v>-382</v>
      </c>
      <c r="F44" s="316">
        <f>IF(C44=0,0,+E44/C44)</f>
        <v>-3.7047813015226458E-2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10489</v>
      </c>
      <c r="D45" s="300">
        <f>SUM(D43:D44)</f>
        <v>10088</v>
      </c>
      <c r="E45" s="300">
        <f>+D45-C45</f>
        <v>-401</v>
      </c>
      <c r="F45" s="309">
        <f>IF(C45=0,0,+E45/C45)</f>
        <v>-3.8230527218991325E-2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142</v>
      </c>
      <c r="D48" s="296">
        <v>138</v>
      </c>
      <c r="E48" s="296">
        <f>+D48-C48</f>
        <v>-4</v>
      </c>
      <c r="F48" s="316">
        <f>IF(C48=0,0,+E48/C48)</f>
        <v>-2.8169014084507043E-2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269</v>
      </c>
      <c r="D49" s="296">
        <v>304</v>
      </c>
      <c r="E49" s="296">
        <f>+D49-C49</f>
        <v>35</v>
      </c>
      <c r="F49" s="316">
        <f>IF(C49=0,0,+E49/C49)</f>
        <v>0.13011152416356878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411</v>
      </c>
      <c r="D50" s="300">
        <f>SUM(D48:D49)</f>
        <v>442</v>
      </c>
      <c r="E50" s="300">
        <f>+D50-C50</f>
        <v>31</v>
      </c>
      <c r="F50" s="309">
        <f>IF(C50=0,0,+E50/C50)</f>
        <v>7.5425790754257913E-2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3023</v>
      </c>
      <c r="D63" s="296">
        <v>3429</v>
      </c>
      <c r="E63" s="296">
        <f>+D63-C63</f>
        <v>406</v>
      </c>
      <c r="F63" s="316">
        <f>IF(C63=0,0,+E63/C63)</f>
        <v>0.13430367184915648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7890</v>
      </c>
      <c r="D64" s="296">
        <v>7161</v>
      </c>
      <c r="E64" s="296">
        <f>+D64-C64</f>
        <v>-729</v>
      </c>
      <c r="F64" s="316">
        <f>IF(C64=0,0,+E64/C64)</f>
        <v>-9.2395437262357411E-2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10913</v>
      </c>
      <c r="D65" s="300">
        <f>SUM(D63:D64)</f>
        <v>10590</v>
      </c>
      <c r="E65" s="300">
        <f>+D65-C65</f>
        <v>-323</v>
      </c>
      <c r="F65" s="309">
        <f>IF(C65=0,0,+E65/C65)</f>
        <v>-2.9597727480985981E-2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865</v>
      </c>
      <c r="D68" s="296">
        <v>830</v>
      </c>
      <c r="E68" s="296">
        <f>+D68-C68</f>
        <v>-35</v>
      </c>
      <c r="F68" s="316">
        <f>IF(C68=0,0,+E68/C68)</f>
        <v>-4.046242774566474E-2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1801</v>
      </c>
      <c r="D69" s="296">
        <v>1915</v>
      </c>
      <c r="E69" s="296">
        <f>+D69-C69</f>
        <v>114</v>
      </c>
      <c r="F69" s="318">
        <f>IF(C69=0,0,+E69/C69)</f>
        <v>6.3298167684619655E-2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2666</v>
      </c>
      <c r="D70" s="300">
        <f>SUM(D68:D69)</f>
        <v>2745</v>
      </c>
      <c r="E70" s="300">
        <f>+D70-C70</f>
        <v>79</v>
      </c>
      <c r="F70" s="309">
        <f>IF(C70=0,0,+E70/C70)</f>
        <v>2.9632408102025505E-2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8816</v>
      </c>
      <c r="D73" s="319">
        <v>8487</v>
      </c>
      <c r="E73" s="296">
        <f>+D73-C73</f>
        <v>-329</v>
      </c>
      <c r="F73" s="316">
        <f>IF(C73=0,0,+E73/C73)</f>
        <v>-3.7318511796733213E-2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83476</v>
      </c>
      <c r="D74" s="319">
        <v>85981</v>
      </c>
      <c r="E74" s="296">
        <f>+D74-C74</f>
        <v>2505</v>
      </c>
      <c r="F74" s="316">
        <f>IF(C74=0,0,+E74/C74)</f>
        <v>3.0008625233600077E-2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92292</v>
      </c>
      <c r="D75" s="300">
        <f>SUM(D73:D74)</f>
        <v>94468</v>
      </c>
      <c r="E75" s="300">
        <f>SUM(E73:E74)</f>
        <v>2176</v>
      </c>
      <c r="F75" s="309">
        <f>IF(C75=0,0,+E75/C75)</f>
        <v>2.3577341481385169E-2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28696</v>
      </c>
      <c r="D81" s="319">
        <v>30286</v>
      </c>
      <c r="E81" s="296">
        <f t="shared" si="0"/>
        <v>1590</v>
      </c>
      <c r="F81" s="316">
        <f t="shared" si="1"/>
        <v>5.5408419291887369E-2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44636</v>
      </c>
      <c r="D82" s="319">
        <v>51839</v>
      </c>
      <c r="E82" s="296">
        <f t="shared" si="0"/>
        <v>7203</v>
      </c>
      <c r="F82" s="316">
        <f t="shared" si="1"/>
        <v>0.16137198673716283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7457</v>
      </c>
      <c r="D83" s="319">
        <v>8515</v>
      </c>
      <c r="E83" s="296">
        <f t="shared" si="0"/>
        <v>1058</v>
      </c>
      <c r="F83" s="316">
        <f t="shared" si="1"/>
        <v>0.14188011264583614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80789</v>
      </c>
      <c r="D84" s="320">
        <f>SUM(D79:D83)</f>
        <v>90640</v>
      </c>
      <c r="E84" s="300">
        <f t="shared" si="0"/>
        <v>9851</v>
      </c>
      <c r="F84" s="309">
        <f t="shared" si="1"/>
        <v>0.12193491688224882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44882</v>
      </c>
      <c r="D87" s="322">
        <v>44395</v>
      </c>
      <c r="E87" s="323">
        <f t="shared" ref="E87:E92" si="2">+D87-C87</f>
        <v>-487</v>
      </c>
      <c r="F87" s="318">
        <f t="shared" ref="F87:F92" si="3">IF(C87=0,0,+E87/C87)</f>
        <v>-1.0850675103605009E-2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3604</v>
      </c>
      <c r="D88" s="322">
        <v>3568</v>
      </c>
      <c r="E88" s="296">
        <f t="shared" si="2"/>
        <v>-36</v>
      </c>
      <c r="F88" s="316">
        <f t="shared" si="3"/>
        <v>-9.9889012208657056E-3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190</v>
      </c>
      <c r="D89" s="322">
        <v>254</v>
      </c>
      <c r="E89" s="296">
        <f t="shared" si="2"/>
        <v>64</v>
      </c>
      <c r="F89" s="316">
        <f t="shared" si="3"/>
        <v>0.33684210526315789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445179</v>
      </c>
      <c r="D91" s="322">
        <v>425637</v>
      </c>
      <c r="E91" s="296">
        <f t="shared" si="2"/>
        <v>-19542</v>
      </c>
      <c r="F91" s="316">
        <f t="shared" si="3"/>
        <v>-4.38969493170163E-2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493855</v>
      </c>
      <c r="D92" s="320">
        <f>SUM(D87:D91)</f>
        <v>473854</v>
      </c>
      <c r="E92" s="300">
        <f t="shared" si="2"/>
        <v>-20001</v>
      </c>
      <c r="F92" s="309">
        <f t="shared" si="3"/>
        <v>-4.04997418270545E-2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501</v>
      </c>
      <c r="D96" s="325">
        <v>505</v>
      </c>
      <c r="E96" s="326">
        <f>+D96-C96</f>
        <v>4</v>
      </c>
      <c r="F96" s="316">
        <f>IF(C96=0,0,+E96/C96)</f>
        <v>7.9840319361277438E-3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121</v>
      </c>
      <c r="D97" s="325">
        <v>124</v>
      </c>
      <c r="E97" s="326">
        <f>+D97-C97</f>
        <v>3</v>
      </c>
      <c r="F97" s="316">
        <f>IF(C97=0,0,+E97/C97)</f>
        <v>2.4793388429752067E-2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1355</v>
      </c>
      <c r="D98" s="325">
        <v>1392</v>
      </c>
      <c r="E98" s="326">
        <f>+D98-C98</f>
        <v>37</v>
      </c>
      <c r="F98" s="316">
        <f>IF(C98=0,0,+E98/C98)</f>
        <v>2.7306273062730629E-2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1977</v>
      </c>
      <c r="D99" s="327">
        <f>SUM(D96:D98)</f>
        <v>2021</v>
      </c>
      <c r="E99" s="327">
        <f>+D99-C99</f>
        <v>44</v>
      </c>
      <c r="F99" s="309">
        <f>IF(C99=0,0,+E99/C99)</f>
        <v>2.2255943348507841E-2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FILING&amp;RMIDDLESEX HOSPITAL</oddHeader>
    <oddFooter>&amp;LREPORT 450&amp;CPAGE &amp;P of &amp;N&amp;R&amp;D, &amp;T</oddFooter>
  </headerFooter>
  <rowBreaks count="1" manualBreakCount="1">
    <brk id="6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3612</v>
      </c>
      <c r="D12" s="296">
        <v>3225</v>
      </c>
      <c r="E12" s="296">
        <f>+D12-C12</f>
        <v>-387</v>
      </c>
      <c r="F12" s="316">
        <f>IF(C12=0,0,+E12/C12)</f>
        <v>-0.10714285714285714</v>
      </c>
    </row>
    <row r="13" spans="1:16" ht="15.75" customHeight="1" x14ac:dyDescent="0.2">
      <c r="A13" s="294">
        <v>2</v>
      </c>
      <c r="B13" s="295" t="s">
        <v>584</v>
      </c>
      <c r="C13" s="296">
        <v>4278</v>
      </c>
      <c r="D13" s="296">
        <v>3936</v>
      </c>
      <c r="E13" s="296">
        <f>+D13-C13</f>
        <v>-342</v>
      </c>
      <c r="F13" s="316">
        <f>IF(C13=0,0,+E13/C13)</f>
        <v>-7.9943899018232817E-2</v>
      </c>
    </row>
    <row r="14" spans="1:16" ht="15.75" customHeight="1" x14ac:dyDescent="0.25">
      <c r="A14" s="294"/>
      <c r="B14" s="135" t="s">
        <v>585</v>
      </c>
      <c r="C14" s="300">
        <f>SUM(C11:C13)</f>
        <v>7890</v>
      </c>
      <c r="D14" s="300">
        <f>SUM(D11:D13)</f>
        <v>7161</v>
      </c>
      <c r="E14" s="300">
        <f>+D14-C14</f>
        <v>-729</v>
      </c>
      <c r="F14" s="309">
        <f>IF(C14=0,0,+E14/C14)</f>
        <v>-9.2395437262357411E-2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558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586</v>
      </c>
      <c r="C17" s="296">
        <v>0</v>
      </c>
      <c r="D17" s="296">
        <v>0</v>
      </c>
      <c r="E17" s="296">
        <f>+D17-C17</f>
        <v>0</v>
      </c>
      <c r="F17" s="316">
        <f>IF(C17=0,0,+E17/C17)</f>
        <v>0</v>
      </c>
    </row>
    <row r="18" spans="1:6" ht="15.75" customHeight="1" x14ac:dyDescent="0.2">
      <c r="A18" s="294">
        <v>2</v>
      </c>
      <c r="B18" s="295" t="s">
        <v>584</v>
      </c>
      <c r="C18" s="296">
        <v>1801</v>
      </c>
      <c r="D18" s="296">
        <v>1915</v>
      </c>
      <c r="E18" s="296">
        <f>+D18-C18</f>
        <v>114</v>
      </c>
      <c r="F18" s="316">
        <f>IF(C18=0,0,+E18/C18)</f>
        <v>6.3298167684619655E-2</v>
      </c>
    </row>
    <row r="19" spans="1:6" ht="15.75" customHeight="1" x14ac:dyDescent="0.25">
      <c r="A19" s="294"/>
      <c r="B19" s="135" t="s">
        <v>587</v>
      </c>
      <c r="C19" s="300">
        <f>SUM(C16:C18)</f>
        <v>1801</v>
      </c>
      <c r="D19" s="300">
        <f>SUM(D16:D18)</f>
        <v>1915</v>
      </c>
      <c r="E19" s="300">
        <f>+D19-C19</f>
        <v>114</v>
      </c>
      <c r="F19" s="309">
        <f>IF(C19=0,0,+E19/C19)</f>
        <v>6.3298167684619655E-2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588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589</v>
      </c>
      <c r="C22" s="296">
        <v>23248</v>
      </c>
      <c r="D22" s="296">
        <v>23826</v>
      </c>
      <c r="E22" s="296">
        <f>+D22-C22</f>
        <v>578</v>
      </c>
      <c r="F22" s="316">
        <f>IF(C22=0,0,+E22/C22)</f>
        <v>2.4862353750860287E-2</v>
      </c>
    </row>
    <row r="23" spans="1:6" ht="15.75" customHeight="1" x14ac:dyDescent="0.2">
      <c r="A23" s="294">
        <v>2</v>
      </c>
      <c r="B23" s="295" t="s">
        <v>590</v>
      </c>
      <c r="C23" s="296">
        <v>21534</v>
      </c>
      <c r="D23" s="296">
        <v>21733</v>
      </c>
      <c r="E23" s="296">
        <f>+D23-C23</f>
        <v>199</v>
      </c>
      <c r="F23" s="316">
        <f>IF(C23=0,0,+E23/C23)</f>
        <v>9.241199962849448E-3</v>
      </c>
    </row>
    <row r="24" spans="1:6" ht="15.75" customHeight="1" x14ac:dyDescent="0.2">
      <c r="A24" s="294">
        <v>3</v>
      </c>
      <c r="B24" s="295" t="s">
        <v>591</v>
      </c>
      <c r="C24" s="296">
        <v>38694</v>
      </c>
      <c r="D24" s="296">
        <v>40422</v>
      </c>
      <c r="E24" s="296">
        <f>+D24-C24</f>
        <v>1728</v>
      </c>
      <c r="F24" s="316">
        <f>IF(C24=0,0,+E24/C24)</f>
        <v>4.4658086525042641E-2</v>
      </c>
    </row>
    <row r="25" spans="1:6" ht="15.75" customHeight="1" x14ac:dyDescent="0.25">
      <c r="A25" s="294"/>
      <c r="B25" s="135" t="s">
        <v>592</v>
      </c>
      <c r="C25" s="300">
        <f>SUM(C21:C24)</f>
        <v>83476</v>
      </c>
      <c r="D25" s="300">
        <f>SUM(D21:D24)</f>
        <v>85981</v>
      </c>
      <c r="E25" s="300">
        <f>+D25-C25</f>
        <v>2505</v>
      </c>
      <c r="F25" s="309">
        <f>IF(C25=0,0,+E25/C25)</f>
        <v>3.0008625233600077E-2</v>
      </c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593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594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  <row r="31" spans="1:6" ht="15.75" customHeight="1" x14ac:dyDescent="0.25">
      <c r="B31" s="699" t="s">
        <v>595</v>
      </c>
      <c r="C31" s="700"/>
      <c r="D31" s="700"/>
      <c r="E31" s="700"/>
      <c r="F31" s="701"/>
    </row>
    <row r="32" spans="1:6" ht="15.75" customHeight="1" x14ac:dyDescent="0.25">
      <c r="A32" s="293"/>
      <c r="B32" s="135"/>
      <c r="C32" s="300"/>
      <c r="D32" s="300"/>
      <c r="E32" s="300"/>
      <c r="F32" s="309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FILING&amp;RMIDDLESEX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596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597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598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599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212277011</v>
      </c>
      <c r="D15" s="361">
        <v>237936712</v>
      </c>
      <c r="E15" s="361">
        <f t="shared" ref="E15:E24" si="0">D15-C15</f>
        <v>25659701</v>
      </c>
      <c r="F15" s="362">
        <f t="shared" ref="F15:F24" si="1">IF(C15=0,0,E15/C15)</f>
        <v>0.12087837905349064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69519294</v>
      </c>
      <c r="D16" s="361">
        <v>68309563</v>
      </c>
      <c r="E16" s="361">
        <f t="shared" si="0"/>
        <v>-1209731</v>
      </c>
      <c r="F16" s="362">
        <f t="shared" si="1"/>
        <v>-1.7401370618061799E-2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0.32749327716885934</v>
      </c>
      <c r="D17" s="366">
        <f>IF(LN_IA1=0,0,LN_IA2/LN_IA1)</f>
        <v>0.28709131275210698</v>
      </c>
      <c r="E17" s="367">
        <f t="shared" si="0"/>
        <v>-4.0401964416752367E-2</v>
      </c>
      <c r="F17" s="362">
        <f t="shared" si="1"/>
        <v>-0.12336730929569784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7401</v>
      </c>
      <c r="D18" s="369">
        <v>7204</v>
      </c>
      <c r="E18" s="369">
        <f t="shared" si="0"/>
        <v>-197</v>
      </c>
      <c r="F18" s="362">
        <f t="shared" si="1"/>
        <v>-2.6618024591271449E-2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1.3290299999999999</v>
      </c>
      <c r="D19" s="372">
        <v>1.3468100000000001</v>
      </c>
      <c r="E19" s="373">
        <f t="shared" si="0"/>
        <v>1.7780000000000129E-2</v>
      </c>
      <c r="F19" s="362">
        <f t="shared" si="1"/>
        <v>1.337817806972012E-2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9836.1510299999991</v>
      </c>
      <c r="D20" s="376">
        <f>LN_IA4*LN_IA5</f>
        <v>9702.4192400000011</v>
      </c>
      <c r="E20" s="376">
        <f t="shared" si="0"/>
        <v>-133.731789999998</v>
      </c>
      <c r="F20" s="362">
        <f t="shared" si="1"/>
        <v>-1.3595947194397443E-2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7067.7334851780952</v>
      </c>
      <c r="D21" s="378">
        <f>IF(LN_IA6=0,0,LN_IA2/LN_IA6)</f>
        <v>7040.467053658258</v>
      </c>
      <c r="E21" s="378">
        <f t="shared" si="0"/>
        <v>-27.26643151983717</v>
      </c>
      <c r="F21" s="362">
        <f t="shared" si="1"/>
        <v>-3.8578748869093926E-3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34147</v>
      </c>
      <c r="D22" s="369">
        <v>33550</v>
      </c>
      <c r="E22" s="369">
        <f t="shared" si="0"/>
        <v>-597</v>
      </c>
      <c r="F22" s="362">
        <f t="shared" si="1"/>
        <v>-1.7483234251910857E-2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2035.8829179722964</v>
      </c>
      <c r="D23" s="378">
        <f>IF(LN_IA8=0,0,LN_IA2/LN_IA8)</f>
        <v>2036.0525484351713</v>
      </c>
      <c r="E23" s="378">
        <f t="shared" si="0"/>
        <v>0.16963046287492034</v>
      </c>
      <c r="F23" s="362">
        <f t="shared" si="1"/>
        <v>8.3320342922209545E-5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4.6138359681124168</v>
      </c>
      <c r="D24" s="379">
        <f>IF(LN_IA4=0,0,LN_IA8/LN_IA4)</f>
        <v>4.6571349250416434</v>
      </c>
      <c r="E24" s="379">
        <f t="shared" si="0"/>
        <v>4.3298956929226584E-2</v>
      </c>
      <c r="F24" s="362">
        <f t="shared" si="1"/>
        <v>9.3845895754592207E-3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164221864</v>
      </c>
      <c r="D27" s="361">
        <v>179328360</v>
      </c>
      <c r="E27" s="361">
        <f t="shared" ref="E27:E32" si="2">D27-C27</f>
        <v>15106496</v>
      </c>
      <c r="F27" s="362">
        <f t="shared" ref="F27:F32" si="3">IF(C27=0,0,E27/C27)</f>
        <v>9.1988335974556953E-2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46448697</v>
      </c>
      <c r="D28" s="361">
        <v>44251358</v>
      </c>
      <c r="E28" s="361">
        <f t="shared" si="2"/>
        <v>-2197339</v>
      </c>
      <c r="F28" s="362">
        <f t="shared" si="3"/>
        <v>-4.7306795279962323E-2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0.28284112644099568</v>
      </c>
      <c r="D29" s="366">
        <f>IF(LN_IA11=0,0,LN_IA12/LN_IA11)</f>
        <v>0.2467616276644698</v>
      </c>
      <c r="E29" s="367">
        <f t="shared" si="2"/>
        <v>-3.6079498776525887E-2</v>
      </c>
      <c r="F29" s="362">
        <f t="shared" si="3"/>
        <v>-0.12756100652870414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0.77362057825470321</v>
      </c>
      <c r="D30" s="366">
        <f>IF(LN_IA1=0,0,LN_IA11/LN_IA1)</f>
        <v>0.75368091999186737</v>
      </c>
      <c r="E30" s="367">
        <f t="shared" si="2"/>
        <v>-1.9939658262835835E-2</v>
      </c>
      <c r="F30" s="362">
        <f t="shared" si="3"/>
        <v>-2.5774467256054551E-2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5725.5658996630582</v>
      </c>
      <c r="D31" s="376">
        <f>LN_IA14*LN_IA4</f>
        <v>5429.5173476214122</v>
      </c>
      <c r="E31" s="376">
        <f t="shared" si="2"/>
        <v>-296.04855204164596</v>
      </c>
      <c r="F31" s="362">
        <f t="shared" si="3"/>
        <v>-5.1706426444077434E-2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8112.5076217764681</v>
      </c>
      <c r="D32" s="378">
        <f>IF(LN_IA15=0,0,LN_IA12/LN_IA15)</f>
        <v>8150.1457987579388</v>
      </c>
      <c r="E32" s="378">
        <f t="shared" si="2"/>
        <v>37.638176981470679</v>
      </c>
      <c r="F32" s="362">
        <f t="shared" si="3"/>
        <v>4.6395243907615229E-3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376498875</v>
      </c>
      <c r="D35" s="361">
        <f>LN_IA1+LN_IA11</f>
        <v>417265072</v>
      </c>
      <c r="E35" s="361">
        <f>D35-C35</f>
        <v>40766197</v>
      </c>
      <c r="F35" s="362">
        <f>IF(C35=0,0,E35/C35)</f>
        <v>0.10827707519710385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115967991</v>
      </c>
      <c r="D36" s="361">
        <f>LN_IA2+LN_IA12</f>
        <v>112560921</v>
      </c>
      <c r="E36" s="361">
        <f>D36-C36</f>
        <v>-3407070</v>
      </c>
      <c r="F36" s="362">
        <f>IF(C36=0,0,E36/C36)</f>
        <v>-2.9379400044965857E-2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260530884</v>
      </c>
      <c r="D37" s="361">
        <f>LN_IA17-LN_IA18</f>
        <v>304704151</v>
      </c>
      <c r="E37" s="361">
        <f>D37-C37</f>
        <v>44173267</v>
      </c>
      <c r="F37" s="362">
        <f>IF(C37=0,0,E37/C37)</f>
        <v>0.16955098114202843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117841218</v>
      </c>
      <c r="D42" s="361">
        <v>125640834</v>
      </c>
      <c r="E42" s="361">
        <f t="shared" ref="E42:E53" si="4">D42-C42</f>
        <v>7799616</v>
      </c>
      <c r="F42" s="362">
        <f t="shared" ref="F42:F53" si="5">IF(C42=0,0,E42/C42)</f>
        <v>6.6187503255439872E-2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51170306</v>
      </c>
      <c r="D43" s="361">
        <v>57713470</v>
      </c>
      <c r="E43" s="361">
        <f t="shared" si="4"/>
        <v>6543164</v>
      </c>
      <c r="F43" s="362">
        <f t="shared" si="5"/>
        <v>0.12787033167243519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0.43423096662154326</v>
      </c>
      <c r="D44" s="366">
        <f>IF(LN_IB1=0,0,LN_IB2/LN_IB1)</f>
        <v>0.45935280881691698</v>
      </c>
      <c r="E44" s="367">
        <f t="shared" si="4"/>
        <v>2.5121842195373723E-2</v>
      </c>
      <c r="F44" s="362">
        <f t="shared" si="5"/>
        <v>5.7853640404390651E-2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4892</v>
      </c>
      <c r="D45" s="369">
        <v>4717</v>
      </c>
      <c r="E45" s="369">
        <f t="shared" si="4"/>
        <v>-175</v>
      </c>
      <c r="F45" s="362">
        <f t="shared" si="5"/>
        <v>-3.5772690106295996E-2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1.0563899999999999</v>
      </c>
      <c r="D46" s="372">
        <v>1.06819</v>
      </c>
      <c r="E46" s="373">
        <f t="shared" si="4"/>
        <v>1.1800000000000033E-2</v>
      </c>
      <c r="F46" s="362">
        <f t="shared" si="5"/>
        <v>1.1170117096905531E-2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5167.85988</v>
      </c>
      <c r="D47" s="376">
        <f>LN_IB4*LN_IB5</f>
        <v>5038.6522299999997</v>
      </c>
      <c r="E47" s="376">
        <f t="shared" si="4"/>
        <v>-129.20765000000029</v>
      </c>
      <c r="F47" s="362">
        <f t="shared" si="5"/>
        <v>-2.5002158146749189E-2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9901.6434632898763</v>
      </c>
      <c r="D48" s="378">
        <f>IF(LN_IB6=0,0,LN_IB2/LN_IB6)</f>
        <v>11454.148324898384</v>
      </c>
      <c r="E48" s="378">
        <f t="shared" si="4"/>
        <v>1552.5048616085078</v>
      </c>
      <c r="F48" s="362">
        <f t="shared" si="5"/>
        <v>0.15679264430843073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-2833.9099781117811</v>
      </c>
      <c r="D49" s="378">
        <f>LN_IA7-LN_IB7</f>
        <v>-4413.6812712401261</v>
      </c>
      <c r="E49" s="378">
        <f t="shared" si="4"/>
        <v>-1579.771293128345</v>
      </c>
      <c r="F49" s="362">
        <f t="shared" si="5"/>
        <v>0.557452884999875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-14645249.679415552</v>
      </c>
      <c r="D50" s="391">
        <f>LN_IB8*LN_IB6</f>
        <v>-22239004.979843296</v>
      </c>
      <c r="E50" s="391">
        <f t="shared" si="4"/>
        <v>-7593755.3004277442</v>
      </c>
      <c r="F50" s="362">
        <f t="shared" si="5"/>
        <v>0.51851320166299741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16822</v>
      </c>
      <c r="D51" s="369">
        <v>15959</v>
      </c>
      <c r="E51" s="369">
        <f t="shared" si="4"/>
        <v>-863</v>
      </c>
      <c r="F51" s="362">
        <f t="shared" si="5"/>
        <v>-5.130186660325764E-2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3041.8681488526927</v>
      </c>
      <c r="D52" s="378">
        <f>IF(LN_IB10=0,0,LN_IB2/LN_IB10)</f>
        <v>3616.3587944106775</v>
      </c>
      <c r="E52" s="378">
        <f t="shared" si="4"/>
        <v>574.49064555798486</v>
      </c>
      <c r="F52" s="362">
        <f t="shared" si="5"/>
        <v>0.18886112659901666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3.4386753883892069</v>
      </c>
      <c r="D53" s="379">
        <f>IF(LN_IB4=0,0,LN_IB10/LN_IB4)</f>
        <v>3.3832944668221328</v>
      </c>
      <c r="E53" s="379">
        <f t="shared" si="4"/>
        <v>-5.5380921567074193E-2</v>
      </c>
      <c r="F53" s="362">
        <f t="shared" si="5"/>
        <v>-1.6105306640478358E-2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262029785</v>
      </c>
      <c r="D56" s="361">
        <v>276192622</v>
      </c>
      <c r="E56" s="361">
        <f t="shared" ref="E56:E63" si="6">D56-C56</f>
        <v>14162837</v>
      </c>
      <c r="F56" s="362">
        <f t="shared" ref="F56:F63" si="7">IF(C56=0,0,E56/C56)</f>
        <v>5.4050485138550187E-2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119698523</v>
      </c>
      <c r="D57" s="361">
        <v>123788158</v>
      </c>
      <c r="E57" s="361">
        <f t="shared" si="6"/>
        <v>4089635</v>
      </c>
      <c r="F57" s="362">
        <f t="shared" si="7"/>
        <v>3.4166127513536655E-2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0.45681265967531132</v>
      </c>
      <c r="D58" s="366">
        <f>IF(LN_IB13=0,0,LN_IB14/LN_IB13)</f>
        <v>0.44819502093723562</v>
      </c>
      <c r="E58" s="367">
        <f t="shared" si="6"/>
        <v>-8.6176387380756947E-3</v>
      </c>
      <c r="F58" s="362">
        <f t="shared" si="7"/>
        <v>-1.8864710851491842E-2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2.2235834748415448</v>
      </c>
      <c r="D59" s="366">
        <f>IF(LN_IB1=0,0,LN_IB13/LN_IB1)</f>
        <v>2.1982711607915624</v>
      </c>
      <c r="E59" s="367">
        <f t="shared" si="6"/>
        <v>-2.5312314049982465E-2</v>
      </c>
      <c r="F59" s="362">
        <f t="shared" si="7"/>
        <v>-1.1383568162102054E-2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10877.770358924838</v>
      </c>
      <c r="D60" s="376">
        <f>LN_IB16*LN_IB4</f>
        <v>10369.245065453799</v>
      </c>
      <c r="E60" s="376">
        <f t="shared" si="6"/>
        <v>-508.52529347103882</v>
      </c>
      <c r="F60" s="362">
        <f t="shared" si="7"/>
        <v>-4.6749037412231381E-2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11003.957525338956</v>
      </c>
      <c r="D61" s="378">
        <f>IF(LN_IB17=0,0,LN_IB14/LN_IB17)</f>
        <v>11938.010647700179</v>
      </c>
      <c r="E61" s="378">
        <f t="shared" si="6"/>
        <v>934.05312236122336</v>
      </c>
      <c r="F61" s="362">
        <f t="shared" si="7"/>
        <v>8.4883381293536175E-2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-2891.4499035624876</v>
      </c>
      <c r="D62" s="378">
        <f>LN_IA16-LN_IB18</f>
        <v>-3787.8648489422403</v>
      </c>
      <c r="E62" s="378">
        <f t="shared" si="6"/>
        <v>-896.41494537975268</v>
      </c>
      <c r="F62" s="362">
        <f t="shared" si="7"/>
        <v>0.31002264444398669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-31452528.05528811</v>
      </c>
      <c r="D63" s="361">
        <f>LN_IB19*LN_IB17</f>
        <v>-39277298.893500224</v>
      </c>
      <c r="E63" s="361">
        <f t="shared" si="6"/>
        <v>-7824770.8382121138</v>
      </c>
      <c r="F63" s="362">
        <f t="shared" si="7"/>
        <v>0.24878034682800437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379871003</v>
      </c>
      <c r="D66" s="361">
        <f>LN_IB1+LN_IB13</f>
        <v>401833456</v>
      </c>
      <c r="E66" s="361">
        <f>D66-C66</f>
        <v>21962453</v>
      </c>
      <c r="F66" s="362">
        <f>IF(C66=0,0,E66/C66)</f>
        <v>5.7815555350509341E-2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170868829</v>
      </c>
      <c r="D67" s="361">
        <f>LN_IB2+LN_IB14</f>
        <v>181501628</v>
      </c>
      <c r="E67" s="361">
        <f>D67-C67</f>
        <v>10632799</v>
      </c>
      <c r="F67" s="362">
        <f>IF(C67=0,0,E67/C67)</f>
        <v>6.2227844962874999E-2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209002174</v>
      </c>
      <c r="D68" s="361">
        <f>LN_IB21-LN_IB22</f>
        <v>220331828</v>
      </c>
      <c r="E68" s="361">
        <f>D68-C68</f>
        <v>11329654</v>
      </c>
      <c r="F68" s="362">
        <f>IF(C68=0,0,E68/C68)</f>
        <v>5.4208306943256963E-2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-46097777.73470366</v>
      </c>
      <c r="D70" s="353">
        <f>LN_IB9+LN_IB20</f>
        <v>-61516303.87334352</v>
      </c>
      <c r="E70" s="361">
        <f>D70-C70</f>
        <v>-15418526.13863986</v>
      </c>
      <c r="F70" s="362">
        <f>IF(C70=0,0,E70/C70)</f>
        <v>0.3344743910948309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348525471</v>
      </c>
      <c r="D73" s="400">
        <v>363815764</v>
      </c>
      <c r="E73" s="400">
        <f>D73-C73</f>
        <v>15290293</v>
      </c>
      <c r="F73" s="401">
        <f>IF(C73=0,0,E73/C73)</f>
        <v>4.387137891566037E-2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179147745</v>
      </c>
      <c r="D74" s="400">
        <v>182105996</v>
      </c>
      <c r="E74" s="400">
        <f>D74-C74</f>
        <v>2958251</v>
      </c>
      <c r="F74" s="401">
        <f>IF(C74=0,0,E74/C74)</f>
        <v>1.6512912289239252E-2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169377726</v>
      </c>
      <c r="D76" s="353">
        <f>LN_IB32-LN_IB33</f>
        <v>181709768</v>
      </c>
      <c r="E76" s="400">
        <f>D76-C76</f>
        <v>12332042</v>
      </c>
      <c r="F76" s="401">
        <f>IF(C76=0,0,E76/C76)</f>
        <v>7.2807932254327232E-2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0.48598378050825447</v>
      </c>
      <c r="D77" s="366">
        <f>IF(LN_IB1=0,0,LN_IB34/LN_IB32)</f>
        <v>0.49945545515174544</v>
      </c>
      <c r="E77" s="405">
        <f>D77-C77</f>
        <v>1.3471674643490972E-2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9544072</v>
      </c>
      <c r="D83" s="361">
        <v>7173325</v>
      </c>
      <c r="E83" s="361">
        <f t="shared" ref="E83:E95" si="8">D83-C83</f>
        <v>-2370747</v>
      </c>
      <c r="F83" s="362">
        <f t="shared" ref="F83:F95" si="9">IF(C83=0,0,E83/C83)</f>
        <v>-0.24839994920407138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812274</v>
      </c>
      <c r="D84" s="361">
        <v>2154497</v>
      </c>
      <c r="E84" s="361">
        <f t="shared" si="8"/>
        <v>1342223</v>
      </c>
      <c r="F84" s="362">
        <f t="shared" si="9"/>
        <v>1.652426397988856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8.5107698265478302E-2</v>
      </c>
      <c r="D85" s="366">
        <f>IF(LN_IC1=0,0,LN_IC2/LN_IC1)</f>
        <v>0.30034844371334074</v>
      </c>
      <c r="E85" s="367">
        <f t="shared" si="8"/>
        <v>0.21524074544786242</v>
      </c>
      <c r="F85" s="362">
        <f t="shared" si="9"/>
        <v>2.5290396736668552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350</v>
      </c>
      <c r="D86" s="369">
        <v>242</v>
      </c>
      <c r="E86" s="369">
        <f t="shared" si="8"/>
        <v>-108</v>
      </c>
      <c r="F86" s="362">
        <f t="shared" si="9"/>
        <v>-0.30857142857142855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1.0072399999999999</v>
      </c>
      <c r="D87" s="372">
        <v>1.0543800000000001</v>
      </c>
      <c r="E87" s="373">
        <f t="shared" si="8"/>
        <v>4.7140000000000182E-2</v>
      </c>
      <c r="F87" s="362">
        <f t="shared" si="9"/>
        <v>4.680115960446387E-2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352.53399999999999</v>
      </c>
      <c r="D88" s="376">
        <f>LN_IC4*LN_IC5</f>
        <v>255.15996000000001</v>
      </c>
      <c r="E88" s="376">
        <f t="shared" si="8"/>
        <v>-97.374039999999979</v>
      </c>
      <c r="F88" s="362">
        <f t="shared" si="9"/>
        <v>-0.27621176964491362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2304.1011647103542</v>
      </c>
      <c r="D89" s="378">
        <f>IF(LN_IC6=0,0,LN_IC2/LN_IC6)</f>
        <v>8443.7111527999914</v>
      </c>
      <c r="E89" s="378">
        <f t="shared" si="8"/>
        <v>6139.6099880896372</v>
      </c>
      <c r="F89" s="362">
        <f t="shared" si="9"/>
        <v>2.6646442795672298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7597.5422985795221</v>
      </c>
      <c r="D90" s="378">
        <f>LN_IB7-LN_IC7</f>
        <v>3010.4371720983927</v>
      </c>
      <c r="E90" s="378">
        <f t="shared" si="8"/>
        <v>-4587.1051264811294</v>
      </c>
      <c r="F90" s="362">
        <f t="shared" si="9"/>
        <v>-0.60376170953845953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4763.632320467741</v>
      </c>
      <c r="D91" s="378">
        <f>LN_IA7-LN_IC7</f>
        <v>-1403.2440991417334</v>
      </c>
      <c r="E91" s="378">
        <f t="shared" si="8"/>
        <v>-6166.8764196094744</v>
      </c>
      <c r="F91" s="362">
        <f t="shared" si="9"/>
        <v>-1.2945743929716114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1679342.3564637746</v>
      </c>
      <c r="D92" s="353">
        <f>LN_IC9*LN_IC6</f>
        <v>-358051.70820724074</v>
      </c>
      <c r="E92" s="353">
        <f t="shared" si="8"/>
        <v>-2037394.0646710154</v>
      </c>
      <c r="F92" s="362">
        <f t="shared" si="9"/>
        <v>-1.2132094785968464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1768</v>
      </c>
      <c r="D93" s="369">
        <v>1126</v>
      </c>
      <c r="E93" s="369">
        <f t="shared" si="8"/>
        <v>-642</v>
      </c>
      <c r="F93" s="362">
        <f t="shared" si="9"/>
        <v>-0.36312217194570134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459.43099547511315</v>
      </c>
      <c r="D94" s="411">
        <f>IF(LN_IC11=0,0,LN_IC2/LN_IC11)</f>
        <v>1913.4076376554174</v>
      </c>
      <c r="E94" s="411">
        <f t="shared" si="8"/>
        <v>1453.9766421803042</v>
      </c>
      <c r="F94" s="362">
        <f t="shared" si="9"/>
        <v>3.1647334561672267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5.0514285714285716</v>
      </c>
      <c r="D95" s="379">
        <f>IF(LN_IC4=0,0,LN_IC11/LN_IC4)</f>
        <v>4.6528925619834709</v>
      </c>
      <c r="E95" s="379">
        <f t="shared" si="8"/>
        <v>-0.3985360094451007</v>
      </c>
      <c r="F95" s="362">
        <f t="shared" si="9"/>
        <v>-7.8895703227254102E-2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15462076</v>
      </c>
      <c r="D98" s="361">
        <v>14092307</v>
      </c>
      <c r="E98" s="361">
        <f t="shared" ref="E98:E106" si="10">D98-C98</f>
        <v>-1369769</v>
      </c>
      <c r="F98" s="362">
        <f t="shared" ref="F98:F106" si="11">IF(C98=0,0,E98/C98)</f>
        <v>-8.8588944977375614E-2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3717142</v>
      </c>
      <c r="D99" s="361">
        <v>4402842</v>
      </c>
      <c r="E99" s="361">
        <f t="shared" si="10"/>
        <v>685700</v>
      </c>
      <c r="F99" s="362">
        <f t="shared" si="11"/>
        <v>0.18446968127663674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0.24040381123466215</v>
      </c>
      <c r="D100" s="366">
        <f>IF(LN_IC14=0,0,LN_IC15/LN_IC14)</f>
        <v>0.31242875989005914</v>
      </c>
      <c r="E100" s="367">
        <f t="shared" si="10"/>
        <v>7.2024948655396992E-2</v>
      </c>
      <c r="F100" s="362">
        <f t="shared" si="11"/>
        <v>0.29959986193851246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1.6200711813573914</v>
      </c>
      <c r="D101" s="366">
        <f>IF(LN_IC1=0,0,LN_IC14/LN_IC1)</f>
        <v>1.9645432208912883</v>
      </c>
      <c r="E101" s="367">
        <f t="shared" si="10"/>
        <v>0.34447203953389693</v>
      </c>
      <c r="F101" s="362">
        <f t="shared" si="11"/>
        <v>0.21262771876805925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567.02491347508703</v>
      </c>
      <c r="D102" s="376">
        <f>LN_IC17*LN_IC4</f>
        <v>475.41945945569177</v>
      </c>
      <c r="E102" s="376">
        <f t="shared" si="10"/>
        <v>-91.605454019395268</v>
      </c>
      <c r="F102" s="362">
        <f t="shared" si="11"/>
        <v>-0.1615545487375134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6555.5179528514973</v>
      </c>
      <c r="D103" s="378">
        <f>IF(LN_IC18=0,0,LN_IC15/LN_IC18)</f>
        <v>9260.9629505717294</v>
      </c>
      <c r="E103" s="378">
        <f t="shared" si="10"/>
        <v>2705.4449977202321</v>
      </c>
      <c r="F103" s="362">
        <f t="shared" si="11"/>
        <v>0.41269736688668918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4448.4395724874585</v>
      </c>
      <c r="D104" s="378">
        <f>LN_IB18-LN_IC19</f>
        <v>2677.0476971284497</v>
      </c>
      <c r="E104" s="378">
        <f t="shared" si="10"/>
        <v>-1771.3918753590087</v>
      </c>
      <c r="F104" s="362">
        <f t="shared" si="11"/>
        <v>-0.39820522376310258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1556.9896689249708</v>
      </c>
      <c r="D105" s="378">
        <f>LN_IA16-LN_IC19</f>
        <v>-1110.8171518137906</v>
      </c>
      <c r="E105" s="378">
        <f t="shared" si="10"/>
        <v>-2667.8068207387614</v>
      </c>
      <c r="F105" s="362">
        <f t="shared" si="11"/>
        <v>-1.713438999618256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882851.93230378604</v>
      </c>
      <c r="D106" s="361">
        <f>LN_IC21*LN_IC18</f>
        <v>-528104.08986942342</v>
      </c>
      <c r="E106" s="361">
        <f t="shared" si="10"/>
        <v>-1410956.0221732096</v>
      </c>
      <c r="F106" s="362">
        <f t="shared" si="11"/>
        <v>-1.5981796839831857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25006148</v>
      </c>
      <c r="D109" s="361">
        <f>LN_IC1+LN_IC14</f>
        <v>21265632</v>
      </c>
      <c r="E109" s="361">
        <f>D109-C109</f>
        <v>-3740516</v>
      </c>
      <c r="F109" s="362">
        <f>IF(C109=0,0,E109/C109)</f>
        <v>-0.14958385433854107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4529416</v>
      </c>
      <c r="D110" s="361">
        <f>LN_IC2+LN_IC15</f>
        <v>6557339</v>
      </c>
      <c r="E110" s="361">
        <f>D110-C110</f>
        <v>2027923</v>
      </c>
      <c r="F110" s="362">
        <f>IF(C110=0,0,E110/C110)</f>
        <v>0.44772284109033039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20476732</v>
      </c>
      <c r="D111" s="361">
        <f>LN_IC23-LN_IC24</f>
        <v>14708293</v>
      </c>
      <c r="E111" s="361">
        <f>D111-C111</f>
        <v>-5768439</v>
      </c>
      <c r="F111" s="362">
        <f>IF(C111=0,0,E111/C111)</f>
        <v>-0.2817070126229127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2562194.2887675604</v>
      </c>
      <c r="D113" s="361">
        <f>LN_IC10+LN_IC22</f>
        <v>-886155.7980766641</v>
      </c>
      <c r="E113" s="361">
        <f>D113-C113</f>
        <v>-3448350.0868442245</v>
      </c>
      <c r="F113" s="362">
        <f>IF(C113=0,0,E113/C113)</f>
        <v>-1.3458581583611731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24635167</v>
      </c>
      <c r="D118" s="361">
        <v>39855345</v>
      </c>
      <c r="E118" s="361">
        <f t="shared" ref="E118:E130" si="12">D118-C118</f>
        <v>15220178</v>
      </c>
      <c r="F118" s="362">
        <f t="shared" ref="F118:F130" si="13">IF(C118=0,0,E118/C118)</f>
        <v>0.61782321183371725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6747947</v>
      </c>
      <c r="D119" s="361">
        <v>9978042</v>
      </c>
      <c r="E119" s="361">
        <f t="shared" si="12"/>
        <v>3230095</v>
      </c>
      <c r="F119" s="362">
        <f t="shared" si="13"/>
        <v>0.47867818167510801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0.27391521234664251</v>
      </c>
      <c r="D120" s="366">
        <f>IF(LN_ID1=0,0,LN_1D2/LN_ID1)</f>
        <v>0.25035643274446628</v>
      </c>
      <c r="E120" s="367">
        <f t="shared" si="12"/>
        <v>-2.3558779602176227E-2</v>
      </c>
      <c r="F120" s="362">
        <f t="shared" si="13"/>
        <v>-8.6007561976376656E-2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1313</v>
      </c>
      <c r="D121" s="369">
        <v>1665</v>
      </c>
      <c r="E121" s="369">
        <f t="shared" si="12"/>
        <v>352</v>
      </c>
      <c r="F121" s="362">
        <f t="shared" si="13"/>
        <v>0.26808834729626807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0.84101000000000004</v>
      </c>
      <c r="D122" s="372">
        <v>0.83089000000000002</v>
      </c>
      <c r="E122" s="373">
        <f t="shared" si="12"/>
        <v>-1.0120000000000018E-2</v>
      </c>
      <c r="F122" s="362">
        <f t="shared" si="13"/>
        <v>-1.2033150616520633E-2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1104.24613</v>
      </c>
      <c r="D123" s="376">
        <f>LN_ID4*LN_ID5</f>
        <v>1383.4318499999999</v>
      </c>
      <c r="E123" s="376">
        <f t="shared" si="12"/>
        <v>279.18571999999995</v>
      </c>
      <c r="F123" s="362">
        <f t="shared" si="13"/>
        <v>0.25282924921819733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6110.908443935411</v>
      </c>
      <c r="D124" s="378">
        <f>IF(LN_ID6=0,0,LN_1D2/LN_ID6)</f>
        <v>7212.5287559340204</v>
      </c>
      <c r="E124" s="378">
        <f t="shared" si="12"/>
        <v>1101.6203119986094</v>
      </c>
      <c r="F124" s="362">
        <f t="shared" si="13"/>
        <v>0.18027112042430937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3790.7350193544653</v>
      </c>
      <c r="D125" s="378">
        <f>LN_IB7-LN_ID7</f>
        <v>4241.6195689643637</v>
      </c>
      <c r="E125" s="378">
        <f t="shared" si="12"/>
        <v>450.88454960989839</v>
      </c>
      <c r="F125" s="362">
        <f t="shared" si="13"/>
        <v>0.11894383208211709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956.82504124268416</v>
      </c>
      <c r="D126" s="378">
        <f>LN_IA7-LN_ID7</f>
        <v>-172.0617022757624</v>
      </c>
      <c r="E126" s="378">
        <f t="shared" si="12"/>
        <v>-1128.8867435184466</v>
      </c>
      <c r="F126" s="362">
        <f t="shared" si="13"/>
        <v>-1.179825668078561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1056570.3488793243</v>
      </c>
      <c r="D127" s="391">
        <f>LN_ID9*LN_ID6</f>
        <v>-238035.63909350717</v>
      </c>
      <c r="E127" s="391">
        <f t="shared" si="12"/>
        <v>-1294605.9879728314</v>
      </c>
      <c r="F127" s="362">
        <f t="shared" si="13"/>
        <v>-1.2252908567290244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4969</v>
      </c>
      <c r="D128" s="369">
        <v>6568</v>
      </c>
      <c r="E128" s="369">
        <f t="shared" si="12"/>
        <v>1599</v>
      </c>
      <c r="F128" s="362">
        <f t="shared" si="13"/>
        <v>0.32179512980478969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1358.0090561481184</v>
      </c>
      <c r="D129" s="378">
        <f>IF(LN_ID11=0,0,LN_1D2/LN_ID11)</f>
        <v>1519.1903166869672</v>
      </c>
      <c r="E129" s="378">
        <f t="shared" si="12"/>
        <v>161.18126053884885</v>
      </c>
      <c r="F129" s="362">
        <f t="shared" si="13"/>
        <v>0.11868938561869853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3.7844630616907846</v>
      </c>
      <c r="D130" s="379">
        <f>IF(LN_ID4=0,0,LN_ID11/LN_ID4)</f>
        <v>3.9447447447447446</v>
      </c>
      <c r="E130" s="379">
        <f t="shared" si="12"/>
        <v>0.16028168305395996</v>
      </c>
      <c r="F130" s="362">
        <f t="shared" si="13"/>
        <v>4.2352555816029265E-2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39999552</v>
      </c>
      <c r="D133" s="361">
        <v>59129382</v>
      </c>
      <c r="E133" s="361">
        <f t="shared" ref="E133:E141" si="14">D133-C133</f>
        <v>19129830</v>
      </c>
      <c r="F133" s="362">
        <f t="shared" ref="F133:F141" si="15">IF(C133=0,0,E133/C133)</f>
        <v>0.47825110641239182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8705546</v>
      </c>
      <c r="D134" s="361">
        <v>17543817</v>
      </c>
      <c r="E134" s="361">
        <f t="shared" si="14"/>
        <v>8838271</v>
      </c>
      <c r="F134" s="362">
        <f t="shared" si="15"/>
        <v>1.0152460282215499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0.21764108758018089</v>
      </c>
      <c r="D135" s="366">
        <f>IF(LN_ID14=0,0,LN_ID15/LN_ID14)</f>
        <v>0.29670218775498108</v>
      </c>
      <c r="E135" s="367">
        <f t="shared" si="14"/>
        <v>7.9061100174800197E-2</v>
      </c>
      <c r="F135" s="362">
        <f t="shared" si="15"/>
        <v>0.36326366980533209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1.6236769168238234</v>
      </c>
      <c r="D136" s="366">
        <f>IF(LN_ID1=0,0,LN_ID14/LN_ID1)</f>
        <v>1.4835998032384363</v>
      </c>
      <c r="E136" s="367">
        <f t="shared" si="14"/>
        <v>-0.1400771135853871</v>
      </c>
      <c r="F136" s="362">
        <f t="shared" si="15"/>
        <v>-8.62715433926355E-2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2131.8877917896803</v>
      </c>
      <c r="D137" s="376">
        <f>LN_ID17*LN_ID4</f>
        <v>2470.1936723919966</v>
      </c>
      <c r="E137" s="376">
        <f t="shared" si="14"/>
        <v>338.30588060231639</v>
      </c>
      <c r="F137" s="362">
        <f t="shared" si="15"/>
        <v>0.15868840841680268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4083.4916516370008</v>
      </c>
      <c r="D138" s="378">
        <f>IF(LN_ID18=0,0,LN_ID15/LN_ID18)</f>
        <v>7102.2030361739025</v>
      </c>
      <c r="E138" s="378">
        <f t="shared" si="14"/>
        <v>3018.7113845369017</v>
      </c>
      <c r="F138" s="362">
        <f t="shared" si="15"/>
        <v>0.7392475954559018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6920.4658737019545</v>
      </c>
      <c r="D139" s="378">
        <f>LN_IB18-LN_ID19</f>
        <v>4835.8076115262766</v>
      </c>
      <c r="E139" s="378">
        <f t="shared" si="14"/>
        <v>-2084.6582621756779</v>
      </c>
      <c r="F139" s="362">
        <f t="shared" si="15"/>
        <v>-0.30123091425065213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4029.0159701394673</v>
      </c>
      <c r="D140" s="378">
        <f>LN_IA16-LN_ID19</f>
        <v>1047.9427625840362</v>
      </c>
      <c r="E140" s="378">
        <f t="shared" si="14"/>
        <v>-2981.0732075554311</v>
      </c>
      <c r="F140" s="362">
        <f t="shared" si="15"/>
        <v>-0.73990106508618259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8589409.9596659858</v>
      </c>
      <c r="D141" s="353">
        <f>LN_ID21*LN_ID18</f>
        <v>2588621.5811640746</v>
      </c>
      <c r="E141" s="353">
        <f t="shared" si="14"/>
        <v>-6000788.3785019107</v>
      </c>
      <c r="F141" s="362">
        <f t="shared" si="15"/>
        <v>-0.69862637907380332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64634719</v>
      </c>
      <c r="D144" s="361">
        <f>LN_ID1+LN_ID14</f>
        <v>98984727</v>
      </c>
      <c r="E144" s="361">
        <f>D144-C144</f>
        <v>34350008</v>
      </c>
      <c r="F144" s="362">
        <f>IF(C144=0,0,E144/C144)</f>
        <v>0.53144824533081048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15453493</v>
      </c>
      <c r="D145" s="361">
        <f>LN_1D2+LN_ID15</f>
        <v>27521859</v>
      </c>
      <c r="E145" s="361">
        <f>D145-C145</f>
        <v>12068366</v>
      </c>
      <c r="F145" s="362">
        <f>IF(C145=0,0,E145/C145)</f>
        <v>0.78094745310979208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49181226</v>
      </c>
      <c r="D146" s="361">
        <f>LN_ID23-LN_ID24</f>
        <v>71462868</v>
      </c>
      <c r="E146" s="361">
        <f>D146-C146</f>
        <v>22281642</v>
      </c>
      <c r="F146" s="362">
        <f>IF(C146=0,0,E146/C146)</f>
        <v>0.45305178036838689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9645980.3085453101</v>
      </c>
      <c r="D148" s="361">
        <f>LN_ID10+LN_ID22</f>
        <v>2350585.9420705675</v>
      </c>
      <c r="E148" s="361">
        <f>D148-C148</f>
        <v>-7295394.3664747421</v>
      </c>
      <c r="F148" s="415">
        <f>IF(C148=0,0,E148/C148)</f>
        <v>-0.75631445774482875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8235376</v>
      </c>
      <c r="D153" s="361">
        <v>7948511</v>
      </c>
      <c r="E153" s="361">
        <f t="shared" ref="E153:E165" si="16">D153-C153</f>
        <v>-286865</v>
      </c>
      <c r="F153" s="362">
        <f t="shared" ref="F153:F165" si="17">IF(C153=0,0,E153/C153)</f>
        <v>-3.4833260800721182E-2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769452</v>
      </c>
      <c r="D154" s="361">
        <v>0</v>
      </c>
      <c r="E154" s="361">
        <f t="shared" si="16"/>
        <v>-769452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9.3432528156577183E-2</v>
      </c>
      <c r="D155" s="366">
        <f>IF(LN_IE1=0,0,LN_IE2/LN_IE1)</f>
        <v>0</v>
      </c>
      <c r="E155" s="367">
        <f t="shared" si="16"/>
        <v>-9.3432528156577183E-2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322</v>
      </c>
      <c r="D156" s="419">
        <v>289</v>
      </c>
      <c r="E156" s="419">
        <f t="shared" si="16"/>
        <v>-33</v>
      </c>
      <c r="F156" s="362">
        <f t="shared" si="17"/>
        <v>-0.10248447204968944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0.99819999999999998</v>
      </c>
      <c r="D157" s="372">
        <v>1.0990599999999999</v>
      </c>
      <c r="E157" s="373">
        <f t="shared" si="16"/>
        <v>0.10085999999999995</v>
      </c>
      <c r="F157" s="362">
        <f t="shared" si="17"/>
        <v>0.10104187537567617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321.42039999999997</v>
      </c>
      <c r="D158" s="376">
        <f>LN_IE4*LN_IE5</f>
        <v>317.62833999999998</v>
      </c>
      <c r="E158" s="376">
        <f t="shared" si="16"/>
        <v>-3.7920599999999922</v>
      </c>
      <c r="F158" s="362">
        <f t="shared" si="17"/>
        <v>-1.1797819926799893E-2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2393.9115252174411</v>
      </c>
      <c r="D159" s="378">
        <f>IF(LN_IE6=0,0,LN_IE2/LN_IE6)</f>
        <v>0</v>
      </c>
      <c r="E159" s="378">
        <f t="shared" si="16"/>
        <v>-2393.9115252174411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7507.7319380724348</v>
      </c>
      <c r="D160" s="378">
        <f>LN_IB7-LN_IE7</f>
        <v>11454.148324898384</v>
      </c>
      <c r="E160" s="378">
        <f t="shared" si="16"/>
        <v>3946.4163868259493</v>
      </c>
      <c r="F160" s="362">
        <f t="shared" si="17"/>
        <v>0.5256469489558212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4673.8219599606546</v>
      </c>
      <c r="D161" s="378">
        <f>LN_IA7-LN_IE7</f>
        <v>7040.467053658258</v>
      </c>
      <c r="E161" s="378">
        <f t="shared" si="16"/>
        <v>2366.6450936976034</v>
      </c>
      <c r="F161" s="362">
        <f t="shared" si="17"/>
        <v>0.50636184133071394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1502261.7238993375</v>
      </c>
      <c r="D162" s="391">
        <f>LN_IE9*LN_IE6</f>
        <v>2236251.8630781635</v>
      </c>
      <c r="E162" s="391">
        <f t="shared" si="16"/>
        <v>733990.13917882601</v>
      </c>
      <c r="F162" s="362">
        <f t="shared" si="17"/>
        <v>0.48859005558209156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1564</v>
      </c>
      <c r="D163" s="369">
        <v>1609</v>
      </c>
      <c r="E163" s="419">
        <f t="shared" si="16"/>
        <v>45</v>
      </c>
      <c r="F163" s="362">
        <f t="shared" si="17"/>
        <v>2.877237851662404E-2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491.97698209718669</v>
      </c>
      <c r="D164" s="378">
        <f>IF(LN_IE11=0,0,LN_IE2/LN_IE11)</f>
        <v>0</v>
      </c>
      <c r="E164" s="378">
        <f t="shared" si="16"/>
        <v>-491.97698209718669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4.8571428571428568</v>
      </c>
      <c r="D165" s="379">
        <f>IF(LN_IE4=0,0,LN_IE11/LN_IE4)</f>
        <v>5.5674740484429064</v>
      </c>
      <c r="E165" s="379">
        <f t="shared" si="16"/>
        <v>0.71033119130004962</v>
      </c>
      <c r="F165" s="362">
        <f t="shared" si="17"/>
        <v>0.14624465703236317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13641022</v>
      </c>
      <c r="D168" s="424">
        <v>9276414</v>
      </c>
      <c r="E168" s="424">
        <f t="shared" ref="E168:E176" si="18">D168-C168</f>
        <v>-4364608</v>
      </c>
      <c r="F168" s="362">
        <f t="shared" ref="F168:F176" si="19">IF(C168=0,0,E168/C168)</f>
        <v>-0.31996195006503181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1944153</v>
      </c>
      <c r="D169" s="424">
        <v>0</v>
      </c>
      <c r="E169" s="424">
        <f t="shared" si="18"/>
        <v>-1944153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0.14252253240263082</v>
      </c>
      <c r="D170" s="366">
        <f>IF(LN_IE14=0,0,LN_IE15/LN_IE14)</f>
        <v>0</v>
      </c>
      <c r="E170" s="367">
        <f t="shared" si="18"/>
        <v>-0.14252253240263082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1.6563933450033126</v>
      </c>
      <c r="D171" s="366">
        <f>IF(LN_IE1=0,0,LN_IE14/LN_IE1)</f>
        <v>1.1670631140851413</v>
      </c>
      <c r="E171" s="367">
        <f t="shared" si="18"/>
        <v>-0.48933023091817129</v>
      </c>
      <c r="F171" s="362">
        <f t="shared" si="19"/>
        <v>-0.29541909981363312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533.35865709106668</v>
      </c>
      <c r="D172" s="376">
        <f>LN_IE17*LN_IE4</f>
        <v>337.28123997060584</v>
      </c>
      <c r="E172" s="376">
        <f t="shared" si="18"/>
        <v>-196.07741712046084</v>
      </c>
      <c r="F172" s="362">
        <f t="shared" si="19"/>
        <v>-0.36762770138552792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3645.113797539901</v>
      </c>
      <c r="D173" s="378">
        <f>IF(LN_IE18=0,0,LN_IE15/LN_IE18)</f>
        <v>0</v>
      </c>
      <c r="E173" s="378">
        <f t="shared" si="18"/>
        <v>-3645.113797539901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7358.8437277990542</v>
      </c>
      <c r="D174" s="378">
        <f>LN_IB18-LN_IE19</f>
        <v>11938.010647700179</v>
      </c>
      <c r="E174" s="378">
        <f t="shared" si="18"/>
        <v>4579.1669199011249</v>
      </c>
      <c r="F174" s="362">
        <f t="shared" si="19"/>
        <v>0.62226717800823594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4467.3938242365675</v>
      </c>
      <c r="D175" s="378">
        <f>LN_IA16-LN_IE19</f>
        <v>8150.1457987579388</v>
      </c>
      <c r="E175" s="378">
        <f t="shared" si="18"/>
        <v>3682.7519745213713</v>
      </c>
      <c r="F175" s="362">
        <f t="shared" si="19"/>
        <v>0.82436250740681372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2382723.1707917405</v>
      </c>
      <c r="D176" s="353">
        <f>LN_IE21*LN_IE18</f>
        <v>2748891.2809463013</v>
      </c>
      <c r="E176" s="353">
        <f t="shared" si="18"/>
        <v>366168.11015456077</v>
      </c>
      <c r="F176" s="362">
        <f t="shared" si="19"/>
        <v>0.15367631231490858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21876398</v>
      </c>
      <c r="D179" s="361">
        <f>LN_IE1+LN_IE14</f>
        <v>17224925</v>
      </c>
      <c r="E179" s="361">
        <f>D179-C179</f>
        <v>-4651473</v>
      </c>
      <c r="F179" s="362">
        <f>IF(C179=0,0,E179/C179)</f>
        <v>-0.21262517714296475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2713605</v>
      </c>
      <c r="D180" s="361">
        <f>LN_IE15+LN_IE2</f>
        <v>0</v>
      </c>
      <c r="E180" s="361">
        <f>D180-C180</f>
        <v>-2713605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19162793</v>
      </c>
      <c r="D181" s="361">
        <f>LN_IE23-LN_IE24</f>
        <v>17224925</v>
      </c>
      <c r="E181" s="361">
        <f>D181-C181</f>
        <v>-1937868</v>
      </c>
      <c r="F181" s="362">
        <f>IF(C181=0,0,E181/C181)</f>
        <v>-0.10112659464619797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3884984.894691078</v>
      </c>
      <c r="D183" s="361">
        <f>LN_IE10+LN_IE22</f>
        <v>4985143.1440244652</v>
      </c>
      <c r="E183" s="353">
        <f>D183-C183</f>
        <v>1100158.2493333872</v>
      </c>
      <c r="F183" s="362">
        <f>IF(C183=0,0,E183/C183)</f>
        <v>0.28318211760276829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32870543</v>
      </c>
      <c r="D188" s="361">
        <f>LN_ID1+LN_IE1</f>
        <v>47803856</v>
      </c>
      <c r="E188" s="361">
        <f t="shared" ref="E188:E200" si="20">D188-C188</f>
        <v>14933313</v>
      </c>
      <c r="F188" s="362">
        <f t="shared" ref="F188:F200" si="21">IF(C188=0,0,E188/C188)</f>
        <v>0.45430685462056408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7517399</v>
      </c>
      <c r="D189" s="361">
        <f>LN_1D2+LN_IE2</f>
        <v>9978042</v>
      </c>
      <c r="E189" s="361">
        <f t="shared" si="20"/>
        <v>2460643</v>
      </c>
      <c r="F189" s="362">
        <f t="shared" si="21"/>
        <v>0.32732637977577084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0.22869713469594949</v>
      </c>
      <c r="D190" s="366">
        <f>IF(LN_IF1=0,0,LN_IF2/LN_IF1)</f>
        <v>0.20872881049595665</v>
      </c>
      <c r="E190" s="367">
        <f t="shared" si="20"/>
        <v>-1.9968324199992837E-2</v>
      </c>
      <c r="F190" s="362">
        <f t="shared" si="21"/>
        <v>-8.7313399122995225E-2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1635</v>
      </c>
      <c r="D191" s="369">
        <f>LN_ID4+LN_IE4</f>
        <v>1954</v>
      </c>
      <c r="E191" s="369">
        <f t="shared" si="20"/>
        <v>319</v>
      </c>
      <c r="F191" s="362">
        <f t="shared" si="21"/>
        <v>0.19510703363914372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0.87196729663608563</v>
      </c>
      <c r="D192" s="372">
        <f>IF((LN_ID4+LN_IE4)=0,0,(LN_ID6+LN_IE6)/(LN_ID4+LN_IE4))</f>
        <v>0.87055280962128967</v>
      </c>
      <c r="E192" s="373">
        <f t="shared" si="20"/>
        <v>-1.4144870147959621E-3</v>
      </c>
      <c r="F192" s="362">
        <f t="shared" si="21"/>
        <v>-1.6221789742033139E-3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1425.66653</v>
      </c>
      <c r="D193" s="376">
        <f>LN_IF4*LN_IF5</f>
        <v>1701.0601899999999</v>
      </c>
      <c r="E193" s="376">
        <f t="shared" si="20"/>
        <v>275.39365999999995</v>
      </c>
      <c r="F193" s="362">
        <f t="shared" si="21"/>
        <v>0.19316835613725178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5272.9013705610387</v>
      </c>
      <c r="D194" s="378">
        <f>IF(LN_IF6=0,0,LN_IF2/LN_IF6)</f>
        <v>5865.7783296897924</v>
      </c>
      <c r="E194" s="378">
        <f t="shared" si="20"/>
        <v>592.8769591287537</v>
      </c>
      <c r="F194" s="362">
        <f t="shared" si="21"/>
        <v>0.11243846934798088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4628.7420927288376</v>
      </c>
      <c r="D195" s="378">
        <f>LN_IB7-LN_IF7</f>
        <v>5588.3699952085917</v>
      </c>
      <c r="E195" s="378">
        <f t="shared" si="20"/>
        <v>959.62790247975408</v>
      </c>
      <c r="F195" s="362">
        <f t="shared" si="21"/>
        <v>0.20731937171163778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1794.8321146170565</v>
      </c>
      <c r="D196" s="378">
        <f>LN_IA7-LN_IF7</f>
        <v>1174.6887239684656</v>
      </c>
      <c r="E196" s="378">
        <f t="shared" si="20"/>
        <v>-620.14339064859087</v>
      </c>
      <c r="F196" s="362">
        <f t="shared" si="21"/>
        <v>-0.34551609902573199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2558832.0727786617</v>
      </c>
      <c r="D197" s="391">
        <f>LN_IF9*LN_IF6</f>
        <v>1998216.2239846557</v>
      </c>
      <c r="E197" s="391">
        <f t="shared" si="20"/>
        <v>-560615.84879400604</v>
      </c>
      <c r="F197" s="362">
        <f t="shared" si="21"/>
        <v>-0.21909051975623692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6533</v>
      </c>
      <c r="D198" s="369">
        <f>LN_ID11+LN_IE11</f>
        <v>8177</v>
      </c>
      <c r="E198" s="369">
        <f t="shared" si="20"/>
        <v>1644</v>
      </c>
      <c r="F198" s="362">
        <f t="shared" si="21"/>
        <v>0.25164549211694476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1150.681004132864</v>
      </c>
      <c r="D199" s="432">
        <f>IF(LN_IF11=0,0,LN_IF2/LN_IF11)</f>
        <v>1220.2570624923567</v>
      </c>
      <c r="E199" s="432">
        <f t="shared" si="20"/>
        <v>69.576058359492663</v>
      </c>
      <c r="F199" s="362">
        <f t="shared" si="21"/>
        <v>6.0465114232005714E-2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3.9957186544342509</v>
      </c>
      <c r="D200" s="379">
        <f>IF(LN_IF4=0,0,LN_IF11/LN_IF4)</f>
        <v>4.1847492323439095</v>
      </c>
      <c r="E200" s="379">
        <f t="shared" si="20"/>
        <v>0.1890305779096586</v>
      </c>
      <c r="F200" s="362">
        <f t="shared" si="21"/>
        <v>4.7308280251384019E-2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53640574</v>
      </c>
      <c r="D203" s="361">
        <f>LN_ID14+LN_IE14</f>
        <v>68405796</v>
      </c>
      <c r="E203" s="361">
        <f t="shared" ref="E203:E211" si="22">D203-C203</f>
        <v>14765222</v>
      </c>
      <c r="F203" s="362">
        <f t="shared" ref="F203:F211" si="23">IF(C203=0,0,E203/C203)</f>
        <v>0.27526219238444388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10649699</v>
      </c>
      <c r="D204" s="361">
        <f>LN_ID15+LN_IE15</f>
        <v>17543817</v>
      </c>
      <c r="E204" s="361">
        <f t="shared" si="22"/>
        <v>6894118</v>
      </c>
      <c r="F204" s="362">
        <f t="shared" si="23"/>
        <v>0.64735331956330411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0.19853812526316367</v>
      </c>
      <c r="D205" s="366">
        <f>IF(LN_IF14=0,0,LN_IF15/LN_IF14)</f>
        <v>0.25646682044310981</v>
      </c>
      <c r="E205" s="367">
        <f t="shared" si="22"/>
        <v>5.7928695179946144E-2</v>
      </c>
      <c r="F205" s="362">
        <f t="shared" si="23"/>
        <v>0.2917761770096361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1.6318736809428429</v>
      </c>
      <c r="D206" s="366">
        <f>IF(LN_IF1=0,0,LN_IF14/LN_IF1)</f>
        <v>1.4309681629030093</v>
      </c>
      <c r="E206" s="367">
        <f t="shared" si="22"/>
        <v>-0.20090551803983359</v>
      </c>
      <c r="F206" s="362">
        <f t="shared" si="23"/>
        <v>-0.12311340049540904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2665.2464488807468</v>
      </c>
      <c r="D207" s="376">
        <f>LN_ID18+LN_IE18</f>
        <v>2807.4749123626025</v>
      </c>
      <c r="E207" s="376">
        <f t="shared" si="22"/>
        <v>142.22846348185567</v>
      </c>
      <c r="F207" s="362">
        <f t="shared" si="23"/>
        <v>5.3364094544271358E-2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3995.7651963000544</v>
      </c>
      <c r="D208" s="378">
        <f>IF(LN_IF18=0,0,LN_IF15/LN_IF18)</f>
        <v>6248.9666150698304</v>
      </c>
      <c r="E208" s="378">
        <f t="shared" si="22"/>
        <v>2253.201418769776</v>
      </c>
      <c r="F208" s="362">
        <f t="shared" si="23"/>
        <v>0.56389735334202462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7008.1923290389013</v>
      </c>
      <c r="D209" s="378">
        <f>LN_IB18-LN_IF19</f>
        <v>5689.0440326303487</v>
      </c>
      <c r="E209" s="378">
        <f t="shared" si="22"/>
        <v>-1319.1482964085526</v>
      </c>
      <c r="F209" s="362">
        <f t="shared" si="23"/>
        <v>-0.18822946552744788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4116.7424254764137</v>
      </c>
      <c r="D210" s="378">
        <f>LN_IA16-LN_IF19</f>
        <v>1901.1791836881084</v>
      </c>
      <c r="E210" s="378">
        <f t="shared" si="22"/>
        <v>-2215.5632417883053</v>
      </c>
      <c r="F210" s="362">
        <f t="shared" si="23"/>
        <v>-0.53818359586388431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10972133.130457725</v>
      </c>
      <c r="D211" s="353">
        <f>LN_IF21*LN_IF18</f>
        <v>5337512.8621103764</v>
      </c>
      <c r="E211" s="353">
        <f t="shared" si="22"/>
        <v>-5634620.268347349</v>
      </c>
      <c r="F211" s="362">
        <f t="shared" si="23"/>
        <v>-0.51353918161146928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86511117</v>
      </c>
      <c r="D214" s="361">
        <f>LN_IF1+LN_IF14</f>
        <v>116209652</v>
      </c>
      <c r="E214" s="361">
        <f>D214-C214</f>
        <v>29698535</v>
      </c>
      <c r="F214" s="362">
        <f>IF(C214=0,0,E214/C214)</f>
        <v>0.34329154483116892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18167098</v>
      </c>
      <c r="D215" s="361">
        <f>LN_IF2+LN_IF15</f>
        <v>27521859</v>
      </c>
      <c r="E215" s="361">
        <f>D215-C215</f>
        <v>9354761</v>
      </c>
      <c r="F215" s="362">
        <f>IF(C215=0,0,E215/C215)</f>
        <v>0.51492874646242348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68344019</v>
      </c>
      <c r="D216" s="361">
        <f>LN_IF23-LN_IF24</f>
        <v>88687793</v>
      </c>
      <c r="E216" s="361">
        <f>D216-C216</f>
        <v>20343774</v>
      </c>
      <c r="F216" s="362">
        <f>IF(C216=0,0,E216/C216)</f>
        <v>0.29766721796094547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722673</v>
      </c>
      <c r="D221" s="361">
        <v>915983</v>
      </c>
      <c r="E221" s="361">
        <f t="shared" ref="E221:E230" si="24">D221-C221</f>
        <v>193310</v>
      </c>
      <c r="F221" s="362">
        <f t="shared" ref="F221:F230" si="25">IF(C221=0,0,E221/C221)</f>
        <v>0.26749304318827466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199932</v>
      </c>
      <c r="D222" s="361">
        <v>195944</v>
      </c>
      <c r="E222" s="361">
        <f t="shared" si="24"/>
        <v>-3988</v>
      </c>
      <c r="F222" s="362">
        <f t="shared" si="25"/>
        <v>-1.9946781905847987E-2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0.27665624701628538</v>
      </c>
      <c r="D223" s="366">
        <f>IF(LN_IG1=0,0,LN_IG2/LN_IG1)</f>
        <v>0.21391663382399018</v>
      </c>
      <c r="E223" s="367">
        <f t="shared" si="24"/>
        <v>-6.2739613192295207E-2</v>
      </c>
      <c r="F223" s="362">
        <f t="shared" si="25"/>
        <v>-0.22677822701976449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36</v>
      </c>
      <c r="D224" s="369">
        <v>43</v>
      </c>
      <c r="E224" s="369">
        <f t="shared" si="24"/>
        <v>7</v>
      </c>
      <c r="F224" s="362">
        <f t="shared" si="25"/>
        <v>0.19444444444444445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0.97050999999999998</v>
      </c>
      <c r="D225" s="372">
        <v>0.81688000000000005</v>
      </c>
      <c r="E225" s="373">
        <f t="shared" si="24"/>
        <v>-0.15362999999999993</v>
      </c>
      <c r="F225" s="362">
        <f t="shared" si="25"/>
        <v>-0.15829821434091348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34.938360000000003</v>
      </c>
      <c r="D226" s="376">
        <f>LN_IG3*LN_IG4</f>
        <v>35.125840000000004</v>
      </c>
      <c r="E226" s="376">
        <f t="shared" si="24"/>
        <v>0.18748000000000076</v>
      </c>
      <c r="F226" s="362">
        <f t="shared" si="25"/>
        <v>5.366021759464404E-3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5722.4208577620693</v>
      </c>
      <c r="D227" s="378">
        <f>IF(LN_IG5=0,0,LN_IG2/LN_IG5)</f>
        <v>5578.3434645263997</v>
      </c>
      <c r="E227" s="378">
        <f t="shared" si="24"/>
        <v>-144.07739323566966</v>
      </c>
      <c r="F227" s="362">
        <f t="shared" si="25"/>
        <v>-2.5177699581504672E-2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126</v>
      </c>
      <c r="D228" s="369">
        <v>143</v>
      </c>
      <c r="E228" s="369">
        <f t="shared" si="24"/>
        <v>17</v>
      </c>
      <c r="F228" s="362">
        <f t="shared" si="25"/>
        <v>0.13492063492063491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1586.7619047619048</v>
      </c>
      <c r="D229" s="378">
        <f>IF(LN_IG6=0,0,LN_IG2/LN_IG6)</f>
        <v>1370.2377622377621</v>
      </c>
      <c r="E229" s="378">
        <f t="shared" si="24"/>
        <v>-216.52414252414269</v>
      </c>
      <c r="F229" s="362">
        <f t="shared" si="25"/>
        <v>-0.13645660503592211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3.5</v>
      </c>
      <c r="D230" s="379">
        <f>IF(LN_IG3=0,0,LN_IG6/LN_IG3)</f>
        <v>3.3255813953488373</v>
      </c>
      <c r="E230" s="379">
        <f t="shared" si="24"/>
        <v>-0.17441860465116266</v>
      </c>
      <c r="F230" s="362">
        <f t="shared" si="25"/>
        <v>-4.9833887043189327E-2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1666742</v>
      </c>
      <c r="D233" s="361">
        <v>1918950</v>
      </c>
      <c r="E233" s="361">
        <f>D233-C233</f>
        <v>252208</v>
      </c>
      <c r="F233" s="362">
        <f>IF(C233=0,0,E233/C233)</f>
        <v>0.15131796042818865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649861</v>
      </c>
      <c r="D234" s="361">
        <v>437709</v>
      </c>
      <c r="E234" s="361">
        <f>D234-C234</f>
        <v>-212152</v>
      </c>
      <c r="F234" s="362">
        <f>IF(C234=0,0,E234/C234)</f>
        <v>-0.32645750398931461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2389415</v>
      </c>
      <c r="D237" s="361">
        <f>LN_IG1+LN_IG9</f>
        <v>2834933</v>
      </c>
      <c r="E237" s="361">
        <f>D237-C237</f>
        <v>445518</v>
      </c>
      <c r="F237" s="362">
        <f>IF(C237=0,0,E237/C237)</f>
        <v>0.18645484354957176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849793</v>
      </c>
      <c r="D238" s="361">
        <f>LN_IG2+LN_IG10</f>
        <v>633653</v>
      </c>
      <c r="E238" s="361">
        <f>D238-C238</f>
        <v>-216140</v>
      </c>
      <c r="F238" s="362">
        <f>IF(C238=0,0,E238/C238)</f>
        <v>-0.25434429325729913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1539622</v>
      </c>
      <c r="D239" s="361">
        <f>LN_IG13-LN_IG14</f>
        <v>2201280</v>
      </c>
      <c r="E239" s="361">
        <f>D239-C239</f>
        <v>661658</v>
      </c>
      <c r="F239" s="362">
        <f>IF(C239=0,0,E239/C239)</f>
        <v>0.42975353690711099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7458624</v>
      </c>
      <c r="D243" s="361">
        <v>8002619</v>
      </c>
      <c r="E243" s="353">
        <f>D243-C243</f>
        <v>543995</v>
      </c>
      <c r="F243" s="415">
        <f>IF(C243=0,0,E243/C243)</f>
        <v>7.2935034665911572E-2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305762315</v>
      </c>
      <c r="D244" s="361">
        <v>312521510</v>
      </c>
      <c r="E244" s="353">
        <f>D244-C244</f>
        <v>6759195</v>
      </c>
      <c r="F244" s="415">
        <f>IF(C244=0,0,E244/C244)</f>
        <v>2.2106043382095666E-2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1670015</v>
      </c>
      <c r="D245" s="400">
        <v>1608918</v>
      </c>
      <c r="E245" s="400">
        <f>D245-C245</f>
        <v>-61097</v>
      </c>
      <c r="F245" s="401">
        <f>IF(C245=0,0,E245/C245)</f>
        <v>-3.6584701335017948E-2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7535167</v>
      </c>
      <c r="D248" s="353">
        <v>9520361</v>
      </c>
      <c r="E248" s="353">
        <f>D248-C248</f>
        <v>1985194</v>
      </c>
      <c r="F248" s="362">
        <f>IF(C248=0,0,E248/C248)</f>
        <v>0.2634572000859437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17055645</v>
      </c>
      <c r="D249" s="353">
        <v>11858436</v>
      </c>
      <c r="E249" s="353">
        <f>D249-C249</f>
        <v>-5197209</v>
      </c>
      <c r="F249" s="362">
        <f>IF(C249=0,0,E249/C249)</f>
        <v>-0.30472075374458135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24590812</v>
      </c>
      <c r="D250" s="353">
        <f>LN_IH4+LN_IH5</f>
        <v>21378797</v>
      </c>
      <c r="E250" s="353">
        <f>D250-C250</f>
        <v>-3212015</v>
      </c>
      <c r="F250" s="362">
        <f>IF(C250=0,0,E250/C250)</f>
        <v>-0.13061850092628091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9058713.9074348751</v>
      </c>
      <c r="D251" s="353">
        <f>LN_IH6*LN_III10</f>
        <v>7448172.7339457273</v>
      </c>
      <c r="E251" s="353">
        <f>D251-C251</f>
        <v>-1610541.1734891478</v>
      </c>
      <c r="F251" s="362">
        <f>IF(C251=0,0,E251/C251)</f>
        <v>-0.17778916410720375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86511117</v>
      </c>
      <c r="D254" s="353">
        <f>LN_IF23</f>
        <v>116209652</v>
      </c>
      <c r="E254" s="353">
        <f>D254-C254</f>
        <v>29698535</v>
      </c>
      <c r="F254" s="362">
        <f>IF(C254=0,0,E254/C254)</f>
        <v>0.34329154483116892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18167098</v>
      </c>
      <c r="D255" s="353">
        <f>LN_IF24</f>
        <v>27521859</v>
      </c>
      <c r="E255" s="353">
        <f>D255-C255</f>
        <v>9354761</v>
      </c>
      <c r="F255" s="362">
        <f>IF(C255=0,0,E255/C255)</f>
        <v>0.51492874646242348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31868791.429726914</v>
      </c>
      <c r="D256" s="353">
        <f>LN_IH8*LN_III10</f>
        <v>40486354.842497528</v>
      </c>
      <c r="E256" s="353">
        <f>D256-C256</f>
        <v>8617563.412770614</v>
      </c>
      <c r="F256" s="362">
        <f>IF(C256=0,0,E256/C256)</f>
        <v>0.27040760023087135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13701693.429726914</v>
      </c>
      <c r="D257" s="353">
        <f>LN_IH10-LN_IH9</f>
        <v>12964495.842497528</v>
      </c>
      <c r="E257" s="353">
        <f>D257-C257</f>
        <v>-737197.58722938597</v>
      </c>
      <c r="F257" s="362">
        <f>IF(C257=0,0,E257/C257)</f>
        <v>-5.3803392333240878E-2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363711445</v>
      </c>
      <c r="D261" s="361">
        <f>LN_IA1+LN_IB1+LN_IF1+LN_IG1</f>
        <v>412297385</v>
      </c>
      <c r="E261" s="361">
        <f t="shared" ref="E261:E274" si="26">D261-C261</f>
        <v>48585940</v>
      </c>
      <c r="F261" s="415">
        <f t="shared" ref="F261:F274" si="27">IF(C261=0,0,E261/C261)</f>
        <v>0.13358375346148374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128406931</v>
      </c>
      <c r="D262" s="361">
        <f>+LN_IA2+LN_IB2+LN_IF2+LN_IG2</f>
        <v>136197019</v>
      </c>
      <c r="E262" s="361">
        <f t="shared" si="26"/>
        <v>7790088</v>
      </c>
      <c r="F262" s="415">
        <f t="shared" si="27"/>
        <v>6.0667192489788579E-2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0.35304616548428935</v>
      </c>
      <c r="D263" s="366">
        <f>IF(LN_IIA1=0,0,LN_IIA2/LN_IIA1)</f>
        <v>0.33033684897128318</v>
      </c>
      <c r="E263" s="367">
        <f t="shared" si="26"/>
        <v>-2.2709316513006172E-2</v>
      </c>
      <c r="F263" s="371">
        <f t="shared" si="27"/>
        <v>-6.4323929086879561E-2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13964</v>
      </c>
      <c r="D264" s="369">
        <f>LN_IA4+LN_IB4+LN_IF4+LN_IG3</f>
        <v>13918</v>
      </c>
      <c r="E264" s="369">
        <f t="shared" si="26"/>
        <v>-46</v>
      </c>
      <c r="F264" s="415">
        <f t="shared" si="27"/>
        <v>-3.294185047264394E-3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1.1790758951589801</v>
      </c>
      <c r="D265" s="439">
        <f>IF(LN_IIA4=0,0,LN_IIA6/LN_IIA4)</f>
        <v>1.1838811251616612</v>
      </c>
      <c r="E265" s="439">
        <f t="shared" si="26"/>
        <v>4.8052300026810713E-3</v>
      </c>
      <c r="F265" s="415">
        <f t="shared" si="27"/>
        <v>4.0754204393544657E-3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16464.6158</v>
      </c>
      <c r="D266" s="376">
        <f>LN_IA6+LN_IB6+LN_IF6+LN_IG5</f>
        <v>16477.2575</v>
      </c>
      <c r="E266" s="376">
        <f t="shared" si="26"/>
        <v>12.641700000000128</v>
      </c>
      <c r="F266" s="415">
        <f t="shared" si="27"/>
        <v>7.6781020301731721E-4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481558965</v>
      </c>
      <c r="D267" s="361">
        <f>LN_IA11+LN_IB13+LN_IF14+LN_IG9</f>
        <v>525845728</v>
      </c>
      <c r="E267" s="361">
        <f t="shared" si="26"/>
        <v>44286763</v>
      </c>
      <c r="F267" s="415">
        <f t="shared" si="27"/>
        <v>9.1965400332646705E-2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1.3240137796598619</v>
      </c>
      <c r="D268" s="366">
        <f>IF(LN_IIA1=0,0,LN_IIA7/LN_IIA1)</f>
        <v>1.2754039854024299</v>
      </c>
      <c r="E268" s="367">
        <f t="shared" si="26"/>
        <v>-4.8609794257431949E-2</v>
      </c>
      <c r="F268" s="371">
        <f t="shared" si="27"/>
        <v>-3.6713964011703688E-2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177446780</v>
      </c>
      <c r="D269" s="361">
        <f>LN_IA12+LN_IB14+LN_IF15+LN_IG10</f>
        <v>186021042</v>
      </c>
      <c r="E269" s="361">
        <f t="shared" si="26"/>
        <v>8574262</v>
      </c>
      <c r="F269" s="415">
        <f t="shared" si="27"/>
        <v>4.8320189298447683E-2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0.3684840131675256</v>
      </c>
      <c r="D270" s="366">
        <f>IF(LN_IIA7=0,0,LN_IIA9/LN_IIA7)</f>
        <v>0.35375592515985982</v>
      </c>
      <c r="E270" s="367">
        <f t="shared" si="26"/>
        <v>-1.4728088007665785E-2</v>
      </c>
      <c r="F270" s="371">
        <f t="shared" si="27"/>
        <v>-3.9969408390506986E-2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845270410</v>
      </c>
      <c r="D271" s="353">
        <f>LN_IIA1+LN_IIA7</f>
        <v>938143113</v>
      </c>
      <c r="E271" s="353">
        <f t="shared" si="26"/>
        <v>92872703</v>
      </c>
      <c r="F271" s="415">
        <f t="shared" si="27"/>
        <v>0.10987336348376374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305853711</v>
      </c>
      <c r="D272" s="353">
        <f>LN_IIA2+LN_IIA9</f>
        <v>322218061</v>
      </c>
      <c r="E272" s="353">
        <f t="shared" si="26"/>
        <v>16364350</v>
      </c>
      <c r="F272" s="415">
        <f t="shared" si="27"/>
        <v>5.3503846484308309E-2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0.36184126095222002</v>
      </c>
      <c r="D273" s="366">
        <f>IF(LN_IIA11=0,0,LN_IIA12/LN_IIA11)</f>
        <v>0.34346365339677126</v>
      </c>
      <c r="E273" s="367">
        <f t="shared" si="26"/>
        <v>-1.8377607555448761E-2</v>
      </c>
      <c r="F273" s="371">
        <f t="shared" si="27"/>
        <v>-5.078914302665849E-2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57628</v>
      </c>
      <c r="D274" s="421">
        <f>LN_IA8+LN_IB10+LN_IF11+LN_IG6</f>
        <v>57829</v>
      </c>
      <c r="E274" s="442">
        <f t="shared" si="26"/>
        <v>201</v>
      </c>
      <c r="F274" s="371">
        <f t="shared" si="27"/>
        <v>3.4878878323037414E-3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245870227</v>
      </c>
      <c r="D277" s="361">
        <f>LN_IA1+LN_IF1+LN_IG1</f>
        <v>286656551</v>
      </c>
      <c r="E277" s="361">
        <f t="shared" ref="E277:E291" si="28">D277-C277</f>
        <v>40786324</v>
      </c>
      <c r="F277" s="415">
        <f t="shared" ref="F277:F291" si="29">IF(C277=0,0,E277/C277)</f>
        <v>0.16588557507615592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77236625</v>
      </c>
      <c r="D278" s="361">
        <f>LN_IA2+LN_IF2+LN_IG2</f>
        <v>78483549</v>
      </c>
      <c r="E278" s="361">
        <f t="shared" si="28"/>
        <v>1246924</v>
      </c>
      <c r="F278" s="415">
        <f t="shared" si="29"/>
        <v>1.6144206197513163E-2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0.31413573714234216</v>
      </c>
      <c r="D279" s="366">
        <f>IF(D277=0,0,LN_IIB2/D277)</f>
        <v>0.27378948335982733</v>
      </c>
      <c r="E279" s="367">
        <f t="shared" si="28"/>
        <v>-4.0346253782514829E-2</v>
      </c>
      <c r="F279" s="371">
        <f t="shared" si="29"/>
        <v>-0.12843573338563835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9072</v>
      </c>
      <c r="D280" s="369">
        <f>LN_IA4+LN_IF4+LN_IG3</f>
        <v>9201</v>
      </c>
      <c r="E280" s="369">
        <f t="shared" si="28"/>
        <v>129</v>
      </c>
      <c r="F280" s="415">
        <f t="shared" si="29"/>
        <v>1.4219576719576719E-2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1.2452332363315697</v>
      </c>
      <c r="D281" s="439">
        <f>IF(LN_IIB4=0,0,LN_IIB6/LN_IIB4)</f>
        <v>1.2431915302684493</v>
      </c>
      <c r="E281" s="439">
        <f t="shared" si="28"/>
        <v>-2.0417060631203743E-3</v>
      </c>
      <c r="F281" s="415">
        <f t="shared" si="29"/>
        <v>-1.6396173853624374E-3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11296.75592</v>
      </c>
      <c r="D282" s="376">
        <f>LN_IA6+LN_IF6+LN_IG5</f>
        <v>11438.605270000002</v>
      </c>
      <c r="E282" s="376">
        <f t="shared" si="28"/>
        <v>141.84935000000223</v>
      </c>
      <c r="F282" s="415">
        <f t="shared" si="29"/>
        <v>1.2556644669012396E-2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219529180</v>
      </c>
      <c r="D283" s="361">
        <f>LN_IA11+LN_IF14+LN_IG9</f>
        <v>249653106</v>
      </c>
      <c r="E283" s="361">
        <f t="shared" si="28"/>
        <v>30123926</v>
      </c>
      <c r="F283" s="415">
        <f t="shared" si="29"/>
        <v>0.13722060092421426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0.8928660565315214</v>
      </c>
      <c r="D284" s="366">
        <f>IF(D277=0,0,LN_IIB7/D277)</f>
        <v>0.87091366001958215</v>
      </c>
      <c r="E284" s="367">
        <f t="shared" si="28"/>
        <v>-2.1952396511939254E-2</v>
      </c>
      <c r="F284" s="371">
        <f t="shared" si="29"/>
        <v>-2.4586438639202828E-2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57748257</v>
      </c>
      <c r="D285" s="361">
        <f>LN_IA12+LN_IF15+LN_IG10</f>
        <v>62232884</v>
      </c>
      <c r="E285" s="361">
        <f t="shared" si="28"/>
        <v>4484627</v>
      </c>
      <c r="F285" s="415">
        <f t="shared" si="29"/>
        <v>7.7658222654235262E-2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0.26305503897021798</v>
      </c>
      <c r="D286" s="366">
        <f>IF(LN_IIB7=0,0,LN_IIB9/LN_IIB7)</f>
        <v>0.24927742737556807</v>
      </c>
      <c r="E286" s="367">
        <f t="shared" si="28"/>
        <v>-1.3777611594649908E-2</v>
      </c>
      <c r="F286" s="371">
        <f t="shared" si="29"/>
        <v>-5.2375395083040982E-2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465399407</v>
      </c>
      <c r="D287" s="353">
        <f>D277+LN_IIB7</f>
        <v>536309657</v>
      </c>
      <c r="E287" s="353">
        <f t="shared" si="28"/>
        <v>70910250</v>
      </c>
      <c r="F287" s="415">
        <f t="shared" si="29"/>
        <v>0.1523642895402314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134984882</v>
      </c>
      <c r="D288" s="353">
        <f>LN_IIB2+LN_IIB9</f>
        <v>140716433</v>
      </c>
      <c r="E288" s="353">
        <f t="shared" si="28"/>
        <v>5731551</v>
      </c>
      <c r="F288" s="415">
        <f t="shared" si="29"/>
        <v>4.2460688301375851E-2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0.29004094111361856</v>
      </c>
      <c r="D289" s="366">
        <f>IF(LN_IIB11=0,0,LN_IIB12/LN_IIB11)</f>
        <v>0.2623790773918509</v>
      </c>
      <c r="E289" s="367">
        <f t="shared" si="28"/>
        <v>-2.7661863721767654E-2</v>
      </c>
      <c r="F289" s="371">
        <f t="shared" si="29"/>
        <v>-9.5372272671435013E-2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40806</v>
      </c>
      <c r="D290" s="421">
        <f>LN_IA8+LN_IF11+LN_IG6</f>
        <v>41870</v>
      </c>
      <c r="E290" s="442">
        <f t="shared" si="28"/>
        <v>1064</v>
      </c>
      <c r="F290" s="371">
        <f t="shared" si="29"/>
        <v>2.6074596873008872E-2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330414525</v>
      </c>
      <c r="D291" s="429">
        <f>LN_IIB11-LN_IIB12</f>
        <v>395593224</v>
      </c>
      <c r="E291" s="353">
        <f t="shared" si="28"/>
        <v>65178699</v>
      </c>
      <c r="F291" s="415">
        <f t="shared" si="29"/>
        <v>0.19726341933666505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4.6138359681124168</v>
      </c>
      <c r="D294" s="379">
        <f>IF(LN_IA4=0,0,LN_IA8/LN_IA4)</f>
        <v>4.6571349250416434</v>
      </c>
      <c r="E294" s="379">
        <f t="shared" ref="E294:E300" si="30">D294-C294</f>
        <v>4.3298956929226584E-2</v>
      </c>
      <c r="F294" s="415">
        <f t="shared" ref="F294:F300" si="31">IF(C294=0,0,E294/C294)</f>
        <v>9.3845895754592207E-3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3.4386753883892069</v>
      </c>
      <c r="D295" s="379">
        <f>IF(LN_IB4=0,0,(LN_IB10)/(LN_IB4))</f>
        <v>3.3832944668221328</v>
      </c>
      <c r="E295" s="379">
        <f t="shared" si="30"/>
        <v>-5.5380921567074193E-2</v>
      </c>
      <c r="F295" s="415">
        <f t="shared" si="31"/>
        <v>-1.6105306640478358E-2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5.0514285714285716</v>
      </c>
      <c r="D296" s="379">
        <f>IF(LN_IC4=0,0,LN_IC11/LN_IC4)</f>
        <v>4.6528925619834709</v>
      </c>
      <c r="E296" s="379">
        <f t="shared" si="30"/>
        <v>-0.3985360094451007</v>
      </c>
      <c r="F296" s="415">
        <f t="shared" si="31"/>
        <v>-7.8895703227254102E-2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3.7844630616907846</v>
      </c>
      <c r="D297" s="379">
        <f>IF(LN_ID4=0,0,LN_ID11/LN_ID4)</f>
        <v>3.9447447447447446</v>
      </c>
      <c r="E297" s="379">
        <f t="shared" si="30"/>
        <v>0.16028168305395996</v>
      </c>
      <c r="F297" s="415">
        <f t="shared" si="31"/>
        <v>4.2352555816029265E-2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4.8571428571428568</v>
      </c>
      <c r="D298" s="379">
        <f>IF(LN_IE4=0,0,LN_IE11/LN_IE4)</f>
        <v>5.5674740484429064</v>
      </c>
      <c r="E298" s="379">
        <f t="shared" si="30"/>
        <v>0.71033119130004962</v>
      </c>
      <c r="F298" s="415">
        <f t="shared" si="31"/>
        <v>0.14624465703236317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3.5</v>
      </c>
      <c r="D299" s="379">
        <f>IF(LN_IG3=0,0,LN_IG6/LN_IG3)</f>
        <v>3.3255813953488373</v>
      </c>
      <c r="E299" s="379">
        <f t="shared" si="30"/>
        <v>-0.17441860465116266</v>
      </c>
      <c r="F299" s="415">
        <f t="shared" si="31"/>
        <v>-4.9833887043189327E-2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4.1268977370380977</v>
      </c>
      <c r="D300" s="379">
        <f>IF(LN_IIA4=0,0,LN_IIA14/LN_IIA4)</f>
        <v>4.1549791636729418</v>
      </c>
      <c r="E300" s="379">
        <f t="shared" si="30"/>
        <v>2.8081426634844142E-2</v>
      </c>
      <c r="F300" s="415">
        <f t="shared" si="31"/>
        <v>6.8044881225960236E-3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845270410</v>
      </c>
      <c r="D304" s="353">
        <f>LN_IIA11</f>
        <v>938143113</v>
      </c>
      <c r="E304" s="353">
        <f t="shared" ref="E304:E316" si="32">D304-C304</f>
        <v>92872703</v>
      </c>
      <c r="F304" s="362">
        <f>IF(C304=0,0,E304/C304)</f>
        <v>0.10987336348376374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330414525</v>
      </c>
      <c r="D305" s="353">
        <f>LN_IIB14</f>
        <v>395593224</v>
      </c>
      <c r="E305" s="353">
        <f t="shared" si="32"/>
        <v>65178699</v>
      </c>
      <c r="F305" s="362">
        <f>IF(C305=0,0,E305/C305)</f>
        <v>0.19726341933666505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24590812</v>
      </c>
      <c r="D306" s="353">
        <f>LN_IH6</f>
        <v>21378797</v>
      </c>
      <c r="E306" s="353">
        <f t="shared" si="32"/>
        <v>-3212015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169377726</v>
      </c>
      <c r="D307" s="353">
        <f>LN_IB32-LN_IB33</f>
        <v>181709768</v>
      </c>
      <c r="E307" s="353">
        <f t="shared" si="32"/>
        <v>12332042</v>
      </c>
      <c r="F307" s="362">
        <f t="shared" ref="F307:F316" si="33">IF(C307=0,0,E307/C307)</f>
        <v>7.2807932254327232E-2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11178347</v>
      </c>
      <c r="D308" s="353">
        <v>14229964</v>
      </c>
      <c r="E308" s="353">
        <f t="shared" si="32"/>
        <v>3051617</v>
      </c>
      <c r="F308" s="362">
        <f t="shared" si="33"/>
        <v>0.27299358304049787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535561410</v>
      </c>
      <c r="D309" s="353">
        <f>LN_III2+LN_III3+LN_III4+LN_III5</f>
        <v>612911753</v>
      </c>
      <c r="E309" s="353">
        <f t="shared" si="32"/>
        <v>77350343</v>
      </c>
      <c r="F309" s="362">
        <f t="shared" si="33"/>
        <v>0.14442852221185989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309709000</v>
      </c>
      <c r="D310" s="353">
        <f>LN_III1-LN_III6</f>
        <v>325231360</v>
      </c>
      <c r="E310" s="353">
        <f t="shared" si="32"/>
        <v>15522360</v>
      </c>
      <c r="F310" s="362">
        <f t="shared" si="33"/>
        <v>5.0119176388157917E-2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1670015</v>
      </c>
      <c r="D311" s="353">
        <f>LN_IH3</f>
        <v>1608918</v>
      </c>
      <c r="E311" s="353">
        <f t="shared" si="32"/>
        <v>-61097</v>
      </c>
      <c r="F311" s="362">
        <f t="shared" si="33"/>
        <v>-3.6584701335017948E-2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311379015</v>
      </c>
      <c r="D312" s="353">
        <f>LN_III7+LN_III8</f>
        <v>326840278</v>
      </c>
      <c r="E312" s="353">
        <f t="shared" si="32"/>
        <v>15461263</v>
      </c>
      <c r="F312" s="362">
        <f t="shared" si="33"/>
        <v>4.9654158614381896E-2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0.36837799042320668</v>
      </c>
      <c r="D313" s="448">
        <f>IF(LN_III1=0,0,LN_III9/LN_III1)</f>
        <v>0.34839063834815998</v>
      </c>
      <c r="E313" s="448">
        <f t="shared" si="32"/>
        <v>-1.9987352075046705E-2</v>
      </c>
      <c r="F313" s="362">
        <f t="shared" si="33"/>
        <v>-5.4257726016922109E-2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9058713.9074348751</v>
      </c>
      <c r="D314" s="353">
        <f>D313*LN_III5</f>
        <v>7448172.7339457273</v>
      </c>
      <c r="E314" s="353">
        <f t="shared" si="32"/>
        <v>-1610541.1734891478</v>
      </c>
      <c r="F314" s="362">
        <f t="shared" si="33"/>
        <v>-0.17778916410720375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13701693.429726914</v>
      </c>
      <c r="D315" s="353">
        <f>D313*LN_IH8-LN_IH9</f>
        <v>12964495.842497528</v>
      </c>
      <c r="E315" s="353">
        <f t="shared" si="32"/>
        <v>-737197.58722938597</v>
      </c>
      <c r="F315" s="362">
        <f t="shared" si="33"/>
        <v>-5.3803392333240878E-2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22760407.337161787</v>
      </c>
      <c r="D318" s="353">
        <f>D314+D315+D316</f>
        <v>20412668.576443255</v>
      </c>
      <c r="E318" s="353">
        <f>D318-C318</f>
        <v>-2347738.7607185319</v>
      </c>
      <c r="F318" s="362">
        <f>IF(C318=0,0,E318/C318)</f>
        <v>-0.10315012055541244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8589409.9596659858</v>
      </c>
      <c r="D322" s="353">
        <f>LN_ID22</f>
        <v>2588621.5811640746</v>
      </c>
      <c r="E322" s="353">
        <f>LN_IV2-C322</f>
        <v>-6000788.3785019107</v>
      </c>
      <c r="F322" s="362">
        <f>IF(C322=0,0,E322/C322)</f>
        <v>-0.69862637907380332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3884984.894691078</v>
      </c>
      <c r="D323" s="353">
        <f>LN_IE10+LN_IE22</f>
        <v>4985143.1440244652</v>
      </c>
      <c r="E323" s="353">
        <f>LN_IV3-C323</f>
        <v>1100158.2493333872</v>
      </c>
      <c r="F323" s="362">
        <f>IF(C323=0,0,E323/C323)</f>
        <v>0.28318211760276829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2562194.2887675604</v>
      </c>
      <c r="D324" s="353">
        <f>LN_IC10+LN_IC22</f>
        <v>-886155.7980766641</v>
      </c>
      <c r="E324" s="353">
        <f>LN_IV1-C324</f>
        <v>-3448350.0868442245</v>
      </c>
      <c r="F324" s="362">
        <f>IF(C324=0,0,E324/C324)</f>
        <v>-1.3458581583611731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15036589.143124623</v>
      </c>
      <c r="D325" s="429">
        <f>LN_IV1+LN_IV2+LN_IV3</f>
        <v>6687608.9271118753</v>
      </c>
      <c r="E325" s="353">
        <f>LN_IV4-C325</f>
        <v>-8348980.216012748</v>
      </c>
      <c r="F325" s="362">
        <f>IF(C325=0,0,E325/C325)</f>
        <v>-0.55524428688870986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16618413</v>
      </c>
      <c r="D329" s="431">
        <v>20675399</v>
      </c>
      <c r="E329" s="431">
        <f t="shared" ref="E329:E335" si="34">D329-C329</f>
        <v>4056986</v>
      </c>
      <c r="F329" s="462">
        <f t="shared" ref="F329:F335" si="35">IF(C329=0,0,E329/C329)</f>
        <v>0.24412595835715481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11963512</v>
      </c>
      <c r="D330" s="429">
        <v>2854644</v>
      </c>
      <c r="E330" s="431">
        <f t="shared" si="34"/>
        <v>-9108868</v>
      </c>
      <c r="F330" s="463">
        <f t="shared" si="35"/>
        <v>-0.76138745879972369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319487236</v>
      </c>
      <c r="D331" s="429">
        <v>326681627</v>
      </c>
      <c r="E331" s="431">
        <f t="shared" si="34"/>
        <v>7194391</v>
      </c>
      <c r="F331" s="462">
        <f t="shared" si="35"/>
        <v>2.2518555326573361E-2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845270408</v>
      </c>
      <c r="D333" s="429">
        <v>938143112</v>
      </c>
      <c r="E333" s="431">
        <f t="shared" si="34"/>
        <v>92872704</v>
      </c>
      <c r="F333" s="462">
        <f t="shared" si="35"/>
        <v>0.1098733649267892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24590812</v>
      </c>
      <c r="D335" s="429">
        <v>21378797</v>
      </c>
      <c r="E335" s="429">
        <f t="shared" si="34"/>
        <v>-3212015</v>
      </c>
      <c r="F335" s="462">
        <f t="shared" si="35"/>
        <v>-0.13061850092628091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FILING&amp;RMIDDLESEX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>
      <selection activeCell="A3" sqref="A3:E3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596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744</v>
      </c>
      <c r="B5" s="710"/>
      <c r="C5" s="710"/>
      <c r="D5" s="710"/>
      <c r="E5" s="710"/>
    </row>
    <row r="6" spans="1:5" s="338" customFormat="1" ht="15.75" customHeight="1" x14ac:dyDescent="0.25">
      <c r="A6" s="710" t="s">
        <v>745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117841218</v>
      </c>
      <c r="D14" s="513">
        <v>125640834</v>
      </c>
      <c r="E14" s="514">
        <f t="shared" ref="E14:E22" si="0">D14-C14</f>
        <v>7799616</v>
      </c>
    </row>
    <row r="15" spans="1:5" s="506" customFormat="1" x14ac:dyDescent="0.2">
      <c r="A15" s="512">
        <v>2</v>
      </c>
      <c r="B15" s="511" t="s">
        <v>605</v>
      </c>
      <c r="C15" s="513">
        <v>212277011</v>
      </c>
      <c r="D15" s="515">
        <v>237936712</v>
      </c>
      <c r="E15" s="514">
        <f t="shared" si="0"/>
        <v>25659701</v>
      </c>
    </row>
    <row r="16" spans="1:5" s="506" customFormat="1" x14ac:dyDescent="0.2">
      <c r="A16" s="512">
        <v>3</v>
      </c>
      <c r="B16" s="511" t="s">
        <v>751</v>
      </c>
      <c r="C16" s="513">
        <v>32870543</v>
      </c>
      <c r="D16" s="515">
        <v>47803856</v>
      </c>
      <c r="E16" s="514">
        <f t="shared" si="0"/>
        <v>14933313</v>
      </c>
    </row>
    <row r="17" spans="1:5" s="506" customFormat="1" x14ac:dyDescent="0.2">
      <c r="A17" s="512">
        <v>4</v>
      </c>
      <c r="B17" s="511" t="s">
        <v>114</v>
      </c>
      <c r="C17" s="513">
        <v>24635167</v>
      </c>
      <c r="D17" s="515">
        <v>39855345</v>
      </c>
      <c r="E17" s="514">
        <f t="shared" si="0"/>
        <v>15220178</v>
      </c>
    </row>
    <row r="18" spans="1:5" s="506" customFormat="1" x14ac:dyDescent="0.2">
      <c r="A18" s="512">
        <v>5</v>
      </c>
      <c r="B18" s="511" t="s">
        <v>718</v>
      </c>
      <c r="C18" s="513">
        <v>8235376</v>
      </c>
      <c r="D18" s="515">
        <v>7948511</v>
      </c>
      <c r="E18" s="514">
        <f t="shared" si="0"/>
        <v>-286865</v>
      </c>
    </row>
    <row r="19" spans="1:5" s="506" customFormat="1" x14ac:dyDescent="0.2">
      <c r="A19" s="512">
        <v>6</v>
      </c>
      <c r="B19" s="511" t="s">
        <v>418</v>
      </c>
      <c r="C19" s="513">
        <v>722673</v>
      </c>
      <c r="D19" s="515">
        <v>915983</v>
      </c>
      <c r="E19" s="514">
        <f t="shared" si="0"/>
        <v>193310</v>
      </c>
    </row>
    <row r="20" spans="1:5" s="506" customFormat="1" x14ac:dyDescent="0.2">
      <c r="A20" s="512">
        <v>7</v>
      </c>
      <c r="B20" s="511" t="s">
        <v>733</v>
      </c>
      <c r="C20" s="513">
        <v>9544072</v>
      </c>
      <c r="D20" s="515">
        <v>7173325</v>
      </c>
      <c r="E20" s="514">
        <f t="shared" si="0"/>
        <v>-2370747</v>
      </c>
    </row>
    <row r="21" spans="1:5" s="506" customFormat="1" x14ac:dyDescent="0.2">
      <c r="A21" s="512"/>
      <c r="B21" s="516" t="s">
        <v>752</v>
      </c>
      <c r="C21" s="517">
        <f>SUM(C15+C16+C19)</f>
        <v>245870227</v>
      </c>
      <c r="D21" s="517">
        <f>SUM(D15+D16+D19)</f>
        <v>286656551</v>
      </c>
      <c r="E21" s="517">
        <f t="shared" si="0"/>
        <v>40786324</v>
      </c>
    </row>
    <row r="22" spans="1:5" s="506" customFormat="1" x14ac:dyDescent="0.2">
      <c r="A22" s="512"/>
      <c r="B22" s="516" t="s">
        <v>692</v>
      </c>
      <c r="C22" s="517">
        <f>SUM(C14+C21)</f>
        <v>363711445</v>
      </c>
      <c r="D22" s="517">
        <f>SUM(D14+D21)</f>
        <v>412297385</v>
      </c>
      <c r="E22" s="517">
        <f t="shared" si="0"/>
        <v>48585940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262029785</v>
      </c>
      <c r="D25" s="513">
        <v>276192622</v>
      </c>
      <c r="E25" s="514">
        <f t="shared" ref="E25:E33" si="1">D25-C25</f>
        <v>14162837</v>
      </c>
    </row>
    <row r="26" spans="1:5" s="506" customFormat="1" x14ac:dyDescent="0.2">
      <c r="A26" s="512">
        <v>2</v>
      </c>
      <c r="B26" s="511" t="s">
        <v>605</v>
      </c>
      <c r="C26" s="513">
        <v>164221864</v>
      </c>
      <c r="D26" s="515">
        <v>179328360</v>
      </c>
      <c r="E26" s="514">
        <f t="shared" si="1"/>
        <v>15106496</v>
      </c>
    </row>
    <row r="27" spans="1:5" s="506" customFormat="1" x14ac:dyDescent="0.2">
      <c r="A27" s="512">
        <v>3</v>
      </c>
      <c r="B27" s="511" t="s">
        <v>751</v>
      </c>
      <c r="C27" s="513">
        <v>53640574</v>
      </c>
      <c r="D27" s="515">
        <v>68405796</v>
      </c>
      <c r="E27" s="514">
        <f t="shared" si="1"/>
        <v>14765222</v>
      </c>
    </row>
    <row r="28" spans="1:5" s="506" customFormat="1" x14ac:dyDescent="0.2">
      <c r="A28" s="512">
        <v>4</v>
      </c>
      <c r="B28" s="511" t="s">
        <v>114</v>
      </c>
      <c r="C28" s="513">
        <v>39999552</v>
      </c>
      <c r="D28" s="515">
        <v>59129382</v>
      </c>
      <c r="E28" s="514">
        <f t="shared" si="1"/>
        <v>19129830</v>
      </c>
    </row>
    <row r="29" spans="1:5" s="506" customFormat="1" x14ac:dyDescent="0.2">
      <c r="A29" s="512">
        <v>5</v>
      </c>
      <c r="B29" s="511" t="s">
        <v>718</v>
      </c>
      <c r="C29" s="513">
        <v>13641022</v>
      </c>
      <c r="D29" s="515">
        <v>9276414</v>
      </c>
      <c r="E29" s="514">
        <f t="shared" si="1"/>
        <v>-4364608</v>
      </c>
    </row>
    <row r="30" spans="1:5" s="506" customFormat="1" x14ac:dyDescent="0.2">
      <c r="A30" s="512">
        <v>6</v>
      </c>
      <c r="B30" s="511" t="s">
        <v>418</v>
      </c>
      <c r="C30" s="513">
        <v>1666742</v>
      </c>
      <c r="D30" s="515">
        <v>1918950</v>
      </c>
      <c r="E30" s="514">
        <f t="shared" si="1"/>
        <v>252208</v>
      </c>
    </row>
    <row r="31" spans="1:5" s="506" customFormat="1" x14ac:dyDescent="0.2">
      <c r="A31" s="512">
        <v>7</v>
      </c>
      <c r="B31" s="511" t="s">
        <v>733</v>
      </c>
      <c r="C31" s="514">
        <v>15462076</v>
      </c>
      <c r="D31" s="518">
        <v>14092307</v>
      </c>
      <c r="E31" s="514">
        <f t="shared" si="1"/>
        <v>-1369769</v>
      </c>
    </row>
    <row r="32" spans="1:5" s="506" customFormat="1" x14ac:dyDescent="0.2">
      <c r="A32" s="512"/>
      <c r="B32" s="516" t="s">
        <v>754</v>
      </c>
      <c r="C32" s="517">
        <f>SUM(C26+C27+C30)</f>
        <v>219529180</v>
      </c>
      <c r="D32" s="517">
        <f>SUM(D26+D27+D30)</f>
        <v>249653106</v>
      </c>
      <c r="E32" s="517">
        <f t="shared" si="1"/>
        <v>30123926</v>
      </c>
    </row>
    <row r="33" spans="1:5" s="506" customFormat="1" x14ac:dyDescent="0.2">
      <c r="A33" s="512"/>
      <c r="B33" s="516" t="s">
        <v>698</v>
      </c>
      <c r="C33" s="517">
        <f>SUM(C25+C32)</f>
        <v>481558965</v>
      </c>
      <c r="D33" s="517">
        <f>SUM(D25+D32)</f>
        <v>525845728</v>
      </c>
      <c r="E33" s="517">
        <f t="shared" si="1"/>
        <v>44286763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379871003</v>
      </c>
      <c r="D36" s="514">
        <f t="shared" si="2"/>
        <v>401833456</v>
      </c>
      <c r="E36" s="514">
        <f t="shared" ref="E36:E44" si="3">D36-C36</f>
        <v>21962453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376498875</v>
      </c>
      <c r="D37" s="514">
        <f t="shared" si="2"/>
        <v>417265072</v>
      </c>
      <c r="E37" s="514">
        <f t="shared" si="3"/>
        <v>40766197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86511117</v>
      </c>
      <c r="D38" s="514">
        <f t="shared" si="2"/>
        <v>116209652</v>
      </c>
      <c r="E38" s="514">
        <f t="shared" si="3"/>
        <v>29698535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64634719</v>
      </c>
      <c r="D39" s="514">
        <f t="shared" si="2"/>
        <v>98984727</v>
      </c>
      <c r="E39" s="514">
        <f t="shared" si="3"/>
        <v>34350008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21876398</v>
      </c>
      <c r="D40" s="514">
        <f t="shared" si="2"/>
        <v>17224925</v>
      </c>
      <c r="E40" s="514">
        <f t="shared" si="3"/>
        <v>-4651473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2389415</v>
      </c>
      <c r="D41" s="514">
        <f t="shared" si="2"/>
        <v>2834933</v>
      </c>
      <c r="E41" s="514">
        <f t="shared" si="3"/>
        <v>445518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25006148</v>
      </c>
      <c r="D42" s="514">
        <f t="shared" si="2"/>
        <v>21265632</v>
      </c>
      <c r="E42" s="514">
        <f t="shared" si="3"/>
        <v>-3740516</v>
      </c>
    </row>
    <row r="43" spans="1:5" s="506" customFormat="1" x14ac:dyDescent="0.2">
      <c r="A43" s="512"/>
      <c r="B43" s="516" t="s">
        <v>762</v>
      </c>
      <c r="C43" s="517">
        <f>SUM(C37+C38+C41)</f>
        <v>465399407</v>
      </c>
      <c r="D43" s="517">
        <f>SUM(D37+D38+D41)</f>
        <v>536309657</v>
      </c>
      <c r="E43" s="517">
        <f t="shared" si="3"/>
        <v>70910250</v>
      </c>
    </row>
    <row r="44" spans="1:5" s="506" customFormat="1" x14ac:dyDescent="0.2">
      <c r="A44" s="512"/>
      <c r="B44" s="516" t="s">
        <v>700</v>
      </c>
      <c r="C44" s="517">
        <f>SUM(C36+C43)</f>
        <v>845270410</v>
      </c>
      <c r="D44" s="517">
        <f>SUM(D36+D43)</f>
        <v>938143113</v>
      </c>
      <c r="E44" s="517">
        <f t="shared" si="3"/>
        <v>92872703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51170306</v>
      </c>
      <c r="D47" s="513">
        <v>57713470</v>
      </c>
      <c r="E47" s="514">
        <f t="shared" ref="E47:E55" si="4">D47-C47</f>
        <v>6543164</v>
      </c>
    </row>
    <row r="48" spans="1:5" s="506" customFormat="1" x14ac:dyDescent="0.2">
      <c r="A48" s="512">
        <v>2</v>
      </c>
      <c r="B48" s="511" t="s">
        <v>605</v>
      </c>
      <c r="C48" s="513">
        <v>69519294</v>
      </c>
      <c r="D48" s="515">
        <v>68309563</v>
      </c>
      <c r="E48" s="514">
        <f t="shared" si="4"/>
        <v>-1209731</v>
      </c>
    </row>
    <row r="49" spans="1:5" s="506" customFormat="1" x14ac:dyDescent="0.2">
      <c r="A49" s="512">
        <v>3</v>
      </c>
      <c r="B49" s="511" t="s">
        <v>751</v>
      </c>
      <c r="C49" s="513">
        <v>7517399</v>
      </c>
      <c r="D49" s="515">
        <v>9978042</v>
      </c>
      <c r="E49" s="514">
        <f t="shared" si="4"/>
        <v>2460643</v>
      </c>
    </row>
    <row r="50" spans="1:5" s="506" customFormat="1" x14ac:dyDescent="0.2">
      <c r="A50" s="512">
        <v>4</v>
      </c>
      <c r="B50" s="511" t="s">
        <v>114</v>
      </c>
      <c r="C50" s="513">
        <v>6747947</v>
      </c>
      <c r="D50" s="515">
        <v>9978042</v>
      </c>
      <c r="E50" s="514">
        <f t="shared" si="4"/>
        <v>3230095</v>
      </c>
    </row>
    <row r="51" spans="1:5" s="506" customFormat="1" x14ac:dyDescent="0.2">
      <c r="A51" s="512">
        <v>5</v>
      </c>
      <c r="B51" s="511" t="s">
        <v>718</v>
      </c>
      <c r="C51" s="513">
        <v>769452</v>
      </c>
      <c r="D51" s="515">
        <v>0</v>
      </c>
      <c r="E51" s="514">
        <f t="shared" si="4"/>
        <v>-769452</v>
      </c>
    </row>
    <row r="52" spans="1:5" s="506" customFormat="1" x14ac:dyDescent="0.2">
      <c r="A52" s="512">
        <v>6</v>
      </c>
      <c r="B52" s="511" t="s">
        <v>418</v>
      </c>
      <c r="C52" s="513">
        <v>199932</v>
      </c>
      <c r="D52" s="515">
        <v>195944</v>
      </c>
      <c r="E52" s="514">
        <f t="shared" si="4"/>
        <v>-3988</v>
      </c>
    </row>
    <row r="53" spans="1:5" s="506" customFormat="1" x14ac:dyDescent="0.2">
      <c r="A53" s="512">
        <v>7</v>
      </c>
      <c r="B53" s="511" t="s">
        <v>733</v>
      </c>
      <c r="C53" s="513">
        <v>812274</v>
      </c>
      <c r="D53" s="515">
        <v>2154497</v>
      </c>
      <c r="E53" s="514">
        <f t="shared" si="4"/>
        <v>1342223</v>
      </c>
    </row>
    <row r="54" spans="1:5" s="506" customFormat="1" x14ac:dyDescent="0.2">
      <c r="A54" s="512"/>
      <c r="B54" s="516" t="s">
        <v>764</v>
      </c>
      <c r="C54" s="517">
        <f>SUM(C48+C49+C52)</f>
        <v>77236625</v>
      </c>
      <c r="D54" s="517">
        <f>SUM(D48+D49+D52)</f>
        <v>78483549</v>
      </c>
      <c r="E54" s="517">
        <f t="shared" si="4"/>
        <v>1246924</v>
      </c>
    </row>
    <row r="55" spans="1:5" s="506" customFormat="1" x14ac:dyDescent="0.2">
      <c r="A55" s="512"/>
      <c r="B55" s="516" t="s">
        <v>693</v>
      </c>
      <c r="C55" s="517">
        <f>SUM(C47+C54)</f>
        <v>128406931</v>
      </c>
      <c r="D55" s="517">
        <f>SUM(D47+D54)</f>
        <v>136197019</v>
      </c>
      <c r="E55" s="517">
        <f t="shared" si="4"/>
        <v>7790088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119698523</v>
      </c>
      <c r="D58" s="513">
        <v>123788158</v>
      </c>
      <c r="E58" s="514">
        <f t="shared" ref="E58:E66" si="5">D58-C58</f>
        <v>4089635</v>
      </c>
    </row>
    <row r="59" spans="1:5" s="506" customFormat="1" x14ac:dyDescent="0.2">
      <c r="A59" s="512">
        <v>2</v>
      </c>
      <c r="B59" s="511" t="s">
        <v>605</v>
      </c>
      <c r="C59" s="513">
        <v>46448697</v>
      </c>
      <c r="D59" s="515">
        <v>44251358</v>
      </c>
      <c r="E59" s="514">
        <f t="shared" si="5"/>
        <v>-2197339</v>
      </c>
    </row>
    <row r="60" spans="1:5" s="506" customFormat="1" x14ac:dyDescent="0.2">
      <c r="A60" s="512">
        <v>3</v>
      </c>
      <c r="B60" s="511" t="s">
        <v>751</v>
      </c>
      <c r="C60" s="513">
        <f>C61+C62</f>
        <v>10649699</v>
      </c>
      <c r="D60" s="515">
        <f>D61+D62</f>
        <v>17543817</v>
      </c>
      <c r="E60" s="514">
        <f t="shared" si="5"/>
        <v>6894118</v>
      </c>
    </row>
    <row r="61" spans="1:5" s="506" customFormat="1" x14ac:dyDescent="0.2">
      <c r="A61" s="512">
        <v>4</v>
      </c>
      <c r="B61" s="511" t="s">
        <v>114</v>
      </c>
      <c r="C61" s="513">
        <v>8705546</v>
      </c>
      <c r="D61" s="515">
        <v>17543817</v>
      </c>
      <c r="E61" s="514">
        <f t="shared" si="5"/>
        <v>8838271</v>
      </c>
    </row>
    <row r="62" spans="1:5" s="506" customFormat="1" x14ac:dyDescent="0.2">
      <c r="A62" s="512">
        <v>5</v>
      </c>
      <c r="B62" s="511" t="s">
        <v>718</v>
      </c>
      <c r="C62" s="513">
        <v>1944153</v>
      </c>
      <c r="D62" s="515">
        <v>0</v>
      </c>
      <c r="E62" s="514">
        <f t="shared" si="5"/>
        <v>-1944153</v>
      </c>
    </row>
    <row r="63" spans="1:5" s="506" customFormat="1" x14ac:dyDescent="0.2">
      <c r="A63" s="512">
        <v>6</v>
      </c>
      <c r="B63" s="511" t="s">
        <v>418</v>
      </c>
      <c r="C63" s="513">
        <v>649861</v>
      </c>
      <c r="D63" s="515">
        <v>437709</v>
      </c>
      <c r="E63" s="514">
        <f t="shared" si="5"/>
        <v>-212152</v>
      </c>
    </row>
    <row r="64" spans="1:5" s="506" customFormat="1" x14ac:dyDescent="0.2">
      <c r="A64" s="512">
        <v>7</v>
      </c>
      <c r="B64" s="511" t="s">
        <v>733</v>
      </c>
      <c r="C64" s="513">
        <v>3717142</v>
      </c>
      <c r="D64" s="515">
        <v>4402842</v>
      </c>
      <c r="E64" s="514">
        <f t="shared" si="5"/>
        <v>685700</v>
      </c>
    </row>
    <row r="65" spans="1:5" s="506" customFormat="1" x14ac:dyDescent="0.2">
      <c r="A65" s="512"/>
      <c r="B65" s="516" t="s">
        <v>766</v>
      </c>
      <c r="C65" s="517">
        <f>SUM(C59+C60+C63)</f>
        <v>57748257</v>
      </c>
      <c r="D65" s="517">
        <f>SUM(D59+D60+D63)</f>
        <v>62232884</v>
      </c>
      <c r="E65" s="517">
        <f t="shared" si="5"/>
        <v>4484627</v>
      </c>
    </row>
    <row r="66" spans="1:5" s="506" customFormat="1" x14ac:dyDescent="0.2">
      <c r="A66" s="512"/>
      <c r="B66" s="516" t="s">
        <v>699</v>
      </c>
      <c r="C66" s="517">
        <f>SUM(C58+C65)</f>
        <v>177446780</v>
      </c>
      <c r="D66" s="517">
        <f>SUM(D58+D65)</f>
        <v>186021042</v>
      </c>
      <c r="E66" s="517">
        <f t="shared" si="5"/>
        <v>8574262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170868829</v>
      </c>
      <c r="D69" s="514">
        <f t="shared" si="6"/>
        <v>181501628</v>
      </c>
      <c r="E69" s="514">
        <f t="shared" ref="E69:E77" si="7">D69-C69</f>
        <v>10632799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115967991</v>
      </c>
      <c r="D70" s="514">
        <f t="shared" si="6"/>
        <v>112560921</v>
      </c>
      <c r="E70" s="514">
        <f t="shared" si="7"/>
        <v>-3407070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18167098</v>
      </c>
      <c r="D71" s="514">
        <f t="shared" si="6"/>
        <v>27521859</v>
      </c>
      <c r="E71" s="514">
        <f t="shared" si="7"/>
        <v>9354761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15453493</v>
      </c>
      <c r="D72" s="514">
        <f t="shared" si="6"/>
        <v>27521859</v>
      </c>
      <c r="E72" s="514">
        <f t="shared" si="7"/>
        <v>12068366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2713605</v>
      </c>
      <c r="D73" s="514">
        <f t="shared" si="6"/>
        <v>0</v>
      </c>
      <c r="E73" s="514">
        <f t="shared" si="7"/>
        <v>-2713605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849793</v>
      </c>
      <c r="D74" s="514">
        <f t="shared" si="6"/>
        <v>633653</v>
      </c>
      <c r="E74" s="514">
        <f t="shared" si="7"/>
        <v>-216140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4529416</v>
      </c>
      <c r="D75" s="514">
        <f t="shared" si="6"/>
        <v>6557339</v>
      </c>
      <c r="E75" s="514">
        <f t="shared" si="7"/>
        <v>2027923</v>
      </c>
    </row>
    <row r="76" spans="1:5" s="506" customFormat="1" x14ac:dyDescent="0.2">
      <c r="A76" s="512"/>
      <c r="B76" s="516" t="s">
        <v>767</v>
      </c>
      <c r="C76" s="517">
        <f>SUM(C70+C71+C74)</f>
        <v>134984882</v>
      </c>
      <c r="D76" s="517">
        <f>SUM(D70+D71+D74)</f>
        <v>140716433</v>
      </c>
      <c r="E76" s="517">
        <f t="shared" si="7"/>
        <v>5731551</v>
      </c>
    </row>
    <row r="77" spans="1:5" s="506" customFormat="1" x14ac:dyDescent="0.2">
      <c r="A77" s="512"/>
      <c r="B77" s="516" t="s">
        <v>701</v>
      </c>
      <c r="C77" s="517">
        <f>SUM(C69+C76)</f>
        <v>305853711</v>
      </c>
      <c r="D77" s="517">
        <f>SUM(D69+D76)</f>
        <v>322218061</v>
      </c>
      <c r="E77" s="517">
        <f t="shared" si="7"/>
        <v>16364350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0.13941244908833375</v>
      </c>
      <c r="D83" s="523">
        <f t="shared" si="8"/>
        <v>0.1339250187513768</v>
      </c>
      <c r="E83" s="523">
        <f t="shared" ref="E83:E91" si="9">D83-C83</f>
        <v>-5.4874303369569499E-3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0.25113503145105953</v>
      </c>
      <c r="D84" s="523">
        <f t="shared" si="8"/>
        <v>0.25362517584244099</v>
      </c>
      <c r="E84" s="523">
        <f t="shared" si="9"/>
        <v>2.4901443913814547E-3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3.8887606393319743E-2</v>
      </c>
      <c r="D85" s="523">
        <f t="shared" si="8"/>
        <v>5.0955824689830669E-2</v>
      </c>
      <c r="E85" s="523">
        <f t="shared" si="9"/>
        <v>1.2068218296510926E-2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2.9144717132591924E-2</v>
      </c>
      <c r="D86" s="523">
        <f t="shared" si="8"/>
        <v>4.2483225051400023E-2</v>
      </c>
      <c r="E86" s="523">
        <f t="shared" si="9"/>
        <v>1.3338507918808098E-2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9.7428892607278189E-3</v>
      </c>
      <c r="D87" s="523">
        <f t="shared" si="8"/>
        <v>8.472599638430646E-3</v>
      </c>
      <c r="E87" s="523">
        <f t="shared" si="9"/>
        <v>-1.270289622297173E-3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8.5496072197771599E-4</v>
      </c>
      <c r="D88" s="523">
        <f t="shared" si="8"/>
        <v>9.7637875000847554E-4</v>
      </c>
      <c r="E88" s="523">
        <f t="shared" si="9"/>
        <v>1.2141802803075955E-4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1.1291146462822471E-2</v>
      </c>
      <c r="D89" s="523">
        <f t="shared" si="8"/>
        <v>7.6463014017777052E-3</v>
      </c>
      <c r="E89" s="523">
        <f t="shared" si="9"/>
        <v>-3.6448450610447663E-3</v>
      </c>
    </row>
    <row r="90" spans="1:5" s="506" customFormat="1" x14ac:dyDescent="0.2">
      <c r="A90" s="512"/>
      <c r="B90" s="516" t="s">
        <v>770</v>
      </c>
      <c r="C90" s="524">
        <f>SUM(C84+C85+C88)</f>
        <v>0.29087759856635698</v>
      </c>
      <c r="D90" s="524">
        <f>SUM(D84+D85+D88)</f>
        <v>0.30555737928228016</v>
      </c>
      <c r="E90" s="525">
        <f t="shared" si="9"/>
        <v>1.4679780715923185E-2</v>
      </c>
    </row>
    <row r="91" spans="1:5" s="506" customFormat="1" x14ac:dyDescent="0.2">
      <c r="A91" s="512"/>
      <c r="B91" s="516" t="s">
        <v>771</v>
      </c>
      <c r="C91" s="524">
        <f>SUM(C83+C90)</f>
        <v>0.4302900476546907</v>
      </c>
      <c r="D91" s="524">
        <f>SUM(D83+D90)</f>
        <v>0.43948239803365696</v>
      </c>
      <c r="E91" s="525">
        <f t="shared" si="9"/>
        <v>9.1923503789662631E-3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0.30999521798000712</v>
      </c>
      <c r="D95" s="523">
        <f t="shared" si="10"/>
        <v>0.29440350642962082</v>
      </c>
      <c r="E95" s="523">
        <f t="shared" ref="E95:E103" si="11">D95-C95</f>
        <v>-1.55917115503863E-2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0.19428322825118177</v>
      </c>
      <c r="D96" s="523">
        <f t="shared" si="10"/>
        <v>0.19115245586203009</v>
      </c>
      <c r="E96" s="523">
        <f t="shared" si="11"/>
        <v>-3.130772389151687E-3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6.3459661388123118E-2</v>
      </c>
      <c r="D97" s="523">
        <f t="shared" si="10"/>
        <v>7.2916162845614793E-2</v>
      </c>
      <c r="E97" s="523">
        <f t="shared" si="11"/>
        <v>9.4565014574916756E-3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4.7321604455549317E-2</v>
      </c>
      <c r="D98" s="523">
        <f t="shared" si="10"/>
        <v>6.3028104327191276E-2</v>
      </c>
      <c r="E98" s="523">
        <f t="shared" si="11"/>
        <v>1.5706499871641959E-2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1.6138056932573801E-2</v>
      </c>
      <c r="D99" s="523">
        <f t="shared" si="10"/>
        <v>9.8880585184235106E-3</v>
      </c>
      <c r="E99" s="523">
        <f t="shared" si="11"/>
        <v>-6.2499984141502901E-3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1.9718447259972106E-3</v>
      </c>
      <c r="D100" s="523">
        <f t="shared" si="10"/>
        <v>2.0454768290773563E-3</v>
      </c>
      <c r="E100" s="523">
        <f t="shared" si="11"/>
        <v>7.3632103080145672E-5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1.8292460988904132E-2</v>
      </c>
      <c r="D101" s="523">
        <f t="shared" si="10"/>
        <v>1.5021489583753945E-2</v>
      </c>
      <c r="E101" s="523">
        <f t="shared" si="11"/>
        <v>-3.270971405150187E-3</v>
      </c>
    </row>
    <row r="102" spans="1:5" s="506" customFormat="1" x14ac:dyDescent="0.2">
      <c r="A102" s="512"/>
      <c r="B102" s="516" t="s">
        <v>773</v>
      </c>
      <c r="C102" s="524">
        <f>SUM(C96+C97+C100)</f>
        <v>0.25971473436530212</v>
      </c>
      <c r="D102" s="524">
        <f>SUM(D96+D97+D100)</f>
        <v>0.26611409553672222</v>
      </c>
      <c r="E102" s="525">
        <f t="shared" si="11"/>
        <v>6.3993611714200926E-3</v>
      </c>
    </row>
    <row r="103" spans="1:5" s="506" customFormat="1" x14ac:dyDescent="0.2">
      <c r="A103" s="512"/>
      <c r="B103" s="516" t="s">
        <v>774</v>
      </c>
      <c r="C103" s="524">
        <f>SUM(C95+C102)</f>
        <v>0.5697099523453093</v>
      </c>
      <c r="D103" s="524">
        <f>SUM(D95+D102)</f>
        <v>0.56051760196634304</v>
      </c>
      <c r="E103" s="525">
        <f t="shared" si="11"/>
        <v>-9.1923503789662631E-3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0.16730320463563053</v>
      </c>
      <c r="D109" s="523">
        <f t="shared" si="12"/>
        <v>0.17911308205656418</v>
      </c>
      <c r="E109" s="523">
        <f t="shared" ref="E109:E117" si="13">D109-C109</f>
        <v>1.1809877420933645E-2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0.22729589833225858</v>
      </c>
      <c r="D110" s="523">
        <f t="shared" si="12"/>
        <v>0.21199793328779296</v>
      </c>
      <c r="E110" s="523">
        <f t="shared" si="13"/>
        <v>-1.5297965044465622E-2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2.4578413567131772E-2</v>
      </c>
      <c r="D111" s="523">
        <f t="shared" si="12"/>
        <v>3.096673715009414E-2</v>
      </c>
      <c r="E111" s="523">
        <f t="shared" si="13"/>
        <v>6.3883235829623672E-3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2.2062661845551387E-2</v>
      </c>
      <c r="D112" s="523">
        <f t="shared" si="12"/>
        <v>3.096673715009414E-2</v>
      </c>
      <c r="E112" s="523">
        <f t="shared" si="13"/>
        <v>8.904075304542753E-3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2.5157517215803867E-3</v>
      </c>
      <c r="D113" s="523">
        <f t="shared" si="12"/>
        <v>0</v>
      </c>
      <c r="E113" s="523">
        <f t="shared" si="13"/>
        <v>-2.5157517215803867E-3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6.5368505533679796E-4</v>
      </c>
      <c r="D114" s="523">
        <f t="shared" si="12"/>
        <v>6.0810992218092951E-4</v>
      </c>
      <c r="E114" s="523">
        <f t="shared" si="13"/>
        <v>-4.5575133155868449E-5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2.6557598315359331E-3</v>
      </c>
      <c r="D115" s="523">
        <f t="shared" si="12"/>
        <v>6.6864563498195712E-3</v>
      </c>
      <c r="E115" s="523">
        <f t="shared" si="13"/>
        <v>4.0306965182836385E-3</v>
      </c>
    </row>
    <row r="116" spans="1:5" s="506" customFormat="1" x14ac:dyDescent="0.2">
      <c r="A116" s="512"/>
      <c r="B116" s="516" t="s">
        <v>770</v>
      </c>
      <c r="C116" s="524">
        <f>SUM(C110+C111+C114)</f>
        <v>0.25252799695472716</v>
      </c>
      <c r="D116" s="524">
        <f>SUM(D110+D111+D114)</f>
        <v>0.24357278036006805</v>
      </c>
      <c r="E116" s="525">
        <f t="shared" si="13"/>
        <v>-8.9552165946591156E-3</v>
      </c>
    </row>
    <row r="117" spans="1:5" s="506" customFormat="1" x14ac:dyDescent="0.2">
      <c r="A117" s="512"/>
      <c r="B117" s="516" t="s">
        <v>771</v>
      </c>
      <c r="C117" s="524">
        <f>SUM(C109+C116)</f>
        <v>0.41983120159035769</v>
      </c>
      <c r="D117" s="524">
        <f>SUM(D109+D116)</f>
        <v>0.4226858624166322</v>
      </c>
      <c r="E117" s="525">
        <f t="shared" si="13"/>
        <v>2.8546608262745021E-3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0.39135874012658295</v>
      </c>
      <c r="D121" s="523">
        <f t="shared" si="14"/>
        <v>0.38417510680756034</v>
      </c>
      <c r="E121" s="523">
        <f t="shared" ref="E121:E129" si="15">D121-C121</f>
        <v>-7.1836333190226087E-3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0.15186572969193105</v>
      </c>
      <c r="D122" s="523">
        <f t="shared" si="14"/>
        <v>0.13733357423437539</v>
      </c>
      <c r="E122" s="523">
        <f t="shared" si="15"/>
        <v>-1.4532155457555651E-2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3.4819584059256357E-2</v>
      </c>
      <c r="D123" s="523">
        <f t="shared" si="14"/>
        <v>5.4447031757167703E-2</v>
      </c>
      <c r="E123" s="523">
        <f t="shared" si="15"/>
        <v>1.9627447697911346E-2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2.8463104049111898E-2</v>
      </c>
      <c r="D124" s="523">
        <f t="shared" si="14"/>
        <v>5.4447031757167703E-2</v>
      </c>
      <c r="E124" s="523">
        <f t="shared" si="15"/>
        <v>2.5983927708055805E-2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6.3564800101444576E-3</v>
      </c>
      <c r="D125" s="523">
        <f t="shared" si="14"/>
        <v>0</v>
      </c>
      <c r="E125" s="523">
        <f t="shared" si="15"/>
        <v>-6.3564800101444576E-3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2.1247445318719705E-3</v>
      </c>
      <c r="D126" s="523">
        <f t="shared" si="14"/>
        <v>1.3584247842643434E-3</v>
      </c>
      <c r="E126" s="523">
        <f t="shared" si="15"/>
        <v>-7.6631974760762718E-4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1.2153333003044714E-2</v>
      </c>
      <c r="D127" s="523">
        <f t="shared" si="14"/>
        <v>1.3664168874754665E-2</v>
      </c>
      <c r="E127" s="523">
        <f t="shared" si="15"/>
        <v>1.5108358717099511E-3</v>
      </c>
    </row>
    <row r="128" spans="1:5" s="506" customFormat="1" x14ac:dyDescent="0.2">
      <c r="A128" s="512"/>
      <c r="B128" s="516" t="s">
        <v>773</v>
      </c>
      <c r="C128" s="524">
        <f>SUM(C122+C123+C126)</f>
        <v>0.18881005828305938</v>
      </c>
      <c r="D128" s="524">
        <f>SUM(D122+D123+D126)</f>
        <v>0.19313903077580744</v>
      </c>
      <c r="E128" s="525">
        <f t="shared" si="15"/>
        <v>4.3289724927480511E-3</v>
      </c>
    </row>
    <row r="129" spans="1:5" s="506" customFormat="1" x14ac:dyDescent="0.2">
      <c r="A129" s="512"/>
      <c r="B129" s="516" t="s">
        <v>774</v>
      </c>
      <c r="C129" s="524">
        <f>SUM(C121+C128)</f>
        <v>0.58016879840964231</v>
      </c>
      <c r="D129" s="524">
        <f>SUM(D121+D128)</f>
        <v>0.5773141375833678</v>
      </c>
      <c r="E129" s="525">
        <f t="shared" si="15"/>
        <v>-2.8546608262745021E-3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4892</v>
      </c>
      <c r="D137" s="530">
        <v>4717</v>
      </c>
      <c r="E137" s="531">
        <f t="shared" ref="E137:E145" si="16">D137-C137</f>
        <v>-175</v>
      </c>
    </row>
    <row r="138" spans="1:5" s="506" customFormat="1" x14ac:dyDescent="0.2">
      <c r="A138" s="512">
        <v>2</v>
      </c>
      <c r="B138" s="511" t="s">
        <v>605</v>
      </c>
      <c r="C138" s="530">
        <v>7401</v>
      </c>
      <c r="D138" s="530">
        <v>7204</v>
      </c>
      <c r="E138" s="531">
        <f t="shared" si="16"/>
        <v>-197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1635</v>
      </c>
      <c r="D139" s="530">
        <f>D140+D141</f>
        <v>1954</v>
      </c>
      <c r="E139" s="531">
        <f t="shared" si="16"/>
        <v>319</v>
      </c>
    </row>
    <row r="140" spans="1:5" s="506" customFormat="1" x14ac:dyDescent="0.2">
      <c r="A140" s="512">
        <v>4</v>
      </c>
      <c r="B140" s="511" t="s">
        <v>114</v>
      </c>
      <c r="C140" s="530">
        <v>1313</v>
      </c>
      <c r="D140" s="530">
        <v>1665</v>
      </c>
      <c r="E140" s="531">
        <f t="shared" si="16"/>
        <v>352</v>
      </c>
    </row>
    <row r="141" spans="1:5" s="506" customFormat="1" x14ac:dyDescent="0.2">
      <c r="A141" s="512">
        <v>5</v>
      </c>
      <c r="B141" s="511" t="s">
        <v>718</v>
      </c>
      <c r="C141" s="530">
        <v>322</v>
      </c>
      <c r="D141" s="530">
        <v>289</v>
      </c>
      <c r="E141" s="531">
        <f t="shared" si="16"/>
        <v>-33</v>
      </c>
    </row>
    <row r="142" spans="1:5" s="506" customFormat="1" x14ac:dyDescent="0.2">
      <c r="A142" s="512">
        <v>6</v>
      </c>
      <c r="B142" s="511" t="s">
        <v>418</v>
      </c>
      <c r="C142" s="530">
        <v>36</v>
      </c>
      <c r="D142" s="530">
        <v>43</v>
      </c>
      <c r="E142" s="531">
        <f t="shared" si="16"/>
        <v>7</v>
      </c>
    </row>
    <row r="143" spans="1:5" s="506" customFormat="1" x14ac:dyDescent="0.2">
      <c r="A143" s="512">
        <v>7</v>
      </c>
      <c r="B143" s="511" t="s">
        <v>733</v>
      </c>
      <c r="C143" s="530">
        <v>350</v>
      </c>
      <c r="D143" s="530">
        <v>242</v>
      </c>
      <c r="E143" s="531">
        <f t="shared" si="16"/>
        <v>-108</v>
      </c>
    </row>
    <row r="144" spans="1:5" s="506" customFormat="1" x14ac:dyDescent="0.2">
      <c r="A144" s="512"/>
      <c r="B144" s="516" t="s">
        <v>781</v>
      </c>
      <c r="C144" s="532">
        <f>SUM(C138+C139+C142)</f>
        <v>9072</v>
      </c>
      <c r="D144" s="532">
        <f>SUM(D138+D139+D142)</f>
        <v>9201</v>
      </c>
      <c r="E144" s="533">
        <f t="shared" si="16"/>
        <v>129</v>
      </c>
    </row>
    <row r="145" spans="1:5" s="506" customFormat="1" x14ac:dyDescent="0.2">
      <c r="A145" s="512"/>
      <c r="B145" s="516" t="s">
        <v>695</v>
      </c>
      <c r="C145" s="532">
        <f>SUM(C137+C144)</f>
        <v>13964</v>
      </c>
      <c r="D145" s="532">
        <f>SUM(D137+D144)</f>
        <v>13918</v>
      </c>
      <c r="E145" s="533">
        <f t="shared" si="16"/>
        <v>-46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16822</v>
      </c>
      <c r="D149" s="534">
        <v>15959</v>
      </c>
      <c r="E149" s="531">
        <f t="shared" ref="E149:E157" si="17">D149-C149</f>
        <v>-863</v>
      </c>
    </row>
    <row r="150" spans="1:5" s="506" customFormat="1" x14ac:dyDescent="0.2">
      <c r="A150" s="512">
        <v>2</v>
      </c>
      <c r="B150" s="511" t="s">
        <v>605</v>
      </c>
      <c r="C150" s="534">
        <v>34147</v>
      </c>
      <c r="D150" s="534">
        <v>33550</v>
      </c>
      <c r="E150" s="531">
        <f t="shared" si="17"/>
        <v>-597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6533</v>
      </c>
      <c r="D151" s="534">
        <f>D152+D153</f>
        <v>8177</v>
      </c>
      <c r="E151" s="531">
        <f t="shared" si="17"/>
        <v>1644</v>
      </c>
    </row>
    <row r="152" spans="1:5" s="506" customFormat="1" x14ac:dyDescent="0.2">
      <c r="A152" s="512">
        <v>4</v>
      </c>
      <c r="B152" s="511" t="s">
        <v>114</v>
      </c>
      <c r="C152" s="534">
        <v>4969</v>
      </c>
      <c r="D152" s="534">
        <v>6568</v>
      </c>
      <c r="E152" s="531">
        <f t="shared" si="17"/>
        <v>1599</v>
      </c>
    </row>
    <row r="153" spans="1:5" s="506" customFormat="1" x14ac:dyDescent="0.2">
      <c r="A153" s="512">
        <v>5</v>
      </c>
      <c r="B153" s="511" t="s">
        <v>718</v>
      </c>
      <c r="C153" s="535">
        <v>1564</v>
      </c>
      <c r="D153" s="534">
        <v>1609</v>
      </c>
      <c r="E153" s="531">
        <f t="shared" si="17"/>
        <v>45</v>
      </c>
    </row>
    <row r="154" spans="1:5" s="506" customFormat="1" x14ac:dyDescent="0.2">
      <c r="A154" s="512">
        <v>6</v>
      </c>
      <c r="B154" s="511" t="s">
        <v>418</v>
      </c>
      <c r="C154" s="534">
        <v>126</v>
      </c>
      <c r="D154" s="534">
        <v>143</v>
      </c>
      <c r="E154" s="531">
        <f t="shared" si="17"/>
        <v>17</v>
      </c>
    </row>
    <row r="155" spans="1:5" s="506" customFormat="1" x14ac:dyDescent="0.2">
      <c r="A155" s="512">
        <v>7</v>
      </c>
      <c r="B155" s="511" t="s">
        <v>733</v>
      </c>
      <c r="C155" s="534">
        <v>1768</v>
      </c>
      <c r="D155" s="534">
        <v>1126</v>
      </c>
      <c r="E155" s="531">
        <f t="shared" si="17"/>
        <v>-642</v>
      </c>
    </row>
    <row r="156" spans="1:5" s="506" customFormat="1" x14ac:dyDescent="0.2">
      <c r="A156" s="512"/>
      <c r="B156" s="516" t="s">
        <v>782</v>
      </c>
      <c r="C156" s="532">
        <f>SUM(C150+C151+C154)</f>
        <v>40806</v>
      </c>
      <c r="D156" s="532">
        <f>SUM(D150+D151+D154)</f>
        <v>41870</v>
      </c>
      <c r="E156" s="533">
        <f t="shared" si="17"/>
        <v>1064</v>
      </c>
    </row>
    <row r="157" spans="1:5" s="506" customFormat="1" x14ac:dyDescent="0.2">
      <c r="A157" s="512"/>
      <c r="B157" s="516" t="s">
        <v>783</v>
      </c>
      <c r="C157" s="532">
        <f>SUM(C149+C156)</f>
        <v>57628</v>
      </c>
      <c r="D157" s="532">
        <f>SUM(D149+D156)</f>
        <v>57829</v>
      </c>
      <c r="E157" s="533">
        <f t="shared" si="17"/>
        <v>201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3.4386753883892069</v>
      </c>
      <c r="D161" s="536">
        <f t="shared" si="18"/>
        <v>3.3832944668221328</v>
      </c>
      <c r="E161" s="537">
        <f t="shared" ref="E161:E169" si="19">D161-C161</f>
        <v>-5.5380921567074193E-2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4.6138359681124168</v>
      </c>
      <c r="D162" s="536">
        <f t="shared" si="18"/>
        <v>4.6571349250416434</v>
      </c>
      <c r="E162" s="537">
        <f t="shared" si="19"/>
        <v>4.3298956929226584E-2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3.9957186544342509</v>
      </c>
      <c r="D163" s="536">
        <f t="shared" si="18"/>
        <v>4.1847492323439095</v>
      </c>
      <c r="E163" s="537">
        <f t="shared" si="19"/>
        <v>0.1890305779096586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3.7844630616907846</v>
      </c>
      <c r="D164" s="536">
        <f t="shared" si="18"/>
        <v>3.9447447447447446</v>
      </c>
      <c r="E164" s="537">
        <f t="shared" si="19"/>
        <v>0.16028168305395996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4.8571428571428568</v>
      </c>
      <c r="D165" s="536">
        <f t="shared" si="18"/>
        <v>5.5674740484429064</v>
      </c>
      <c r="E165" s="537">
        <f t="shared" si="19"/>
        <v>0.71033119130004962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3.5</v>
      </c>
      <c r="D166" s="536">
        <f t="shared" si="18"/>
        <v>3.3255813953488373</v>
      </c>
      <c r="E166" s="537">
        <f t="shared" si="19"/>
        <v>-0.17441860465116266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5.0514285714285716</v>
      </c>
      <c r="D167" s="536">
        <f t="shared" si="18"/>
        <v>4.6528925619834709</v>
      </c>
      <c r="E167" s="537">
        <f t="shared" si="19"/>
        <v>-0.3985360094451007</v>
      </c>
    </row>
    <row r="168" spans="1:5" s="506" customFormat="1" x14ac:dyDescent="0.2">
      <c r="A168" s="512"/>
      <c r="B168" s="516" t="s">
        <v>785</v>
      </c>
      <c r="C168" s="538">
        <f t="shared" si="18"/>
        <v>4.4980158730158726</v>
      </c>
      <c r="D168" s="538">
        <f t="shared" si="18"/>
        <v>4.5505923269209871</v>
      </c>
      <c r="E168" s="539">
        <f t="shared" si="19"/>
        <v>5.2576453905114562E-2</v>
      </c>
    </row>
    <row r="169" spans="1:5" s="506" customFormat="1" x14ac:dyDescent="0.2">
      <c r="A169" s="512"/>
      <c r="B169" s="516" t="s">
        <v>719</v>
      </c>
      <c r="C169" s="538">
        <f t="shared" si="18"/>
        <v>4.1268977370380977</v>
      </c>
      <c r="D169" s="538">
        <f t="shared" si="18"/>
        <v>4.1549791636729418</v>
      </c>
      <c r="E169" s="539">
        <f t="shared" si="19"/>
        <v>2.8081426634844142E-2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1.0563899999999999</v>
      </c>
      <c r="D173" s="541">
        <f t="shared" si="20"/>
        <v>1.06819</v>
      </c>
      <c r="E173" s="542">
        <f t="shared" ref="E173:E181" si="21">D173-C173</f>
        <v>1.1800000000000033E-2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1.3290299999999999</v>
      </c>
      <c r="D174" s="541">
        <f t="shared" si="20"/>
        <v>1.3468100000000001</v>
      </c>
      <c r="E174" s="542">
        <f t="shared" si="21"/>
        <v>1.7780000000000129E-2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0.87196729663608563</v>
      </c>
      <c r="D175" s="541">
        <f t="shared" si="20"/>
        <v>0.87055280962128967</v>
      </c>
      <c r="E175" s="542">
        <f t="shared" si="21"/>
        <v>-1.4144870147959621E-3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0.84101000000000004</v>
      </c>
      <c r="D176" s="541">
        <f t="shared" si="20"/>
        <v>0.83089000000000002</v>
      </c>
      <c r="E176" s="542">
        <f t="shared" si="21"/>
        <v>-1.0120000000000018E-2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0.99819999999999987</v>
      </c>
      <c r="D177" s="541">
        <f t="shared" si="20"/>
        <v>1.0990599999999999</v>
      </c>
      <c r="E177" s="542">
        <f t="shared" si="21"/>
        <v>0.10086000000000006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0.97051000000000009</v>
      </c>
      <c r="D178" s="541">
        <f t="shared" si="20"/>
        <v>0.81688000000000005</v>
      </c>
      <c r="E178" s="542">
        <f t="shared" si="21"/>
        <v>-0.15363000000000004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1.0072399999999999</v>
      </c>
      <c r="D179" s="541">
        <f t="shared" si="20"/>
        <v>1.0543800000000001</v>
      </c>
      <c r="E179" s="542">
        <f t="shared" si="21"/>
        <v>4.7140000000000182E-2</v>
      </c>
    </row>
    <row r="180" spans="1:5" s="506" customFormat="1" x14ac:dyDescent="0.2">
      <c r="A180" s="512"/>
      <c r="B180" s="516" t="s">
        <v>787</v>
      </c>
      <c r="C180" s="543">
        <f t="shared" si="20"/>
        <v>1.2452332363315697</v>
      </c>
      <c r="D180" s="543">
        <f t="shared" si="20"/>
        <v>1.2431915302684493</v>
      </c>
      <c r="E180" s="544">
        <f t="shared" si="21"/>
        <v>-2.0417060631203743E-3</v>
      </c>
    </row>
    <row r="181" spans="1:5" s="506" customFormat="1" x14ac:dyDescent="0.2">
      <c r="A181" s="512"/>
      <c r="B181" s="516" t="s">
        <v>696</v>
      </c>
      <c r="C181" s="543">
        <f t="shared" si="20"/>
        <v>1.1790758951589801</v>
      </c>
      <c r="D181" s="543">
        <f t="shared" si="20"/>
        <v>1.1838811251616612</v>
      </c>
      <c r="E181" s="544">
        <f t="shared" si="21"/>
        <v>4.8052300026810713E-3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789</v>
      </c>
      <c r="C185" s="513">
        <v>348525471</v>
      </c>
      <c r="D185" s="513">
        <v>363815764</v>
      </c>
      <c r="E185" s="514">
        <f>D185-C185</f>
        <v>15290293</v>
      </c>
    </row>
    <row r="186" spans="1:5" s="506" customFormat="1" ht="25.5" x14ac:dyDescent="0.2">
      <c r="A186" s="512">
        <v>2</v>
      </c>
      <c r="B186" s="511" t="s">
        <v>790</v>
      </c>
      <c r="C186" s="513">
        <v>179147745</v>
      </c>
      <c r="D186" s="513">
        <v>182105996</v>
      </c>
      <c r="E186" s="514">
        <f>D186-C186</f>
        <v>2958251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169377726</v>
      </c>
      <c r="D188" s="546">
        <f>+D185-D186</f>
        <v>181709768</v>
      </c>
      <c r="E188" s="514">
        <f t="shared" ref="E188:E197" si="22">D188-C188</f>
        <v>12332042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0.48598378050825447</v>
      </c>
      <c r="D189" s="547">
        <f>IF(D185=0,0,+D188/D185)</f>
        <v>0.49945545515174544</v>
      </c>
      <c r="E189" s="523">
        <f t="shared" si="22"/>
        <v>1.3471674643490972E-2</v>
      </c>
    </row>
    <row r="190" spans="1:5" s="506" customFormat="1" x14ac:dyDescent="0.2">
      <c r="A190" s="512">
        <v>5</v>
      </c>
      <c r="B190" s="511" t="s">
        <v>737</v>
      </c>
      <c r="C190" s="513">
        <v>16618413</v>
      </c>
      <c r="D190" s="513">
        <v>20675399</v>
      </c>
      <c r="E190" s="546">
        <f t="shared" si="22"/>
        <v>4056986</v>
      </c>
    </row>
    <row r="191" spans="1:5" s="506" customFormat="1" x14ac:dyDescent="0.2">
      <c r="A191" s="512">
        <v>6</v>
      </c>
      <c r="B191" s="511" t="s">
        <v>723</v>
      </c>
      <c r="C191" s="513">
        <v>11178347</v>
      </c>
      <c r="D191" s="513">
        <v>14229964</v>
      </c>
      <c r="E191" s="546">
        <f t="shared" si="22"/>
        <v>3051617</v>
      </c>
    </row>
    <row r="192" spans="1:5" ht="29.25" x14ac:dyDescent="0.2">
      <c r="A192" s="512">
        <v>7</v>
      </c>
      <c r="B192" s="548" t="s">
        <v>791</v>
      </c>
      <c r="C192" s="513">
        <v>1670015</v>
      </c>
      <c r="D192" s="513">
        <v>1608918</v>
      </c>
      <c r="E192" s="546">
        <f t="shared" si="22"/>
        <v>-61097</v>
      </c>
    </row>
    <row r="193" spans="1:5" s="506" customFormat="1" x14ac:dyDescent="0.2">
      <c r="A193" s="512">
        <v>8</v>
      </c>
      <c r="B193" s="511" t="s">
        <v>792</v>
      </c>
      <c r="C193" s="513">
        <v>7535167</v>
      </c>
      <c r="D193" s="513">
        <v>9520361</v>
      </c>
      <c r="E193" s="546">
        <f t="shared" si="22"/>
        <v>1985194</v>
      </c>
    </row>
    <row r="194" spans="1:5" s="506" customFormat="1" x14ac:dyDescent="0.2">
      <c r="A194" s="512">
        <v>9</v>
      </c>
      <c r="B194" s="511" t="s">
        <v>793</v>
      </c>
      <c r="C194" s="513">
        <v>17055645</v>
      </c>
      <c r="D194" s="513">
        <v>11858436</v>
      </c>
      <c r="E194" s="546">
        <f t="shared" si="22"/>
        <v>-5197209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24590812</v>
      </c>
      <c r="D195" s="513">
        <f>+D193+D194</f>
        <v>21378797</v>
      </c>
      <c r="E195" s="549">
        <f t="shared" si="22"/>
        <v>-3212015</v>
      </c>
    </row>
    <row r="196" spans="1:5" s="506" customFormat="1" x14ac:dyDescent="0.2">
      <c r="A196" s="512">
        <v>11</v>
      </c>
      <c r="B196" s="511" t="s">
        <v>795</v>
      </c>
      <c r="C196" s="513">
        <v>348525471</v>
      </c>
      <c r="D196" s="513">
        <v>363815764</v>
      </c>
      <c r="E196" s="546">
        <f t="shared" si="22"/>
        <v>15290293</v>
      </c>
    </row>
    <row r="197" spans="1:5" s="506" customFormat="1" x14ac:dyDescent="0.2">
      <c r="A197" s="512">
        <v>12</v>
      </c>
      <c r="B197" s="511" t="s">
        <v>680</v>
      </c>
      <c r="C197" s="513">
        <v>305762315</v>
      </c>
      <c r="D197" s="513">
        <v>312521510</v>
      </c>
      <c r="E197" s="546">
        <f t="shared" si="22"/>
        <v>6759195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5167.85988</v>
      </c>
      <c r="D203" s="553">
        <v>5038.6522299999997</v>
      </c>
      <c r="E203" s="554">
        <f t="shared" ref="E203:E211" si="23">D203-C203</f>
        <v>-129.20765000000029</v>
      </c>
    </row>
    <row r="204" spans="1:5" s="506" customFormat="1" x14ac:dyDescent="0.2">
      <c r="A204" s="512">
        <v>2</v>
      </c>
      <c r="B204" s="511" t="s">
        <v>605</v>
      </c>
      <c r="C204" s="553">
        <v>9836.1510299999991</v>
      </c>
      <c r="D204" s="553">
        <v>9702.4192400000011</v>
      </c>
      <c r="E204" s="554">
        <f t="shared" si="23"/>
        <v>-133.731789999998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1425.66653</v>
      </c>
      <c r="D205" s="553">
        <f>D206+D207</f>
        <v>1701.0601899999999</v>
      </c>
      <c r="E205" s="554">
        <f t="shared" si="23"/>
        <v>275.39365999999995</v>
      </c>
    </row>
    <row r="206" spans="1:5" s="506" customFormat="1" x14ac:dyDescent="0.2">
      <c r="A206" s="512">
        <v>4</v>
      </c>
      <c r="B206" s="511" t="s">
        <v>114</v>
      </c>
      <c r="C206" s="553">
        <v>1104.24613</v>
      </c>
      <c r="D206" s="553">
        <v>1383.4318499999999</v>
      </c>
      <c r="E206" s="554">
        <f t="shared" si="23"/>
        <v>279.18571999999995</v>
      </c>
    </row>
    <row r="207" spans="1:5" s="506" customFormat="1" x14ac:dyDescent="0.2">
      <c r="A207" s="512">
        <v>5</v>
      </c>
      <c r="B207" s="511" t="s">
        <v>718</v>
      </c>
      <c r="C207" s="553">
        <v>321.42039999999997</v>
      </c>
      <c r="D207" s="553">
        <v>317.62833999999998</v>
      </c>
      <c r="E207" s="554">
        <f t="shared" si="23"/>
        <v>-3.7920599999999922</v>
      </c>
    </row>
    <row r="208" spans="1:5" s="506" customFormat="1" x14ac:dyDescent="0.2">
      <c r="A208" s="512">
        <v>6</v>
      </c>
      <c r="B208" s="511" t="s">
        <v>418</v>
      </c>
      <c r="C208" s="553">
        <v>34.938360000000003</v>
      </c>
      <c r="D208" s="553">
        <v>35.125840000000004</v>
      </c>
      <c r="E208" s="554">
        <f t="shared" si="23"/>
        <v>0.18748000000000076</v>
      </c>
    </row>
    <row r="209" spans="1:5" s="506" customFormat="1" x14ac:dyDescent="0.2">
      <c r="A209" s="512">
        <v>7</v>
      </c>
      <c r="B209" s="511" t="s">
        <v>733</v>
      </c>
      <c r="C209" s="553">
        <v>352.53399999999999</v>
      </c>
      <c r="D209" s="553">
        <v>255.15996000000001</v>
      </c>
      <c r="E209" s="554">
        <f t="shared" si="23"/>
        <v>-97.374039999999979</v>
      </c>
    </row>
    <row r="210" spans="1:5" s="506" customFormat="1" x14ac:dyDescent="0.2">
      <c r="A210" s="512"/>
      <c r="B210" s="516" t="s">
        <v>798</v>
      </c>
      <c r="C210" s="555">
        <f>C204+C205+C208</f>
        <v>11296.75592</v>
      </c>
      <c r="D210" s="555">
        <f>D204+D205+D208</f>
        <v>11438.605270000002</v>
      </c>
      <c r="E210" s="556">
        <f t="shared" si="23"/>
        <v>141.84935000000223</v>
      </c>
    </row>
    <row r="211" spans="1:5" s="506" customFormat="1" x14ac:dyDescent="0.2">
      <c r="A211" s="512"/>
      <c r="B211" s="516" t="s">
        <v>697</v>
      </c>
      <c r="C211" s="555">
        <f>C210+C203</f>
        <v>16464.6158</v>
      </c>
      <c r="D211" s="555">
        <f>D210+D203</f>
        <v>16477.2575</v>
      </c>
      <c r="E211" s="556">
        <f t="shared" si="23"/>
        <v>12.641700000000128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10877.770358924838</v>
      </c>
      <c r="D215" s="557">
        <f>IF(D14*D137=0,0,D25/D14*D137)</f>
        <v>10369.245065453799</v>
      </c>
      <c r="E215" s="557">
        <f t="shared" ref="E215:E223" si="24">D215-C215</f>
        <v>-508.52529347103882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5725.5658996630582</v>
      </c>
      <c r="D216" s="557">
        <f>IF(D15*D138=0,0,D26/D15*D138)</f>
        <v>5429.5173476214122</v>
      </c>
      <c r="E216" s="557">
        <f t="shared" si="24"/>
        <v>-296.04855204164596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2665.2464488807468</v>
      </c>
      <c r="D217" s="557">
        <f>D218+D219</f>
        <v>2807.4749123626025</v>
      </c>
      <c r="E217" s="557">
        <f t="shared" si="24"/>
        <v>142.22846348185567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2131.8877917896803</v>
      </c>
      <c r="D218" s="557">
        <f t="shared" si="25"/>
        <v>2470.1936723919966</v>
      </c>
      <c r="E218" s="557">
        <f t="shared" si="24"/>
        <v>338.30588060231639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533.35865709106668</v>
      </c>
      <c r="D219" s="557">
        <f t="shared" si="25"/>
        <v>337.28123997060584</v>
      </c>
      <c r="E219" s="557">
        <f t="shared" si="24"/>
        <v>-196.07741712046084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83.028855374422463</v>
      </c>
      <c r="D220" s="557">
        <f t="shared" si="25"/>
        <v>90.083385827029531</v>
      </c>
      <c r="E220" s="557">
        <f t="shared" si="24"/>
        <v>7.054530452607068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567.02491347508703</v>
      </c>
      <c r="D221" s="557">
        <f t="shared" si="25"/>
        <v>475.41945945569177</v>
      </c>
      <c r="E221" s="557">
        <f t="shared" si="24"/>
        <v>-91.605454019395268</v>
      </c>
    </row>
    <row r="222" spans="1:5" s="506" customFormat="1" x14ac:dyDescent="0.2">
      <c r="A222" s="512"/>
      <c r="B222" s="516" t="s">
        <v>800</v>
      </c>
      <c r="C222" s="558">
        <f>C216+C218+C219+C220</f>
        <v>8473.8412039182276</v>
      </c>
      <c r="D222" s="558">
        <f>D216+D218+D219+D220</f>
        <v>8327.0756458110427</v>
      </c>
      <c r="E222" s="558">
        <f t="shared" si="24"/>
        <v>-146.76555810718492</v>
      </c>
    </row>
    <row r="223" spans="1:5" s="506" customFormat="1" x14ac:dyDescent="0.2">
      <c r="A223" s="512"/>
      <c r="B223" s="516" t="s">
        <v>801</v>
      </c>
      <c r="C223" s="558">
        <f>C215+C222</f>
        <v>19351.611562843063</v>
      </c>
      <c r="D223" s="558">
        <f>D215+D222</f>
        <v>18696.320711264842</v>
      </c>
      <c r="E223" s="558">
        <f t="shared" si="24"/>
        <v>-655.29085157822192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9901.6434632898763</v>
      </c>
      <c r="D227" s="560">
        <f t="shared" si="26"/>
        <v>11454.148324898384</v>
      </c>
      <c r="E227" s="560">
        <f t="shared" ref="E227:E235" si="27">D227-C227</f>
        <v>1552.5048616085078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7067.7334851780952</v>
      </c>
      <c r="D228" s="560">
        <f t="shared" si="26"/>
        <v>7040.467053658258</v>
      </c>
      <c r="E228" s="560">
        <f t="shared" si="27"/>
        <v>-27.26643151983717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5272.9013705610387</v>
      </c>
      <c r="D229" s="560">
        <f t="shared" si="26"/>
        <v>5865.7783296897924</v>
      </c>
      <c r="E229" s="560">
        <f t="shared" si="27"/>
        <v>592.8769591287537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6110.908443935411</v>
      </c>
      <c r="D230" s="560">
        <f t="shared" si="26"/>
        <v>7212.5287559340204</v>
      </c>
      <c r="E230" s="560">
        <f t="shared" si="27"/>
        <v>1101.6203119986094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2393.9115252174411</v>
      </c>
      <c r="D231" s="560">
        <f t="shared" si="26"/>
        <v>0</v>
      </c>
      <c r="E231" s="560">
        <f t="shared" si="27"/>
        <v>-2393.9115252174411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5722.4208577620693</v>
      </c>
      <c r="D232" s="560">
        <f t="shared" si="26"/>
        <v>5578.3434645263997</v>
      </c>
      <c r="E232" s="560">
        <f t="shared" si="27"/>
        <v>-144.07739323566966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2304.1011647103542</v>
      </c>
      <c r="D233" s="560">
        <f t="shared" si="26"/>
        <v>8443.7111527999914</v>
      </c>
      <c r="E233" s="560">
        <f t="shared" si="27"/>
        <v>6139.6099880896372</v>
      </c>
    </row>
    <row r="234" spans="1:5" x14ac:dyDescent="0.2">
      <c r="A234" s="512"/>
      <c r="B234" s="516" t="s">
        <v>803</v>
      </c>
      <c r="C234" s="561">
        <f t="shared" si="26"/>
        <v>6837.0623873760742</v>
      </c>
      <c r="D234" s="561">
        <f t="shared" si="26"/>
        <v>6861.286594602454</v>
      </c>
      <c r="E234" s="561">
        <f t="shared" si="27"/>
        <v>24.224207226379804</v>
      </c>
    </row>
    <row r="235" spans="1:5" s="506" customFormat="1" x14ac:dyDescent="0.2">
      <c r="A235" s="512"/>
      <c r="B235" s="516" t="s">
        <v>804</v>
      </c>
      <c r="C235" s="561">
        <f t="shared" si="26"/>
        <v>7798.9630951485669</v>
      </c>
      <c r="D235" s="561">
        <f t="shared" si="26"/>
        <v>8265.7577573209619</v>
      </c>
      <c r="E235" s="561">
        <f t="shared" si="27"/>
        <v>466.79466217239496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11003.957525338956</v>
      </c>
      <c r="D239" s="560">
        <f t="shared" si="28"/>
        <v>11938.010647700179</v>
      </c>
      <c r="E239" s="562">
        <f t="shared" ref="E239:E247" si="29">D239-C239</f>
        <v>934.05312236122336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8112.5076217764681</v>
      </c>
      <c r="D240" s="560">
        <f t="shared" si="28"/>
        <v>8150.1457987579388</v>
      </c>
      <c r="E240" s="562">
        <f t="shared" si="29"/>
        <v>37.638176981470679</v>
      </c>
    </row>
    <row r="241" spans="1:5" x14ac:dyDescent="0.2">
      <c r="A241" s="512">
        <v>3</v>
      </c>
      <c r="B241" s="511" t="s">
        <v>751</v>
      </c>
      <c r="C241" s="560">
        <f t="shared" si="28"/>
        <v>3995.7651963000544</v>
      </c>
      <c r="D241" s="560">
        <f t="shared" si="28"/>
        <v>6248.9666150698304</v>
      </c>
      <c r="E241" s="562">
        <f t="shared" si="29"/>
        <v>2253.201418769776</v>
      </c>
    </row>
    <row r="242" spans="1:5" x14ac:dyDescent="0.2">
      <c r="A242" s="512">
        <v>4</v>
      </c>
      <c r="B242" s="511" t="s">
        <v>114</v>
      </c>
      <c r="C242" s="560">
        <f t="shared" si="28"/>
        <v>4083.4916516370008</v>
      </c>
      <c r="D242" s="560">
        <f t="shared" si="28"/>
        <v>7102.2030361739025</v>
      </c>
      <c r="E242" s="562">
        <f t="shared" si="29"/>
        <v>3018.7113845369017</v>
      </c>
    </row>
    <row r="243" spans="1:5" x14ac:dyDescent="0.2">
      <c r="A243" s="512">
        <v>5</v>
      </c>
      <c r="B243" s="511" t="s">
        <v>718</v>
      </c>
      <c r="C243" s="560">
        <f t="shared" si="28"/>
        <v>3645.113797539901</v>
      </c>
      <c r="D243" s="560">
        <f t="shared" si="28"/>
        <v>0</v>
      </c>
      <c r="E243" s="562">
        <f t="shared" si="29"/>
        <v>-3645.113797539901</v>
      </c>
    </row>
    <row r="244" spans="1:5" x14ac:dyDescent="0.2">
      <c r="A244" s="512">
        <v>6</v>
      </c>
      <c r="B244" s="511" t="s">
        <v>418</v>
      </c>
      <c r="C244" s="560">
        <f t="shared" si="28"/>
        <v>7826.9295303352283</v>
      </c>
      <c r="D244" s="560">
        <f t="shared" si="28"/>
        <v>4858.9314886593147</v>
      </c>
      <c r="E244" s="562">
        <f t="shared" si="29"/>
        <v>-2967.9980416759136</v>
      </c>
    </row>
    <row r="245" spans="1:5" x14ac:dyDescent="0.2">
      <c r="A245" s="512">
        <v>7</v>
      </c>
      <c r="B245" s="511" t="s">
        <v>733</v>
      </c>
      <c r="C245" s="560">
        <f t="shared" si="28"/>
        <v>6555.5179528514973</v>
      </c>
      <c r="D245" s="560">
        <f t="shared" si="28"/>
        <v>9260.9629505717294</v>
      </c>
      <c r="E245" s="562">
        <f t="shared" si="29"/>
        <v>2705.4449977202321</v>
      </c>
    </row>
    <row r="246" spans="1:5" ht="25.5" x14ac:dyDescent="0.2">
      <c r="A246" s="512"/>
      <c r="B246" s="516" t="s">
        <v>806</v>
      </c>
      <c r="C246" s="561">
        <f t="shared" si="28"/>
        <v>6814.8854351079563</v>
      </c>
      <c r="D246" s="561">
        <f t="shared" si="28"/>
        <v>7473.5581429846161</v>
      </c>
      <c r="E246" s="563">
        <f t="shared" si="29"/>
        <v>658.67270787665984</v>
      </c>
    </row>
    <row r="247" spans="1:5" x14ac:dyDescent="0.2">
      <c r="A247" s="512"/>
      <c r="B247" s="516" t="s">
        <v>807</v>
      </c>
      <c r="C247" s="561">
        <f t="shared" si="28"/>
        <v>9169.6125371136895</v>
      </c>
      <c r="D247" s="561">
        <f t="shared" si="28"/>
        <v>9949.6069238863274</v>
      </c>
      <c r="E247" s="563">
        <f t="shared" si="29"/>
        <v>779.99438677263788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8589409.9596659858</v>
      </c>
      <c r="D251" s="546">
        <f>((IF((IF(D15=0,0,D26/D15)*D138)=0,0,D59/(IF(D15=0,0,D26/D15)*D138)))-(IF((IF(D17=0,0,D28/D17)*D140)=0,0,D61/(IF(D17=0,0,D28/D17)*D140))))*(IF(D17=0,0,D28/D17)*D140)</f>
        <v>2588621.5811640746</v>
      </c>
      <c r="E251" s="546">
        <f>D251-C251</f>
        <v>-6000788.3785019107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3884984.894691078</v>
      </c>
      <c r="D252" s="546">
        <f>IF(D231=0,0,(D228-D231)*D207)+IF(D243=0,0,(D240-D243)*D219)</f>
        <v>0</v>
      </c>
      <c r="E252" s="546">
        <f>D252-C252</f>
        <v>-3884984.894691078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2562194.2887675604</v>
      </c>
      <c r="D253" s="546">
        <f>IF(D233=0,0,(D228-D233)*D209+IF(D221=0,0,(D240-D245)*D221))</f>
        <v>-886155.7980766641</v>
      </c>
      <c r="E253" s="546">
        <f>D253-C253</f>
        <v>-3448350.0868442245</v>
      </c>
    </row>
    <row r="254" spans="1:5" ht="15" customHeight="1" x14ac:dyDescent="0.2">
      <c r="A254" s="512"/>
      <c r="B254" s="516" t="s">
        <v>734</v>
      </c>
      <c r="C254" s="564">
        <f>+C251+C252+C253</f>
        <v>15036589.143124625</v>
      </c>
      <c r="D254" s="564">
        <f>+D251+D252+D253</f>
        <v>1702465.7830874105</v>
      </c>
      <c r="E254" s="564">
        <f>D254-C254</f>
        <v>-13334123.360037215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845270410</v>
      </c>
      <c r="D258" s="549">
        <f>+D44</f>
        <v>938143113</v>
      </c>
      <c r="E258" s="546">
        <f t="shared" ref="E258:E271" si="30">D258-C258</f>
        <v>92872703</v>
      </c>
    </row>
    <row r="259" spans="1:5" x14ac:dyDescent="0.2">
      <c r="A259" s="512">
        <v>2</v>
      </c>
      <c r="B259" s="511" t="s">
        <v>717</v>
      </c>
      <c r="C259" s="546">
        <f>+(C43-C76)</f>
        <v>330414525</v>
      </c>
      <c r="D259" s="549">
        <f>+(D43-D76)</f>
        <v>395593224</v>
      </c>
      <c r="E259" s="546">
        <f t="shared" si="30"/>
        <v>65178699</v>
      </c>
    </row>
    <row r="260" spans="1:5" x14ac:dyDescent="0.2">
      <c r="A260" s="512">
        <v>3</v>
      </c>
      <c r="B260" s="511" t="s">
        <v>721</v>
      </c>
      <c r="C260" s="546">
        <f>C195</f>
        <v>24590812</v>
      </c>
      <c r="D260" s="546">
        <f>D195</f>
        <v>21378797</v>
      </c>
      <c r="E260" s="546">
        <f t="shared" si="30"/>
        <v>-3212015</v>
      </c>
    </row>
    <row r="261" spans="1:5" x14ac:dyDescent="0.2">
      <c r="A261" s="512">
        <v>4</v>
      </c>
      <c r="B261" s="511" t="s">
        <v>722</v>
      </c>
      <c r="C261" s="546">
        <f>C188</f>
        <v>169377726</v>
      </c>
      <c r="D261" s="546">
        <f>D188</f>
        <v>181709768</v>
      </c>
      <c r="E261" s="546">
        <f t="shared" si="30"/>
        <v>12332042</v>
      </c>
    </row>
    <row r="262" spans="1:5" x14ac:dyDescent="0.2">
      <c r="A262" s="512">
        <v>5</v>
      </c>
      <c r="B262" s="511" t="s">
        <v>723</v>
      </c>
      <c r="C262" s="546">
        <f>C191</f>
        <v>11178347</v>
      </c>
      <c r="D262" s="546">
        <f>D191</f>
        <v>14229964</v>
      </c>
      <c r="E262" s="546">
        <f t="shared" si="30"/>
        <v>3051617</v>
      </c>
    </row>
    <row r="263" spans="1:5" x14ac:dyDescent="0.2">
      <c r="A263" s="512">
        <v>6</v>
      </c>
      <c r="B263" s="511" t="s">
        <v>724</v>
      </c>
      <c r="C263" s="546">
        <f>+C259+C260+C261+C262</f>
        <v>535561410</v>
      </c>
      <c r="D263" s="546">
        <f>+D259+D260+D261+D262</f>
        <v>612911753</v>
      </c>
      <c r="E263" s="546">
        <f t="shared" si="30"/>
        <v>77350343</v>
      </c>
    </row>
    <row r="264" spans="1:5" x14ac:dyDescent="0.2">
      <c r="A264" s="512">
        <v>7</v>
      </c>
      <c r="B264" s="511" t="s">
        <v>624</v>
      </c>
      <c r="C264" s="546">
        <f>+C258-C263</f>
        <v>309709000</v>
      </c>
      <c r="D264" s="546">
        <f>+D258-D263</f>
        <v>325231360</v>
      </c>
      <c r="E264" s="546">
        <f t="shared" si="30"/>
        <v>15522360</v>
      </c>
    </row>
    <row r="265" spans="1:5" x14ac:dyDescent="0.2">
      <c r="A265" s="512">
        <v>8</v>
      </c>
      <c r="B265" s="511" t="s">
        <v>810</v>
      </c>
      <c r="C265" s="565">
        <f>C192</f>
        <v>1670015</v>
      </c>
      <c r="D265" s="565">
        <f>D192</f>
        <v>1608918</v>
      </c>
      <c r="E265" s="546">
        <f t="shared" si="30"/>
        <v>-61097</v>
      </c>
    </row>
    <row r="266" spans="1:5" x14ac:dyDescent="0.2">
      <c r="A266" s="512">
        <v>9</v>
      </c>
      <c r="B266" s="511" t="s">
        <v>811</v>
      </c>
      <c r="C266" s="546">
        <f>+C264+C265</f>
        <v>311379015</v>
      </c>
      <c r="D266" s="546">
        <f>+D264+D265</f>
        <v>326840278</v>
      </c>
      <c r="E266" s="565">
        <f t="shared" si="30"/>
        <v>15461263</v>
      </c>
    </row>
    <row r="267" spans="1:5" x14ac:dyDescent="0.2">
      <c r="A267" s="512">
        <v>10</v>
      </c>
      <c r="B267" s="511" t="s">
        <v>812</v>
      </c>
      <c r="C267" s="566">
        <f>IF(C258=0,0,C266/C258)</f>
        <v>0.36837799042320668</v>
      </c>
      <c r="D267" s="566">
        <f>IF(D258=0,0,D266/D258)</f>
        <v>0.34839063834815998</v>
      </c>
      <c r="E267" s="567">
        <f t="shared" si="30"/>
        <v>-1.9987352075046705E-2</v>
      </c>
    </row>
    <row r="268" spans="1:5" x14ac:dyDescent="0.2">
      <c r="A268" s="512">
        <v>11</v>
      </c>
      <c r="B268" s="511" t="s">
        <v>686</v>
      </c>
      <c r="C268" s="546">
        <f>+C260*C267</f>
        <v>9058713.9074348751</v>
      </c>
      <c r="D268" s="568">
        <f>+D260*D267</f>
        <v>7448172.7339457273</v>
      </c>
      <c r="E268" s="546">
        <f t="shared" si="30"/>
        <v>-1610541.1734891478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13701693.429726914</v>
      </c>
      <c r="D269" s="568">
        <f>((D17+D18+D28+D29)*D267)-(D50+D51+D61+D62)</f>
        <v>12964495.842497528</v>
      </c>
      <c r="E269" s="546">
        <f t="shared" si="30"/>
        <v>-737197.58722938597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815</v>
      </c>
      <c r="C271" s="546">
        <f>+C268+C269+C270</f>
        <v>22760407.337161787</v>
      </c>
      <c r="D271" s="546">
        <f>+D268+D269+D270</f>
        <v>20412668.576443255</v>
      </c>
      <c r="E271" s="549">
        <f t="shared" si="30"/>
        <v>-2347738.7607185319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0.43423096662154326</v>
      </c>
      <c r="D276" s="547">
        <f t="shared" si="31"/>
        <v>0.45935280881691698</v>
      </c>
      <c r="E276" s="574">
        <f t="shared" ref="E276:E284" si="32">D276-C276</f>
        <v>2.5121842195373723E-2</v>
      </c>
    </row>
    <row r="277" spans="1:5" x14ac:dyDescent="0.2">
      <c r="A277" s="512">
        <v>2</v>
      </c>
      <c r="B277" s="511" t="s">
        <v>605</v>
      </c>
      <c r="C277" s="547">
        <f t="shared" si="31"/>
        <v>0.32749327716885934</v>
      </c>
      <c r="D277" s="547">
        <f t="shared" si="31"/>
        <v>0.28709131275210698</v>
      </c>
      <c r="E277" s="574">
        <f t="shared" si="32"/>
        <v>-4.0401964416752367E-2</v>
      </c>
    </row>
    <row r="278" spans="1:5" x14ac:dyDescent="0.2">
      <c r="A278" s="512">
        <v>3</v>
      </c>
      <c r="B278" s="511" t="s">
        <v>751</v>
      </c>
      <c r="C278" s="547">
        <f t="shared" si="31"/>
        <v>0.22869713469594949</v>
      </c>
      <c r="D278" s="547">
        <f t="shared" si="31"/>
        <v>0.20872881049595665</v>
      </c>
      <c r="E278" s="574">
        <f t="shared" si="32"/>
        <v>-1.9968324199992837E-2</v>
      </c>
    </row>
    <row r="279" spans="1:5" x14ac:dyDescent="0.2">
      <c r="A279" s="512">
        <v>4</v>
      </c>
      <c r="B279" s="511" t="s">
        <v>114</v>
      </c>
      <c r="C279" s="547">
        <f t="shared" si="31"/>
        <v>0.27391521234664251</v>
      </c>
      <c r="D279" s="547">
        <f t="shared" si="31"/>
        <v>0.25035643274446628</v>
      </c>
      <c r="E279" s="574">
        <f t="shared" si="32"/>
        <v>-2.3558779602176227E-2</v>
      </c>
    </row>
    <row r="280" spans="1:5" x14ac:dyDescent="0.2">
      <c r="A280" s="512">
        <v>5</v>
      </c>
      <c r="B280" s="511" t="s">
        <v>718</v>
      </c>
      <c r="C280" s="547">
        <f t="shared" si="31"/>
        <v>9.3432528156577183E-2</v>
      </c>
      <c r="D280" s="547">
        <f t="shared" si="31"/>
        <v>0</v>
      </c>
      <c r="E280" s="574">
        <f t="shared" si="32"/>
        <v>-9.3432528156577183E-2</v>
      </c>
    </row>
    <row r="281" spans="1:5" x14ac:dyDescent="0.2">
      <c r="A281" s="512">
        <v>6</v>
      </c>
      <c r="B281" s="511" t="s">
        <v>418</v>
      </c>
      <c r="C281" s="547">
        <f t="shared" si="31"/>
        <v>0.27665624701628538</v>
      </c>
      <c r="D281" s="547">
        <f t="shared" si="31"/>
        <v>0.21391663382399018</v>
      </c>
      <c r="E281" s="574">
        <f t="shared" si="32"/>
        <v>-6.2739613192295207E-2</v>
      </c>
    </row>
    <row r="282" spans="1:5" x14ac:dyDescent="0.2">
      <c r="A282" s="512">
        <v>7</v>
      </c>
      <c r="B282" s="511" t="s">
        <v>733</v>
      </c>
      <c r="C282" s="547">
        <f t="shared" si="31"/>
        <v>8.5107698265478302E-2</v>
      </c>
      <c r="D282" s="547">
        <f t="shared" si="31"/>
        <v>0.30034844371334074</v>
      </c>
      <c r="E282" s="574">
        <f t="shared" si="32"/>
        <v>0.21524074544786242</v>
      </c>
    </row>
    <row r="283" spans="1:5" ht="29.25" customHeight="1" x14ac:dyDescent="0.2">
      <c r="A283" s="512"/>
      <c r="B283" s="516" t="s">
        <v>819</v>
      </c>
      <c r="C283" s="575">
        <f t="shared" si="31"/>
        <v>0.31413573714234216</v>
      </c>
      <c r="D283" s="575">
        <f t="shared" si="31"/>
        <v>0.27378948335982733</v>
      </c>
      <c r="E283" s="576">
        <f t="shared" si="32"/>
        <v>-4.0346253782514829E-2</v>
      </c>
    </row>
    <row r="284" spans="1:5" x14ac:dyDescent="0.2">
      <c r="A284" s="512"/>
      <c r="B284" s="516" t="s">
        <v>820</v>
      </c>
      <c r="C284" s="575">
        <f t="shared" si="31"/>
        <v>0.35304616548428935</v>
      </c>
      <c r="D284" s="575">
        <f t="shared" si="31"/>
        <v>0.33033684897128318</v>
      </c>
      <c r="E284" s="576">
        <f t="shared" si="32"/>
        <v>-2.2709316513006172E-2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0.45681265967531132</v>
      </c>
      <c r="D287" s="547">
        <f t="shared" si="33"/>
        <v>0.44819502093723562</v>
      </c>
      <c r="E287" s="574">
        <f t="shared" ref="E287:E295" si="34">D287-C287</f>
        <v>-8.6176387380756947E-3</v>
      </c>
    </row>
    <row r="288" spans="1:5" x14ac:dyDescent="0.2">
      <c r="A288" s="512">
        <v>2</v>
      </c>
      <c r="B288" s="511" t="s">
        <v>605</v>
      </c>
      <c r="C288" s="547">
        <f t="shared" si="33"/>
        <v>0.28284112644099568</v>
      </c>
      <c r="D288" s="547">
        <f t="shared" si="33"/>
        <v>0.2467616276644698</v>
      </c>
      <c r="E288" s="574">
        <f t="shared" si="34"/>
        <v>-3.6079498776525887E-2</v>
      </c>
    </row>
    <row r="289" spans="1:5" x14ac:dyDescent="0.2">
      <c r="A289" s="512">
        <v>3</v>
      </c>
      <c r="B289" s="511" t="s">
        <v>751</v>
      </c>
      <c r="C289" s="547">
        <f t="shared" si="33"/>
        <v>0.19853812526316367</v>
      </c>
      <c r="D289" s="547">
        <f t="shared" si="33"/>
        <v>0.25646682044310981</v>
      </c>
      <c r="E289" s="574">
        <f t="shared" si="34"/>
        <v>5.7928695179946144E-2</v>
      </c>
    </row>
    <row r="290" spans="1:5" x14ac:dyDescent="0.2">
      <c r="A290" s="512">
        <v>4</v>
      </c>
      <c r="B290" s="511" t="s">
        <v>114</v>
      </c>
      <c r="C290" s="547">
        <f t="shared" si="33"/>
        <v>0.21764108758018089</v>
      </c>
      <c r="D290" s="547">
        <f t="shared" si="33"/>
        <v>0.29670218775498108</v>
      </c>
      <c r="E290" s="574">
        <f t="shared" si="34"/>
        <v>7.9061100174800197E-2</v>
      </c>
    </row>
    <row r="291" spans="1:5" x14ac:dyDescent="0.2">
      <c r="A291" s="512">
        <v>5</v>
      </c>
      <c r="B291" s="511" t="s">
        <v>718</v>
      </c>
      <c r="C291" s="547">
        <f t="shared" si="33"/>
        <v>0.14252253240263082</v>
      </c>
      <c r="D291" s="547">
        <f t="shared" si="33"/>
        <v>0</v>
      </c>
      <c r="E291" s="574">
        <f t="shared" si="34"/>
        <v>-0.14252253240263082</v>
      </c>
    </row>
    <row r="292" spans="1:5" x14ac:dyDescent="0.2">
      <c r="A292" s="512">
        <v>6</v>
      </c>
      <c r="B292" s="511" t="s">
        <v>418</v>
      </c>
      <c r="C292" s="547">
        <f t="shared" si="33"/>
        <v>0.38989897656625921</v>
      </c>
      <c r="D292" s="547">
        <f t="shared" si="33"/>
        <v>0.22809817869147189</v>
      </c>
      <c r="E292" s="574">
        <f t="shared" si="34"/>
        <v>-0.16180079787478732</v>
      </c>
    </row>
    <row r="293" spans="1:5" x14ac:dyDescent="0.2">
      <c r="A293" s="512">
        <v>7</v>
      </c>
      <c r="B293" s="511" t="s">
        <v>733</v>
      </c>
      <c r="C293" s="547">
        <f t="shared" si="33"/>
        <v>0.24040381123466215</v>
      </c>
      <c r="D293" s="547">
        <f t="shared" si="33"/>
        <v>0.31242875989005914</v>
      </c>
      <c r="E293" s="574">
        <f t="shared" si="34"/>
        <v>7.2024948655396992E-2</v>
      </c>
    </row>
    <row r="294" spans="1:5" ht="29.25" customHeight="1" x14ac:dyDescent="0.2">
      <c r="A294" s="512"/>
      <c r="B294" s="516" t="s">
        <v>822</v>
      </c>
      <c r="C294" s="575">
        <f t="shared" si="33"/>
        <v>0.26305503897021798</v>
      </c>
      <c r="D294" s="575">
        <f t="shared" si="33"/>
        <v>0.24927742737556807</v>
      </c>
      <c r="E294" s="576">
        <f t="shared" si="34"/>
        <v>-1.3777611594649908E-2</v>
      </c>
    </row>
    <row r="295" spans="1:5" x14ac:dyDescent="0.2">
      <c r="A295" s="512"/>
      <c r="B295" s="516" t="s">
        <v>823</v>
      </c>
      <c r="C295" s="575">
        <f t="shared" si="33"/>
        <v>0.3684840131675256</v>
      </c>
      <c r="D295" s="575">
        <f t="shared" si="33"/>
        <v>0.35375592515985982</v>
      </c>
      <c r="E295" s="576">
        <f t="shared" si="34"/>
        <v>-1.4728088007665785E-2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305853711</v>
      </c>
      <c r="D301" s="514">
        <f>+D48+D47+D50+D51+D52+D59+D58+D61+D62+D63</f>
        <v>322218061</v>
      </c>
      <c r="E301" s="514">
        <f>D301-C301</f>
        <v>16364350</v>
      </c>
    </row>
    <row r="302" spans="1:5" ht="25.5" x14ac:dyDescent="0.2">
      <c r="A302" s="512">
        <v>2</v>
      </c>
      <c r="B302" s="511" t="s">
        <v>827</v>
      </c>
      <c r="C302" s="546">
        <f>C265</f>
        <v>1670015</v>
      </c>
      <c r="D302" s="546">
        <f>D265</f>
        <v>1608918</v>
      </c>
      <c r="E302" s="514">
        <f>D302-C302</f>
        <v>-61097</v>
      </c>
    </row>
    <row r="303" spans="1:5" x14ac:dyDescent="0.2">
      <c r="A303" s="512"/>
      <c r="B303" s="516" t="s">
        <v>828</v>
      </c>
      <c r="C303" s="517">
        <f>+C301+C302</f>
        <v>307523726</v>
      </c>
      <c r="D303" s="517">
        <f>+D301+D302</f>
        <v>323826979</v>
      </c>
      <c r="E303" s="517">
        <f>D303-C303</f>
        <v>16303253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11963512</v>
      </c>
      <c r="D305" s="578">
        <v>2854644</v>
      </c>
      <c r="E305" s="579">
        <f>D305-C305</f>
        <v>-9108868</v>
      </c>
    </row>
    <row r="306" spans="1:5" x14ac:dyDescent="0.2">
      <c r="A306" s="512">
        <v>4</v>
      </c>
      <c r="B306" s="516" t="s">
        <v>830</v>
      </c>
      <c r="C306" s="580">
        <f>+C303+C305</f>
        <v>319487238</v>
      </c>
      <c r="D306" s="580">
        <f>+D303+D305</f>
        <v>326681623</v>
      </c>
      <c r="E306" s="580">
        <f>D306-C306</f>
        <v>7194385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319487236</v>
      </c>
      <c r="D308" s="513">
        <v>326681627</v>
      </c>
      <c r="E308" s="514">
        <f>D308-C308</f>
        <v>7194391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2</v>
      </c>
      <c r="D310" s="582">
        <f>D306-D308</f>
        <v>-4</v>
      </c>
      <c r="E310" s="580">
        <f>D310-C310</f>
        <v>-6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845270410</v>
      </c>
      <c r="D314" s="514">
        <f>+D14+D15+D16+D19+D25+D26+D27+D30</f>
        <v>938143113</v>
      </c>
      <c r="E314" s="514">
        <f>D314-C314</f>
        <v>92872703</v>
      </c>
    </row>
    <row r="315" spans="1:5" x14ac:dyDescent="0.2">
      <c r="A315" s="512">
        <v>2</v>
      </c>
      <c r="B315" s="583" t="s">
        <v>835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836</v>
      </c>
      <c r="C316" s="581">
        <f>C314+C315</f>
        <v>845270410</v>
      </c>
      <c r="D316" s="581">
        <f>D314+D315</f>
        <v>938143113</v>
      </c>
      <c r="E316" s="517">
        <f>D316-C316</f>
        <v>92872703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845270408</v>
      </c>
      <c r="D318" s="513">
        <v>938143112</v>
      </c>
      <c r="E318" s="514">
        <f>D318-C318</f>
        <v>92872704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2</v>
      </c>
      <c r="D320" s="581">
        <f>D316-D318</f>
        <v>1</v>
      </c>
      <c r="E320" s="517">
        <f>D320-C320</f>
        <v>-1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24590812</v>
      </c>
      <c r="D324" s="513">
        <f>+D193+D194</f>
        <v>21378797</v>
      </c>
      <c r="E324" s="514">
        <f>D324-C324</f>
        <v>-3212015</v>
      </c>
    </row>
    <row r="325" spans="1:5" x14ac:dyDescent="0.2">
      <c r="A325" s="512">
        <v>2</v>
      </c>
      <c r="B325" s="511" t="s">
        <v>840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841</v>
      </c>
      <c r="C326" s="581">
        <f>C324+C325</f>
        <v>24590812</v>
      </c>
      <c r="D326" s="581">
        <f>D324+D325</f>
        <v>21378797</v>
      </c>
      <c r="E326" s="517">
        <f>D326-C326</f>
        <v>-3212015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24590812</v>
      </c>
      <c r="D328" s="513">
        <v>21378797</v>
      </c>
      <c r="E328" s="514">
        <f>D328-C328</f>
        <v>-3212015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FILING&amp;RMIDDLESEX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>
      <selection activeCell="A2" sqref="A2:C2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596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844</v>
      </c>
      <c r="B5" s="696"/>
      <c r="C5" s="697"/>
      <c r="D5" s="585"/>
    </row>
    <row r="6" spans="1:58" s="338" customFormat="1" ht="15.75" customHeight="1" x14ac:dyDescent="0.25">
      <c r="A6" s="695" t="s">
        <v>845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125640834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237936712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47803856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39855345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7948511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915983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7173325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286656551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412297385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276192622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179328360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68405796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59129382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9276414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1918950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14092307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249653106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525845728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401833456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536309657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938143113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57713470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68309563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9978042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9978042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195944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2154497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78483549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136197019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123788158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44251358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17543817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17543817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437709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4402842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62232884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186021042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181501628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140716433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322218061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4717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7204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1954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1665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289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43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242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9201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13918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1.06819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1.3468100000000001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0.87055280962128967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0.83089000000000002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1.0990599999999999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0.81688000000000005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1.0543800000000001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1.2431915302684491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1.1838811251616612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363815764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182105996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181709768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0.49945545515174544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20675399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14229964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1608918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9520361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11858436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21378797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8002619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312521510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322218061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1608918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323826979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2854644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326681623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326681627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-4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938143113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938143113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938143112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21378797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21378797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21378797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FILING&amp;RMIDDLESEX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A2" sqref="A2:F2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857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2867</v>
      </c>
      <c r="D12" s="49">
        <v>3190</v>
      </c>
      <c r="E12" s="49">
        <f>+D12-C12</f>
        <v>323</v>
      </c>
      <c r="F12" s="70">
        <f>IF(C12=0,0,+E12/C12)</f>
        <v>0.11266131845134286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1906</v>
      </c>
      <c r="D13" s="49">
        <v>2316</v>
      </c>
      <c r="E13" s="49">
        <f>+D13-C13</f>
        <v>410</v>
      </c>
      <c r="F13" s="70">
        <f>IF(C13=0,0,+E13/C13)</f>
        <v>0.21511017838405036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7535167</v>
      </c>
      <c r="D15" s="51">
        <v>9520361</v>
      </c>
      <c r="E15" s="51">
        <f>+D15-C15</f>
        <v>1985194</v>
      </c>
      <c r="F15" s="70">
        <f>IF(C15=0,0,+E15/C15)</f>
        <v>0.2634572000859437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3953.3929695697798</v>
      </c>
      <c r="D16" s="27">
        <f>IF(D13=0,0,+D15/+D13)</f>
        <v>4110.6912780656303</v>
      </c>
      <c r="E16" s="27">
        <f>+D16-C16</f>
        <v>157.29830849585051</v>
      </c>
      <c r="F16" s="28">
        <f>IF(C16=0,0,+E16/C16)</f>
        <v>3.9788179345340464E-2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0.389797</v>
      </c>
      <c r="D18" s="210">
        <v>0.35856900000000003</v>
      </c>
      <c r="E18" s="210">
        <f>+D18-C18</f>
        <v>-3.1227999999999978E-2</v>
      </c>
      <c r="F18" s="70">
        <f>IF(C18=0,0,+E18/C18)</f>
        <v>-8.0113494973024363E-2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2937185.491099</v>
      </c>
      <c r="D19" s="27">
        <f>+D15*D18</f>
        <v>3413706.3234090004</v>
      </c>
      <c r="E19" s="27">
        <f>+D19-C19</f>
        <v>476520.83231000043</v>
      </c>
      <c r="F19" s="28">
        <f>IF(C19=0,0,+E19/C19)</f>
        <v>0.16223722803822707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1541.0207193593915</v>
      </c>
      <c r="D20" s="27">
        <f>IF(D13=0,0,+D19/D13)</f>
        <v>1473.9664608847152</v>
      </c>
      <c r="E20" s="27">
        <f>+D20-C20</f>
        <v>-67.054258474676317</v>
      </c>
      <c r="F20" s="28">
        <f>IF(C20=0,0,+E20/C20)</f>
        <v>-4.3512885733652591E-2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2481924</v>
      </c>
      <c r="D22" s="51">
        <v>4079617</v>
      </c>
      <c r="E22" s="51">
        <f>+D22-C22</f>
        <v>1597693</v>
      </c>
      <c r="F22" s="70">
        <f>IF(C22=0,0,+E22/C22)</f>
        <v>0.64373163722982651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2031778</v>
      </c>
      <c r="D23" s="49">
        <v>2814601</v>
      </c>
      <c r="E23" s="49">
        <f>+D23-C23</f>
        <v>782823</v>
      </c>
      <c r="F23" s="70">
        <f>IF(C23=0,0,+E23/C23)</f>
        <v>0.38528963302093044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3021465</v>
      </c>
      <c r="D24" s="49">
        <v>2626143</v>
      </c>
      <c r="E24" s="49">
        <f>+D24-C24</f>
        <v>-395322</v>
      </c>
      <c r="F24" s="70">
        <f>IF(C24=0,0,+E24/C24)</f>
        <v>-0.13083785514642732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7535167</v>
      </c>
      <c r="D25" s="27">
        <f>+D22+D23+D24</f>
        <v>9520361</v>
      </c>
      <c r="E25" s="27">
        <f>+E22+E23+E24</f>
        <v>1985194</v>
      </c>
      <c r="F25" s="28">
        <f>IF(C25=0,0,+E25/C25)</f>
        <v>0.2634572000859437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406</v>
      </c>
      <c r="D27" s="49">
        <v>561</v>
      </c>
      <c r="E27" s="49">
        <f>+D27-C27</f>
        <v>155</v>
      </c>
      <c r="F27" s="70">
        <f>IF(C27=0,0,+E27/C27)</f>
        <v>0.3817733990147783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114</v>
      </c>
      <c r="D28" s="49">
        <v>134</v>
      </c>
      <c r="E28" s="49">
        <f>+D28-C28</f>
        <v>20</v>
      </c>
      <c r="F28" s="70">
        <f>IF(C28=0,0,+E28/C28)</f>
        <v>0.17543859649122806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1165</v>
      </c>
      <c r="D29" s="49">
        <v>1331</v>
      </c>
      <c r="E29" s="49">
        <f>+D29-C29</f>
        <v>166</v>
      </c>
      <c r="F29" s="70">
        <f>IF(C29=0,0,+E29/C29)</f>
        <v>0.1424892703862661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1860</v>
      </c>
      <c r="D30" s="49">
        <v>1858</v>
      </c>
      <c r="E30" s="49">
        <f>+D30-C30</f>
        <v>-2</v>
      </c>
      <c r="F30" s="70">
        <f>IF(C30=0,0,+E30/C30)</f>
        <v>-1.0752688172043011E-3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4187161</v>
      </c>
      <c r="D33" s="51">
        <v>2458016</v>
      </c>
      <c r="E33" s="51">
        <f>+D33-C33</f>
        <v>-1729145</v>
      </c>
      <c r="F33" s="70">
        <f>IF(C33=0,0,+E33/C33)</f>
        <v>-0.4129635808128706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3431596</v>
      </c>
      <c r="D34" s="49">
        <v>2918955</v>
      </c>
      <c r="E34" s="49">
        <f>+D34-C34</f>
        <v>-512641</v>
      </c>
      <c r="F34" s="70">
        <f>IF(C34=0,0,+E34/C34)</f>
        <v>-0.14938850610619664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9436888</v>
      </c>
      <c r="D35" s="49">
        <v>6481465</v>
      </c>
      <c r="E35" s="49">
        <f>+D35-C35</f>
        <v>-2955423</v>
      </c>
      <c r="F35" s="70">
        <f>IF(C35=0,0,+E35/C35)</f>
        <v>-0.31317771282227785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17055645</v>
      </c>
      <c r="D36" s="27">
        <f>+D33+D34+D35</f>
        <v>11858436</v>
      </c>
      <c r="E36" s="27">
        <f>+E33+E34+E35</f>
        <v>-5197209</v>
      </c>
      <c r="F36" s="28">
        <f>IF(C36=0,0,+E36/C36)</f>
        <v>-0.30472075374458135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7535167</v>
      </c>
      <c r="D39" s="51">
        <f>+D25</f>
        <v>9520361</v>
      </c>
      <c r="E39" s="51">
        <f>+D39-C39</f>
        <v>1985194</v>
      </c>
      <c r="F39" s="70">
        <f>IF(C39=0,0,+E39/C39)</f>
        <v>0.2634572000859437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17055645</v>
      </c>
      <c r="D40" s="49">
        <f>+D36</f>
        <v>11858436</v>
      </c>
      <c r="E40" s="49">
        <f>+D40-C40</f>
        <v>-5197209</v>
      </c>
      <c r="F40" s="70">
        <f>IF(C40=0,0,+E40/C40)</f>
        <v>-0.30472075374458135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24590812</v>
      </c>
      <c r="D41" s="27">
        <f>+D39+D40</f>
        <v>21378797</v>
      </c>
      <c r="E41" s="27">
        <f>+E39+E40</f>
        <v>-3212015</v>
      </c>
      <c r="F41" s="28">
        <f>IF(C41=0,0,+E41/C41)</f>
        <v>-0.13061850092628091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6669085</v>
      </c>
      <c r="D43" s="51">
        <f t="shared" si="0"/>
        <v>6537633</v>
      </c>
      <c r="E43" s="51">
        <f>+D43-C43</f>
        <v>-131452</v>
      </c>
      <c r="F43" s="70">
        <f>IF(C43=0,0,+E43/C43)</f>
        <v>-1.9710649961726383E-2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5463374</v>
      </c>
      <c r="D44" s="49">
        <f t="shared" si="0"/>
        <v>5733556</v>
      </c>
      <c r="E44" s="49">
        <f>+D44-C44</f>
        <v>270182</v>
      </c>
      <c r="F44" s="70">
        <f>IF(C44=0,0,+E44/C44)</f>
        <v>4.9453323166233909E-2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12458353</v>
      </c>
      <c r="D45" s="49">
        <f t="shared" si="0"/>
        <v>9107608</v>
      </c>
      <c r="E45" s="49">
        <f>+D45-C45</f>
        <v>-3350745</v>
      </c>
      <c r="F45" s="70">
        <f>IF(C45=0,0,+E45/C45)</f>
        <v>-0.2689556958291357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24590812</v>
      </c>
      <c r="D46" s="27">
        <f>+D43+D44+D45</f>
        <v>21378797</v>
      </c>
      <c r="E46" s="27">
        <f>+E43+E44+E45</f>
        <v>-3212015</v>
      </c>
      <c r="F46" s="28">
        <f>IF(C46=0,0,+E46/C46)</f>
        <v>-0.13061850092628091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885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FILING&amp;RMIDDLESEX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>
      <selection activeCell="A5" sqref="A5:F5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886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887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348525471</v>
      </c>
      <c r="D15" s="51">
        <v>363815764</v>
      </c>
      <c r="E15" s="51">
        <f>+D15-C15</f>
        <v>15290293</v>
      </c>
      <c r="F15" s="70">
        <f>+E15/C15</f>
        <v>4.387137891566037E-2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169377726</v>
      </c>
      <c r="D17" s="51">
        <v>181709768</v>
      </c>
      <c r="E17" s="51">
        <f>+D17-C17</f>
        <v>12332042</v>
      </c>
      <c r="F17" s="70">
        <f>+E17/C17</f>
        <v>7.2807932254327232E-2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179147745</v>
      </c>
      <c r="D19" s="27">
        <f>+D15-D17</f>
        <v>182105996</v>
      </c>
      <c r="E19" s="27">
        <f>+D19-C19</f>
        <v>2958251</v>
      </c>
      <c r="F19" s="28">
        <f>+E19/C19</f>
        <v>1.6512912289239252E-2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0.48598378050825447</v>
      </c>
      <c r="D21" s="628">
        <f>+D17/D15</f>
        <v>0.49945545515174544</v>
      </c>
      <c r="E21" s="628">
        <f>+D21-C21</f>
        <v>1.3471674643490972E-2</v>
      </c>
      <c r="F21" s="28">
        <f>+E21/C21</f>
        <v>2.7720420276993493E-2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894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FILING&amp;R&amp;12MIDDLESEX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zoomScaleNormal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895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325195994</v>
      </c>
      <c r="D10" s="641">
        <v>363711445</v>
      </c>
      <c r="E10" s="641">
        <v>412297385</v>
      </c>
    </row>
    <row r="11" spans="1:6" ht="26.1" customHeight="1" x14ac:dyDescent="0.25">
      <c r="A11" s="639">
        <v>2</v>
      </c>
      <c r="B11" s="640" t="s">
        <v>907</v>
      </c>
      <c r="C11" s="641">
        <v>419919589</v>
      </c>
      <c r="D11" s="641">
        <v>481558965</v>
      </c>
      <c r="E11" s="641">
        <v>525845728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745115583</v>
      </c>
      <c r="D12" s="641">
        <f>+D11+D10</f>
        <v>845270410</v>
      </c>
      <c r="E12" s="641">
        <f>+E11+E10</f>
        <v>938143113</v>
      </c>
    </row>
    <row r="13" spans="1:6" ht="26.1" customHeight="1" x14ac:dyDescent="0.25">
      <c r="A13" s="639">
        <v>4</v>
      </c>
      <c r="B13" s="640" t="s">
        <v>484</v>
      </c>
      <c r="C13" s="641">
        <v>292835665</v>
      </c>
      <c r="D13" s="641">
        <v>317817236</v>
      </c>
      <c r="E13" s="641">
        <v>325072710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293469539</v>
      </c>
      <c r="D16" s="641">
        <v>305762315</v>
      </c>
      <c r="E16" s="641">
        <v>312521510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59419</v>
      </c>
      <c r="D19" s="644">
        <v>57628</v>
      </c>
      <c r="E19" s="644">
        <v>57829</v>
      </c>
    </row>
    <row r="20" spans="1:5" ht="26.1" customHeight="1" x14ac:dyDescent="0.25">
      <c r="A20" s="639">
        <v>2</v>
      </c>
      <c r="B20" s="640" t="s">
        <v>373</v>
      </c>
      <c r="C20" s="645">
        <v>14201</v>
      </c>
      <c r="D20" s="645">
        <v>13964</v>
      </c>
      <c r="E20" s="645">
        <v>13918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4.1841419618336735</v>
      </c>
      <c r="D21" s="646">
        <f>IF(D20=0,0,+D19/D20)</f>
        <v>4.1268977370380977</v>
      </c>
      <c r="E21" s="646">
        <f>IF(E20=0,0,+E19/E20)</f>
        <v>4.1549791636729418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136145.65875087932</v>
      </c>
      <c r="D22" s="645">
        <f>IF(D10=0,0,D19*(D12/D10))</f>
        <v>133928.26609423853</v>
      </c>
      <c r="E22" s="645">
        <f>IF(E10=0,0,E19*(E12/E10))</f>
        <v>131584.3370718371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32538.489370760821</v>
      </c>
      <c r="D23" s="645">
        <f>IF(D10=0,0,D20*(D12/D10))</f>
        <v>32452.52841917031</v>
      </c>
      <c r="E23" s="645">
        <f>IF(E10=0,0,E20*(E12/E10))</f>
        <v>31669.072668831017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1.1490913111752694</v>
      </c>
      <c r="D26" s="647">
        <v>1.1790758951589801</v>
      </c>
      <c r="E26" s="647">
        <v>1.1838811251616612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68277.856618723337</v>
      </c>
      <c r="D27" s="645">
        <f>D19*D26</f>
        <v>67947.785686221701</v>
      </c>
      <c r="E27" s="645">
        <f>E19*E26</f>
        <v>68462.6615869737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16318.245710000001</v>
      </c>
      <c r="D28" s="645">
        <f>D20*D26</f>
        <v>16464.6158</v>
      </c>
      <c r="E28" s="645">
        <f>E20*E26</f>
        <v>16477.2575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156443.7935248687</v>
      </c>
      <c r="D29" s="645">
        <f>D22*D26</f>
        <v>157911.59023215438</v>
      </c>
      <c r="E29" s="645">
        <f>E22*E26</f>
        <v>155780.21302625778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37389.695414710121</v>
      </c>
      <c r="D30" s="645">
        <f>D23*D26</f>
        <v>38263.993996005476</v>
      </c>
      <c r="E30" s="645">
        <f>E23*E26</f>
        <v>37492.417384002081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12540.022265605277</v>
      </c>
      <c r="D33" s="641">
        <f>IF(D19=0,0,D12/D19)</f>
        <v>14667.703373360173</v>
      </c>
      <c r="E33" s="641">
        <f>IF(E19=0,0,E12/E19)</f>
        <v>16222.710283767659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52469.233363847619</v>
      </c>
      <c r="D34" s="641">
        <f>IF(D20=0,0,D12/D20)</f>
        <v>60532.111859066172</v>
      </c>
      <c r="E34" s="641">
        <f>IF(E20=0,0,E12/E20)</f>
        <v>67405.023207357386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5472.9294333462367</v>
      </c>
      <c r="D35" s="641">
        <f>IF(D22=0,0,D12/D22)</f>
        <v>6311.3667835080169</v>
      </c>
      <c r="E35" s="641">
        <f>IF(E22=0,0,E12/E22)</f>
        <v>7129.5956181154788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22899.513696218575</v>
      </c>
      <c r="D36" s="641">
        <f>IF(D23=0,0,D12/D23)</f>
        <v>26046.365296476655</v>
      </c>
      <c r="E36" s="641">
        <f>IF(E23=0,0,E12/E23)</f>
        <v>29623.321238683722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4762.8324921790809</v>
      </c>
      <c r="D37" s="641">
        <f>IF(D29=0,0,D12/D29)</f>
        <v>5352.8079145889305</v>
      </c>
      <c r="E37" s="641">
        <f>IF(E29=0,0,E12/E29)</f>
        <v>6022.2225581490875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19928.367287711342</v>
      </c>
      <c r="D38" s="641">
        <f>IF(D30=0,0,D12/D30)</f>
        <v>22090.490869516678</v>
      </c>
      <c r="E38" s="641">
        <f>IF(E30=0,0,E12/E30)</f>
        <v>25022.209248110612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2388.5887878000344</v>
      </c>
      <c r="D39" s="641">
        <f>IF(D22=0,0,D10/D22)</f>
        <v>2715.718314041897</v>
      </c>
      <c r="E39" s="641">
        <f>IF(E22=0,0,E10/E22)</f>
        <v>3133.3317792596436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9994.1945765995533</v>
      </c>
      <c r="D40" s="641">
        <f>IF(D23=0,0,D10/D23)</f>
        <v>11207.491764652425</v>
      </c>
      <c r="E40" s="641">
        <f>IF(E23=0,0,E10/E23)</f>
        <v>13018.928255698082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4928.316952489944</v>
      </c>
      <c r="D43" s="641">
        <f>IF(D19=0,0,D13/D19)</f>
        <v>5514.9794544318738</v>
      </c>
      <c r="E43" s="641">
        <f>IF(E19=0,0,E13/E19)</f>
        <v>5621.274965847585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20620.777762129426</v>
      </c>
      <c r="D44" s="641">
        <f>IF(D20=0,0,D13/D20)</f>
        <v>22759.756230306502</v>
      </c>
      <c r="E44" s="641">
        <f>IF(E20=0,0,E13/E20)</f>
        <v>23356.280356373041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2150.8997619662159</v>
      </c>
      <c r="D45" s="641">
        <f>IF(D22=0,0,D13/D22)</f>
        <v>2373.0407722621312</v>
      </c>
      <c r="E45" s="641">
        <f>IF(E22=0,0,E13/E22)</f>
        <v>2470.4514019972598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8999.6699497409045</v>
      </c>
      <c r="D46" s="641">
        <f>IF(D23=0,0,D13/D23)</f>
        <v>9793.2965929477305</v>
      </c>
      <c r="E46" s="641">
        <f>IF(E23=0,0,E13/E23)</f>
        <v>10264.674100165221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1871.8266695153368</v>
      </c>
      <c r="D47" s="641">
        <f>IF(D29=0,0,D13/D29)</f>
        <v>2012.6276705386836</v>
      </c>
      <c r="E47" s="641">
        <f>IF(E29=0,0,E13/E29)</f>
        <v>2086.7394111549124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7831.988513198492</v>
      </c>
      <c r="D48" s="641">
        <f>IF(D30=0,0,D13/D30)</f>
        <v>8305.9085790463523</v>
      </c>
      <c r="E48" s="641">
        <f>IF(E30=0,0,E13/E30)</f>
        <v>8670.3587733638033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4938.9848196704761</v>
      </c>
      <c r="D51" s="641">
        <f>IF(D19=0,0,D16/D19)</f>
        <v>5305.7943187339488</v>
      </c>
      <c r="E51" s="641">
        <f>IF(E19=0,0,E16/E19)</f>
        <v>5404.2350723685349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20665.413632842756</v>
      </c>
      <c r="D52" s="641">
        <f>IF(D20=0,0,D16/D20)</f>
        <v>21896.470567172732</v>
      </c>
      <c r="E52" s="641">
        <f>IF(E20=0,0,E16/E20)</f>
        <v>22454.484121281792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2155.5556136901396</v>
      </c>
      <c r="D53" s="641">
        <f>IF(D22=0,0,D16/D22)</f>
        <v>2283.0304902540183</v>
      </c>
      <c r="E53" s="641">
        <f>IF(E22=0,0,E16/E22)</f>
        <v>2375.0661891421173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9019.150694307049</v>
      </c>
      <c r="D54" s="641">
        <f>IF(D23=0,0,D16/D23)</f>
        <v>9421.8333638182885</v>
      </c>
      <c r="E54" s="641">
        <f>IF(E23=0,0,E16/E23)</f>
        <v>9868.3505282295955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1875.8784377940142</v>
      </c>
      <c r="D55" s="641">
        <f>IF(D29=0,0,D16/D29)</f>
        <v>1936.2879858944</v>
      </c>
      <c r="E55" s="641">
        <f>IF(E29=0,0,E16/E29)</f>
        <v>2006.1694866685182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7848.9416868729322</v>
      </c>
      <c r="D56" s="641">
        <f>IF(D30=0,0,D16/D30)</f>
        <v>7990.8625072416562</v>
      </c>
      <c r="E56" s="641">
        <f>IF(E30=0,0,E16/E30)</f>
        <v>8335.5924159041333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41906969</v>
      </c>
      <c r="D59" s="649">
        <v>44128939</v>
      </c>
      <c r="E59" s="649">
        <v>45300265</v>
      </c>
    </row>
    <row r="60" spans="1:6" ht="26.1" customHeight="1" x14ac:dyDescent="0.25">
      <c r="A60" s="639">
        <v>2</v>
      </c>
      <c r="B60" s="640" t="s">
        <v>943</v>
      </c>
      <c r="C60" s="649">
        <v>9368800</v>
      </c>
      <c r="D60" s="649">
        <v>10009289</v>
      </c>
      <c r="E60" s="649">
        <v>11000436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51275769</v>
      </c>
      <c r="D61" s="652">
        <f>D59+D60</f>
        <v>54138228</v>
      </c>
      <c r="E61" s="652">
        <f>E59+E60</f>
        <v>56300701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20128394</v>
      </c>
      <c r="D64" s="641">
        <v>21517184</v>
      </c>
      <c r="E64" s="649">
        <v>22986362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4499861</v>
      </c>
      <c r="D65" s="649">
        <v>4880508</v>
      </c>
      <c r="E65" s="649">
        <v>5581866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24628255</v>
      </c>
      <c r="D66" s="654">
        <f>D64+D65</f>
        <v>26397692</v>
      </c>
      <c r="E66" s="654">
        <f>E64+E65</f>
        <v>28568228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72402363</v>
      </c>
      <c r="D69" s="649">
        <v>78361456</v>
      </c>
      <c r="E69" s="649">
        <v>81688566</v>
      </c>
    </row>
    <row r="70" spans="1:6" ht="26.1" customHeight="1" x14ac:dyDescent="0.25">
      <c r="A70" s="639">
        <v>2</v>
      </c>
      <c r="B70" s="640" t="s">
        <v>951</v>
      </c>
      <c r="C70" s="649">
        <v>16186518</v>
      </c>
      <c r="D70" s="649">
        <v>17777596</v>
      </c>
      <c r="E70" s="649">
        <v>19836744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88588881</v>
      </c>
      <c r="D71" s="652">
        <f>D69+D70</f>
        <v>96139052</v>
      </c>
      <c r="E71" s="652">
        <f>E69+E70</f>
        <v>101525310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134437726</v>
      </c>
      <c r="D75" s="641">
        <f t="shared" si="0"/>
        <v>144007579</v>
      </c>
      <c r="E75" s="641">
        <f t="shared" si="0"/>
        <v>149975193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30055179</v>
      </c>
      <c r="D76" s="641">
        <f t="shared" si="0"/>
        <v>32667393</v>
      </c>
      <c r="E76" s="641">
        <f t="shared" si="0"/>
        <v>36419046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164492905</v>
      </c>
      <c r="D77" s="654">
        <f>D75+D76</f>
        <v>176674972</v>
      </c>
      <c r="E77" s="654">
        <f>E75+E76</f>
        <v>186394239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469</v>
      </c>
      <c r="D80" s="646">
        <v>501</v>
      </c>
      <c r="E80" s="646">
        <v>505</v>
      </c>
    </row>
    <row r="81" spans="1:5" ht="26.1" customHeight="1" x14ac:dyDescent="0.25">
      <c r="A81" s="639">
        <v>2</v>
      </c>
      <c r="B81" s="640" t="s">
        <v>579</v>
      </c>
      <c r="C81" s="646">
        <v>111</v>
      </c>
      <c r="D81" s="646">
        <v>121</v>
      </c>
      <c r="E81" s="646">
        <v>124</v>
      </c>
    </row>
    <row r="82" spans="1:5" ht="26.1" customHeight="1" x14ac:dyDescent="0.25">
      <c r="A82" s="639">
        <v>3</v>
      </c>
      <c r="B82" s="640" t="s">
        <v>957</v>
      </c>
      <c r="C82" s="646">
        <v>1331</v>
      </c>
      <c r="D82" s="646">
        <v>1355</v>
      </c>
      <c r="E82" s="646">
        <v>1392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1911</v>
      </c>
      <c r="D83" s="656">
        <f>D80+D81+D82</f>
        <v>1977</v>
      </c>
      <c r="E83" s="656">
        <f>E80+E81+E82</f>
        <v>2021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89353.878464818757</v>
      </c>
      <c r="D86" s="649">
        <f>IF(D80=0,0,D59/D80)</f>
        <v>88081.714570858283</v>
      </c>
      <c r="E86" s="649">
        <f>IF(E80=0,0,E59/E80)</f>
        <v>89703.495049504956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19976.119402985074</v>
      </c>
      <c r="D87" s="649">
        <f>IF(D80=0,0,D60/D80)</f>
        <v>19978.620758483034</v>
      </c>
      <c r="E87" s="649">
        <f>IF(E80=0,0,E60/E80)</f>
        <v>21783.041584158414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109329.99786780383</v>
      </c>
      <c r="D88" s="652">
        <f>+D86+D87</f>
        <v>108060.33532934132</v>
      </c>
      <c r="E88" s="652">
        <f>+E86+E87</f>
        <v>111486.53663366337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181336.88288288287</v>
      </c>
      <c r="D91" s="641">
        <f>IF(D81=0,0,D64/D81)</f>
        <v>177827.96694214875</v>
      </c>
      <c r="E91" s="641">
        <f>IF(E81=0,0,E64/E81)</f>
        <v>185373.88709677418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40539.288288288291</v>
      </c>
      <c r="D92" s="641">
        <f>IF(D81=0,0,D65/D81)</f>
        <v>40334.776859504134</v>
      </c>
      <c r="E92" s="641">
        <f>IF(E81=0,0,E65/E81)</f>
        <v>45015.048387096773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221876.17117117115</v>
      </c>
      <c r="D93" s="654">
        <f>+D91+D92</f>
        <v>218162.74380165289</v>
      </c>
      <c r="E93" s="654">
        <f>+E91+E92</f>
        <v>230388.93548387097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54396.966942148763</v>
      </c>
      <c r="D96" s="649">
        <f>IF(D82=0,0,D69/D82)</f>
        <v>57831.332841328411</v>
      </c>
      <c r="E96" s="649">
        <f>IF(E82=0,0,E69/E82)</f>
        <v>58684.314655172413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12161.170548459804</v>
      </c>
      <c r="D97" s="649">
        <f>IF(D82=0,0,D70/D82)</f>
        <v>13119.997047970479</v>
      </c>
      <c r="E97" s="649">
        <f>IF(E82=0,0,E70/E82)</f>
        <v>14250.534482758621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66558.137490608569</v>
      </c>
      <c r="D98" s="654">
        <f>+D96+D97</f>
        <v>70951.329889298882</v>
      </c>
      <c r="E98" s="654">
        <f>+E96+E97</f>
        <v>72934.849137931029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70349.411826268974</v>
      </c>
      <c r="D101" s="641">
        <f>IF(D83=0,0,D75/D83)</f>
        <v>72841.466363176529</v>
      </c>
      <c r="E101" s="641">
        <f>IF(E83=0,0,E75/E83)</f>
        <v>74208.408213755567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15727.461538461539</v>
      </c>
      <c r="D102" s="658">
        <f>IF(D83=0,0,D76/D83)</f>
        <v>16523.719271623671</v>
      </c>
      <c r="E102" s="658">
        <f>IF(E83=0,0,E76/E83)</f>
        <v>18020.309747649677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86076.873364730505</v>
      </c>
      <c r="D103" s="654">
        <f>+D101+D102</f>
        <v>89365.185634800204</v>
      </c>
      <c r="E103" s="654">
        <f>+E101+E102</f>
        <v>92228.717961405244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2768.3553240545953</v>
      </c>
      <c r="D108" s="641">
        <f>IF(D19=0,0,D77/D19)</f>
        <v>3065.7835080169361</v>
      </c>
      <c r="E108" s="641">
        <f>IF(E19=0,0,E77/E19)</f>
        <v>3223.1966487402515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11583.191676642489</v>
      </c>
      <c r="D109" s="641">
        <f>IF(D20=0,0,D77/D20)</f>
        <v>12652.175021483816</v>
      </c>
      <c r="E109" s="641">
        <f>IF(E20=0,0,E77/E20)</f>
        <v>13392.314915936198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1208.2126342419097</v>
      </c>
      <c r="D110" s="641">
        <f>IF(D22=0,0,D77/D22)</f>
        <v>1319.1761317635726</v>
      </c>
      <c r="E110" s="641">
        <f>IF(E22=0,0,E77/E22)</f>
        <v>1416.5381925224124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5055.3331817491744</v>
      </c>
      <c r="D111" s="641">
        <f>IF(D23=0,0,D77/D23)</f>
        <v>5444.1049929297596</v>
      </c>
      <c r="E111" s="641">
        <f>IF(E23=0,0,E77/E23)</f>
        <v>5885.6866744775534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1051.4505004882267</v>
      </c>
      <c r="D112" s="641">
        <f>IF(D29=0,0,D77/D29)</f>
        <v>1118.8220683501481</v>
      </c>
      <c r="E112" s="641">
        <f>IF(E29=0,0,E77/E29)</f>
        <v>1196.5206323641503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4399.4181598838068</v>
      </c>
      <c r="D113" s="641">
        <f>IF(D30=0,0,D77/D30)</f>
        <v>4617.2642620225106</v>
      </c>
      <c r="E113" s="641">
        <f>IF(E30=0,0,E77/E30)</f>
        <v>4971.5182963778152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FILING&amp;R&amp;12MIDDLESEX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activeCell="B3" sqref="B3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845270408</v>
      </c>
      <c r="D12" s="51">
        <v>938143112</v>
      </c>
      <c r="E12" s="51">
        <f t="shared" ref="E12:E19" si="0">D12-C12</f>
        <v>92872704</v>
      </c>
      <c r="F12" s="70">
        <f t="shared" ref="F12:F19" si="1">IF(C12=0,0,E12/C12)</f>
        <v>0.1098733649267892</v>
      </c>
    </row>
    <row r="13" spans="1:8" ht="23.1" customHeight="1" x14ac:dyDescent="0.2">
      <c r="A13" s="25">
        <v>2</v>
      </c>
      <c r="B13" s="48" t="s">
        <v>72</v>
      </c>
      <c r="C13" s="51">
        <v>519918005</v>
      </c>
      <c r="D13" s="51">
        <v>603550041</v>
      </c>
      <c r="E13" s="51">
        <f t="shared" si="0"/>
        <v>83632036</v>
      </c>
      <c r="F13" s="70">
        <f t="shared" si="1"/>
        <v>0.1608562027006547</v>
      </c>
    </row>
    <row r="14" spans="1:8" ht="23.1" customHeight="1" x14ac:dyDescent="0.2">
      <c r="A14" s="25">
        <v>3</v>
      </c>
      <c r="B14" s="48" t="s">
        <v>73</v>
      </c>
      <c r="C14" s="51">
        <v>7535167</v>
      </c>
      <c r="D14" s="51">
        <v>9520361</v>
      </c>
      <c r="E14" s="51">
        <f t="shared" si="0"/>
        <v>1985194</v>
      </c>
      <c r="F14" s="70">
        <f t="shared" si="1"/>
        <v>0.2634572000859437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317817236</v>
      </c>
      <c r="D16" s="27">
        <f>D12-D13-D14-D15</f>
        <v>325072710</v>
      </c>
      <c r="E16" s="27">
        <f t="shared" si="0"/>
        <v>7255474</v>
      </c>
      <c r="F16" s="28">
        <f t="shared" si="1"/>
        <v>2.2829076519940535E-2</v>
      </c>
    </row>
    <row r="17" spans="1:7" ht="23.1" customHeight="1" x14ac:dyDescent="0.2">
      <c r="A17" s="25">
        <v>5</v>
      </c>
      <c r="B17" s="48" t="s">
        <v>76</v>
      </c>
      <c r="C17" s="51">
        <v>9128624</v>
      </c>
      <c r="D17" s="51">
        <v>9611535</v>
      </c>
      <c r="E17" s="51">
        <f t="shared" si="0"/>
        <v>482911</v>
      </c>
      <c r="F17" s="70">
        <f t="shared" si="1"/>
        <v>5.2900743858000941E-2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326945860</v>
      </c>
      <c r="D19" s="27">
        <f>SUM(D16:D18)</f>
        <v>334684245</v>
      </c>
      <c r="E19" s="27">
        <f t="shared" si="0"/>
        <v>7738385</v>
      </c>
      <c r="F19" s="28">
        <f t="shared" si="1"/>
        <v>2.3668704659542104E-2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144007579</v>
      </c>
      <c r="D22" s="51">
        <v>149975193</v>
      </c>
      <c r="E22" s="51">
        <f t="shared" ref="E22:E31" si="2">D22-C22</f>
        <v>5967614</v>
      </c>
      <c r="F22" s="70">
        <f t="shared" ref="F22:F31" si="3">IF(C22=0,0,E22/C22)</f>
        <v>4.143958284306689E-2</v>
      </c>
    </row>
    <row r="23" spans="1:7" ht="23.1" customHeight="1" x14ac:dyDescent="0.2">
      <c r="A23" s="25">
        <v>2</v>
      </c>
      <c r="B23" s="48" t="s">
        <v>81</v>
      </c>
      <c r="C23" s="51">
        <v>32667393</v>
      </c>
      <c r="D23" s="51">
        <v>36419046</v>
      </c>
      <c r="E23" s="51">
        <f t="shared" si="2"/>
        <v>3751653</v>
      </c>
      <c r="F23" s="70">
        <f t="shared" si="3"/>
        <v>0.11484396688771584</v>
      </c>
    </row>
    <row r="24" spans="1:7" ht="23.1" customHeight="1" x14ac:dyDescent="0.2">
      <c r="A24" s="25">
        <v>3</v>
      </c>
      <c r="B24" s="48" t="s">
        <v>82</v>
      </c>
      <c r="C24" s="51">
        <v>2397057</v>
      </c>
      <c r="D24" s="51">
        <v>2502017</v>
      </c>
      <c r="E24" s="51">
        <f t="shared" si="2"/>
        <v>104960</v>
      </c>
      <c r="F24" s="70">
        <f t="shared" si="3"/>
        <v>4.3787027175407174E-2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30920282</v>
      </c>
      <c r="D25" s="51">
        <v>31045899</v>
      </c>
      <c r="E25" s="51">
        <f t="shared" si="2"/>
        <v>125617</v>
      </c>
      <c r="F25" s="70">
        <f t="shared" si="3"/>
        <v>4.0626084846186071E-3</v>
      </c>
    </row>
    <row r="26" spans="1:7" ht="23.1" customHeight="1" x14ac:dyDescent="0.2">
      <c r="A26" s="25">
        <v>5</v>
      </c>
      <c r="B26" s="48" t="s">
        <v>84</v>
      </c>
      <c r="C26" s="51">
        <v>20406140</v>
      </c>
      <c r="D26" s="51">
        <v>21231661</v>
      </c>
      <c r="E26" s="51">
        <f t="shared" si="2"/>
        <v>825521</v>
      </c>
      <c r="F26" s="70">
        <f t="shared" si="3"/>
        <v>4.0454539663062193E-2</v>
      </c>
    </row>
    <row r="27" spans="1:7" ht="23.1" customHeight="1" x14ac:dyDescent="0.2">
      <c r="A27" s="25">
        <v>6</v>
      </c>
      <c r="B27" s="48" t="s">
        <v>85</v>
      </c>
      <c r="C27" s="51">
        <v>17055645</v>
      </c>
      <c r="D27" s="51">
        <v>11858436</v>
      </c>
      <c r="E27" s="51">
        <f t="shared" si="2"/>
        <v>-5197209</v>
      </c>
      <c r="F27" s="70">
        <f t="shared" si="3"/>
        <v>-0.30472075374458135</v>
      </c>
    </row>
    <row r="28" spans="1:7" ht="23.1" customHeight="1" x14ac:dyDescent="0.2">
      <c r="A28" s="25">
        <v>7</v>
      </c>
      <c r="B28" s="48" t="s">
        <v>86</v>
      </c>
      <c r="C28" s="51">
        <v>3974237</v>
      </c>
      <c r="D28" s="51">
        <v>3718716</v>
      </c>
      <c r="E28" s="51">
        <f t="shared" si="2"/>
        <v>-255521</v>
      </c>
      <c r="F28" s="70">
        <f t="shared" si="3"/>
        <v>-6.4294353859621359E-2</v>
      </c>
    </row>
    <row r="29" spans="1:7" ht="23.1" customHeight="1" x14ac:dyDescent="0.2">
      <c r="A29" s="25">
        <v>8</v>
      </c>
      <c r="B29" s="48" t="s">
        <v>87</v>
      </c>
      <c r="C29" s="51">
        <v>3655926</v>
      </c>
      <c r="D29" s="51">
        <v>3980367</v>
      </c>
      <c r="E29" s="51">
        <f t="shared" si="2"/>
        <v>324441</v>
      </c>
      <c r="F29" s="70">
        <f t="shared" si="3"/>
        <v>8.8743864071646958E-2</v>
      </c>
    </row>
    <row r="30" spans="1:7" ht="23.1" customHeight="1" x14ac:dyDescent="0.2">
      <c r="A30" s="25">
        <v>9</v>
      </c>
      <c r="B30" s="48" t="s">
        <v>88</v>
      </c>
      <c r="C30" s="51">
        <v>50678056</v>
      </c>
      <c r="D30" s="51">
        <v>51790175</v>
      </c>
      <c r="E30" s="51">
        <f t="shared" si="2"/>
        <v>1112119</v>
      </c>
      <c r="F30" s="70">
        <f t="shared" si="3"/>
        <v>2.194478414878424E-2</v>
      </c>
    </row>
    <row r="31" spans="1:7" ht="23.1" customHeight="1" x14ac:dyDescent="0.25">
      <c r="A31" s="29"/>
      <c r="B31" s="71" t="s">
        <v>89</v>
      </c>
      <c r="C31" s="27">
        <f>SUM(C22:C30)</f>
        <v>305762315</v>
      </c>
      <c r="D31" s="27">
        <f>SUM(D22:D30)</f>
        <v>312521510</v>
      </c>
      <c r="E31" s="27">
        <f t="shared" si="2"/>
        <v>6759195</v>
      </c>
      <c r="F31" s="28">
        <f t="shared" si="3"/>
        <v>2.2106043382095666E-2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21183545</v>
      </c>
      <c r="D33" s="27">
        <f>+D19-D31</f>
        <v>22162735</v>
      </c>
      <c r="E33" s="27">
        <f>D33-C33</f>
        <v>979190</v>
      </c>
      <c r="F33" s="28">
        <f>IF(C33=0,0,E33/C33)</f>
        <v>4.6224085723140296E-2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-1387000</v>
      </c>
      <c r="D36" s="51">
        <v>3799040</v>
      </c>
      <c r="E36" s="51">
        <f>D36-C36</f>
        <v>5186040</v>
      </c>
      <c r="F36" s="70">
        <f>IF(C36=0,0,E36/C36)</f>
        <v>-3.7390338860850756</v>
      </c>
    </row>
    <row r="37" spans="1:6" ht="23.1" customHeight="1" x14ac:dyDescent="0.2">
      <c r="A37" s="44">
        <v>2</v>
      </c>
      <c r="B37" s="48" t="s">
        <v>93</v>
      </c>
      <c r="C37" s="51">
        <v>387000</v>
      </c>
      <c r="D37" s="51">
        <v>491000</v>
      </c>
      <c r="E37" s="51">
        <f>D37-C37</f>
        <v>104000</v>
      </c>
      <c r="F37" s="70">
        <f>IF(C37=0,0,E37/C37)</f>
        <v>0.26873385012919898</v>
      </c>
    </row>
    <row r="38" spans="1:6" ht="23.1" customHeight="1" x14ac:dyDescent="0.2">
      <c r="A38" s="44">
        <v>3</v>
      </c>
      <c r="B38" s="48" t="s">
        <v>94</v>
      </c>
      <c r="C38" s="51">
        <v>-1393000</v>
      </c>
      <c r="D38" s="51">
        <v>-1511000</v>
      </c>
      <c r="E38" s="51">
        <f>D38-C38</f>
        <v>-118000</v>
      </c>
      <c r="F38" s="70">
        <f>IF(C38=0,0,E38/C38)</f>
        <v>8.4709260588657576E-2</v>
      </c>
    </row>
    <row r="39" spans="1:6" ht="23.1" customHeight="1" x14ac:dyDescent="0.25">
      <c r="A39" s="20"/>
      <c r="B39" s="71" t="s">
        <v>95</v>
      </c>
      <c r="C39" s="27">
        <f>SUM(C36:C38)</f>
        <v>-2393000</v>
      </c>
      <c r="D39" s="27">
        <f>SUM(D36:D38)</f>
        <v>2779040</v>
      </c>
      <c r="E39" s="27">
        <f>D39-C39</f>
        <v>5172040</v>
      </c>
      <c r="F39" s="28">
        <f>IF(C39=0,0,E39/C39)</f>
        <v>-2.1613205181780191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18790545</v>
      </c>
      <c r="D41" s="27">
        <f>D33+D39</f>
        <v>24941775</v>
      </c>
      <c r="E41" s="27">
        <f>D41-C41</f>
        <v>6151230</v>
      </c>
      <c r="F41" s="28">
        <f>IF(C41=0,0,E41/C41)</f>
        <v>0.32735772166267663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18790545</v>
      </c>
      <c r="D48" s="27">
        <f>D41+D46</f>
        <v>24941775</v>
      </c>
      <c r="E48" s="27">
        <f>D48-C48</f>
        <v>6151230</v>
      </c>
      <c r="F48" s="28">
        <f>IF(C48=0,0,E48/C48)</f>
        <v>0.32735772166267663</v>
      </c>
    </row>
    <row r="49" spans="1:6" ht="23.1" customHeight="1" x14ac:dyDescent="0.2">
      <c r="A49" s="44"/>
      <c r="B49" s="48" t="s">
        <v>102</v>
      </c>
      <c r="C49" s="51">
        <v>4789000</v>
      </c>
      <c r="D49" s="51">
        <v>6907000</v>
      </c>
      <c r="E49" s="51">
        <f>D49-C49</f>
        <v>2118000</v>
      </c>
      <c r="F49" s="70">
        <f>IF(C49=0,0,E49/C49)</f>
        <v>0.44226352056796825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FILING&amp;RMIDDLESEX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>
      <selection activeCell="A3" sqref="A3:F3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190629016</v>
      </c>
      <c r="D14" s="97">
        <v>211662804</v>
      </c>
      <c r="E14" s="97">
        <f t="shared" ref="E14:E25" si="0">D14-C14</f>
        <v>21033788</v>
      </c>
      <c r="F14" s="98">
        <f t="shared" ref="F14:F25" si="1">IF(C14=0,0,E14/C14)</f>
        <v>0.11033885838239861</v>
      </c>
    </row>
    <row r="15" spans="1:6" ht="18" customHeight="1" x14ac:dyDescent="0.25">
      <c r="A15" s="99">
        <v>2</v>
      </c>
      <c r="B15" s="100" t="s">
        <v>113</v>
      </c>
      <c r="C15" s="97">
        <v>21647995</v>
      </c>
      <c r="D15" s="97">
        <v>26273908</v>
      </c>
      <c r="E15" s="97">
        <f t="shared" si="0"/>
        <v>4625913</v>
      </c>
      <c r="F15" s="98">
        <f t="shared" si="1"/>
        <v>0.2136878265169592</v>
      </c>
    </row>
    <row r="16" spans="1:6" ht="18" customHeight="1" x14ac:dyDescent="0.25">
      <c r="A16" s="99">
        <v>3</v>
      </c>
      <c r="B16" s="100" t="s">
        <v>114</v>
      </c>
      <c r="C16" s="97">
        <v>13739395</v>
      </c>
      <c r="D16" s="97">
        <v>23622846</v>
      </c>
      <c r="E16" s="97">
        <f t="shared" si="0"/>
        <v>9883451</v>
      </c>
      <c r="F16" s="98">
        <f t="shared" si="1"/>
        <v>0.71935125236591568</v>
      </c>
    </row>
    <row r="17" spans="1:6" ht="18" customHeight="1" x14ac:dyDescent="0.25">
      <c r="A17" s="99">
        <v>4</v>
      </c>
      <c r="B17" s="100" t="s">
        <v>115</v>
      </c>
      <c r="C17" s="97">
        <v>10895772</v>
      </c>
      <c r="D17" s="97">
        <v>16232499</v>
      </c>
      <c r="E17" s="97">
        <f t="shared" si="0"/>
        <v>5336727</v>
      </c>
      <c r="F17" s="98">
        <f t="shared" si="1"/>
        <v>0.48979796934076814</v>
      </c>
    </row>
    <row r="18" spans="1:6" ht="18" customHeight="1" x14ac:dyDescent="0.25">
      <c r="A18" s="99">
        <v>5</v>
      </c>
      <c r="B18" s="100" t="s">
        <v>116</v>
      </c>
      <c r="C18" s="97">
        <v>722673</v>
      </c>
      <c r="D18" s="97">
        <v>915983</v>
      </c>
      <c r="E18" s="97">
        <f t="shared" si="0"/>
        <v>193310</v>
      </c>
      <c r="F18" s="98">
        <f t="shared" si="1"/>
        <v>0.26749304318827466</v>
      </c>
    </row>
    <row r="19" spans="1:6" ht="18" customHeight="1" x14ac:dyDescent="0.25">
      <c r="A19" s="99">
        <v>6</v>
      </c>
      <c r="B19" s="100" t="s">
        <v>117</v>
      </c>
      <c r="C19" s="97">
        <v>8143245</v>
      </c>
      <c r="D19" s="97">
        <v>12059054</v>
      </c>
      <c r="E19" s="97">
        <f t="shared" si="0"/>
        <v>3915809</v>
      </c>
      <c r="F19" s="98">
        <f t="shared" si="1"/>
        <v>0.48086592015836438</v>
      </c>
    </row>
    <row r="20" spans="1:6" ht="18" customHeight="1" x14ac:dyDescent="0.25">
      <c r="A20" s="99">
        <v>7</v>
      </c>
      <c r="B20" s="100" t="s">
        <v>118</v>
      </c>
      <c r="C20" s="97">
        <v>95716072</v>
      </c>
      <c r="D20" s="97">
        <v>100461477</v>
      </c>
      <c r="E20" s="97">
        <f t="shared" si="0"/>
        <v>4745405</v>
      </c>
      <c r="F20" s="98">
        <f t="shared" si="1"/>
        <v>4.95779329515319E-2</v>
      </c>
    </row>
    <row r="21" spans="1:6" ht="18" customHeight="1" x14ac:dyDescent="0.25">
      <c r="A21" s="99">
        <v>8</v>
      </c>
      <c r="B21" s="100" t="s">
        <v>119</v>
      </c>
      <c r="C21" s="97">
        <v>4437829</v>
      </c>
      <c r="D21" s="97">
        <v>5946978</v>
      </c>
      <c r="E21" s="97">
        <f t="shared" si="0"/>
        <v>1509149</v>
      </c>
      <c r="F21" s="98">
        <f t="shared" si="1"/>
        <v>0.34006470280851292</v>
      </c>
    </row>
    <row r="22" spans="1:6" ht="18" customHeight="1" x14ac:dyDescent="0.25">
      <c r="A22" s="99">
        <v>9</v>
      </c>
      <c r="B22" s="100" t="s">
        <v>120</v>
      </c>
      <c r="C22" s="97">
        <v>9544072</v>
      </c>
      <c r="D22" s="97">
        <v>7173325</v>
      </c>
      <c r="E22" s="97">
        <f t="shared" si="0"/>
        <v>-2370747</v>
      </c>
      <c r="F22" s="98">
        <f t="shared" si="1"/>
        <v>-0.24839994920407138</v>
      </c>
    </row>
    <row r="23" spans="1:6" ht="18" customHeight="1" x14ac:dyDescent="0.25">
      <c r="A23" s="99">
        <v>10</v>
      </c>
      <c r="B23" s="100" t="s">
        <v>121</v>
      </c>
      <c r="C23" s="97">
        <v>8235376</v>
      </c>
      <c r="D23" s="97">
        <v>7948511</v>
      </c>
      <c r="E23" s="97">
        <f t="shared" si="0"/>
        <v>-286865</v>
      </c>
      <c r="F23" s="98">
        <f t="shared" si="1"/>
        <v>-3.4833260800721182E-2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363711445</v>
      </c>
      <c r="D25" s="103">
        <f>SUM(D14:D24)</f>
        <v>412297385</v>
      </c>
      <c r="E25" s="103">
        <f t="shared" si="0"/>
        <v>48585940</v>
      </c>
      <c r="F25" s="104">
        <f t="shared" si="1"/>
        <v>0.13358375346148374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144379461</v>
      </c>
      <c r="D27" s="97">
        <v>150668930</v>
      </c>
      <c r="E27" s="97">
        <f t="shared" ref="E27:E38" si="2">D27-C27</f>
        <v>6289469</v>
      </c>
      <c r="F27" s="98">
        <f t="shared" ref="F27:F38" si="3">IF(C27=0,0,E27/C27)</f>
        <v>4.3562075633458694E-2</v>
      </c>
    </row>
    <row r="28" spans="1:6" ht="18" customHeight="1" x14ac:dyDescent="0.25">
      <c r="A28" s="99">
        <v>2</v>
      </c>
      <c r="B28" s="100" t="s">
        <v>113</v>
      </c>
      <c r="C28" s="97">
        <v>19842403</v>
      </c>
      <c r="D28" s="97">
        <v>28659430</v>
      </c>
      <c r="E28" s="97">
        <f t="shared" si="2"/>
        <v>8817027</v>
      </c>
      <c r="F28" s="98">
        <f t="shared" si="3"/>
        <v>0.44435278327932359</v>
      </c>
    </row>
    <row r="29" spans="1:6" ht="18" customHeight="1" x14ac:dyDescent="0.25">
      <c r="A29" s="99">
        <v>3</v>
      </c>
      <c r="B29" s="100" t="s">
        <v>114</v>
      </c>
      <c r="C29" s="97">
        <v>14724852</v>
      </c>
      <c r="D29" s="97">
        <v>26209332</v>
      </c>
      <c r="E29" s="97">
        <f t="shared" si="2"/>
        <v>11484480</v>
      </c>
      <c r="F29" s="98">
        <f t="shared" si="3"/>
        <v>0.77993856916184967</v>
      </c>
    </row>
    <row r="30" spans="1:6" ht="18" customHeight="1" x14ac:dyDescent="0.25">
      <c r="A30" s="99">
        <v>4</v>
      </c>
      <c r="B30" s="100" t="s">
        <v>115</v>
      </c>
      <c r="C30" s="97">
        <v>25274700</v>
      </c>
      <c r="D30" s="97">
        <v>32920050</v>
      </c>
      <c r="E30" s="97">
        <f t="shared" si="2"/>
        <v>7645350</v>
      </c>
      <c r="F30" s="98">
        <f t="shared" si="3"/>
        <v>0.30249023727284596</v>
      </c>
    </row>
    <row r="31" spans="1:6" ht="18" customHeight="1" x14ac:dyDescent="0.25">
      <c r="A31" s="99">
        <v>5</v>
      </c>
      <c r="B31" s="100" t="s">
        <v>116</v>
      </c>
      <c r="C31" s="97">
        <v>1666742</v>
      </c>
      <c r="D31" s="97">
        <v>1918950</v>
      </c>
      <c r="E31" s="97">
        <f t="shared" si="2"/>
        <v>252208</v>
      </c>
      <c r="F31" s="98">
        <f t="shared" si="3"/>
        <v>0.15131796042818865</v>
      </c>
    </row>
    <row r="32" spans="1:6" ht="18" customHeight="1" x14ac:dyDescent="0.25">
      <c r="A32" s="99">
        <v>6</v>
      </c>
      <c r="B32" s="100" t="s">
        <v>117</v>
      </c>
      <c r="C32" s="97">
        <v>22986673</v>
      </c>
      <c r="D32" s="97">
        <v>25948383</v>
      </c>
      <c r="E32" s="97">
        <f t="shared" si="2"/>
        <v>2961710</v>
      </c>
      <c r="F32" s="98">
        <f t="shared" si="3"/>
        <v>0.12884465707586304</v>
      </c>
    </row>
    <row r="33" spans="1:6" ht="18" customHeight="1" x14ac:dyDescent="0.25">
      <c r="A33" s="99">
        <v>7</v>
      </c>
      <c r="B33" s="100" t="s">
        <v>118</v>
      </c>
      <c r="C33" s="97">
        <v>213291746</v>
      </c>
      <c r="D33" s="97">
        <v>224756617</v>
      </c>
      <c r="E33" s="97">
        <f t="shared" si="2"/>
        <v>11464871</v>
      </c>
      <c r="F33" s="98">
        <f t="shared" si="3"/>
        <v>5.375206127291958E-2</v>
      </c>
    </row>
    <row r="34" spans="1:6" ht="18" customHeight="1" x14ac:dyDescent="0.25">
      <c r="A34" s="99">
        <v>8</v>
      </c>
      <c r="B34" s="100" t="s">
        <v>119</v>
      </c>
      <c r="C34" s="97">
        <v>10289290</v>
      </c>
      <c r="D34" s="97">
        <v>11395315</v>
      </c>
      <c r="E34" s="97">
        <f t="shared" si="2"/>
        <v>1106025</v>
      </c>
      <c r="F34" s="98">
        <f t="shared" si="3"/>
        <v>0.10749283964199668</v>
      </c>
    </row>
    <row r="35" spans="1:6" ht="18" customHeight="1" x14ac:dyDescent="0.25">
      <c r="A35" s="99">
        <v>9</v>
      </c>
      <c r="B35" s="100" t="s">
        <v>120</v>
      </c>
      <c r="C35" s="97">
        <v>15462076</v>
      </c>
      <c r="D35" s="97">
        <v>14092307</v>
      </c>
      <c r="E35" s="97">
        <f t="shared" si="2"/>
        <v>-1369769</v>
      </c>
      <c r="F35" s="98">
        <f t="shared" si="3"/>
        <v>-8.8588944977375614E-2</v>
      </c>
    </row>
    <row r="36" spans="1:6" ht="18" customHeight="1" x14ac:dyDescent="0.25">
      <c r="A36" s="99">
        <v>10</v>
      </c>
      <c r="B36" s="100" t="s">
        <v>121</v>
      </c>
      <c r="C36" s="97">
        <v>13641022</v>
      </c>
      <c r="D36" s="97">
        <v>9276414</v>
      </c>
      <c r="E36" s="97">
        <f t="shared" si="2"/>
        <v>-4364608</v>
      </c>
      <c r="F36" s="98">
        <f t="shared" si="3"/>
        <v>-0.31996195006503181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481558965</v>
      </c>
      <c r="D38" s="103">
        <f>SUM(D27:D37)</f>
        <v>525845728</v>
      </c>
      <c r="E38" s="103">
        <f t="shared" si="2"/>
        <v>44286763</v>
      </c>
      <c r="F38" s="104">
        <f t="shared" si="3"/>
        <v>9.1965400332646705E-2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335008477</v>
      </c>
      <c r="D41" s="103">
        <f t="shared" si="4"/>
        <v>362331734</v>
      </c>
      <c r="E41" s="107">
        <f t="shared" ref="E41:E52" si="5">D41-C41</f>
        <v>27323257</v>
      </c>
      <c r="F41" s="108">
        <f t="shared" ref="F41:F52" si="6">IF(C41=0,0,E41/C41)</f>
        <v>8.1559897363432984E-2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41490398</v>
      </c>
      <c r="D42" s="103">
        <f t="shared" si="4"/>
        <v>54933338</v>
      </c>
      <c r="E42" s="107">
        <f t="shared" si="5"/>
        <v>13442940</v>
      </c>
      <c r="F42" s="108">
        <f t="shared" si="6"/>
        <v>0.32400123035696116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28464247</v>
      </c>
      <c r="D43" s="103">
        <f t="shared" si="4"/>
        <v>49832178</v>
      </c>
      <c r="E43" s="107">
        <f t="shared" si="5"/>
        <v>21367931</v>
      </c>
      <c r="F43" s="108">
        <f t="shared" si="6"/>
        <v>0.75069370357838727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36170472</v>
      </c>
      <c r="D44" s="103">
        <f t="shared" si="4"/>
        <v>49152549</v>
      </c>
      <c r="E44" s="107">
        <f t="shared" si="5"/>
        <v>12982077</v>
      </c>
      <c r="F44" s="108">
        <f t="shared" si="6"/>
        <v>0.35891367411517328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2389415</v>
      </c>
      <c r="D45" s="103">
        <f t="shared" si="4"/>
        <v>2834933</v>
      </c>
      <c r="E45" s="107">
        <f t="shared" si="5"/>
        <v>445518</v>
      </c>
      <c r="F45" s="108">
        <f t="shared" si="6"/>
        <v>0.18645484354957176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31129918</v>
      </c>
      <c r="D46" s="103">
        <f t="shared" si="4"/>
        <v>38007437</v>
      </c>
      <c r="E46" s="107">
        <f t="shared" si="5"/>
        <v>6877519</v>
      </c>
      <c r="F46" s="108">
        <f t="shared" si="6"/>
        <v>0.22092955721887864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309007818</v>
      </c>
      <c r="D47" s="103">
        <f t="shared" si="4"/>
        <v>325218094</v>
      </c>
      <c r="E47" s="107">
        <f t="shared" si="5"/>
        <v>16210276</v>
      </c>
      <c r="F47" s="108">
        <f t="shared" si="6"/>
        <v>5.2459112862963231E-2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14727119</v>
      </c>
      <c r="D48" s="103">
        <f t="shared" si="4"/>
        <v>17342293</v>
      </c>
      <c r="E48" s="107">
        <f t="shared" si="5"/>
        <v>2615174</v>
      </c>
      <c r="F48" s="108">
        <f t="shared" si="6"/>
        <v>0.17757539679009859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25006148</v>
      </c>
      <c r="D49" s="103">
        <f t="shared" si="4"/>
        <v>21265632</v>
      </c>
      <c r="E49" s="107">
        <f t="shared" si="5"/>
        <v>-3740516</v>
      </c>
      <c r="F49" s="108">
        <f t="shared" si="6"/>
        <v>-0.14958385433854107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21876398</v>
      </c>
      <c r="D50" s="103">
        <f t="shared" si="4"/>
        <v>17224925</v>
      </c>
      <c r="E50" s="107">
        <f t="shared" si="5"/>
        <v>-4651473</v>
      </c>
      <c r="F50" s="108">
        <f t="shared" si="6"/>
        <v>-0.21262517714296475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845270410</v>
      </c>
      <c r="D52" s="112">
        <f>SUM(D41:D51)</f>
        <v>938143113</v>
      </c>
      <c r="E52" s="111">
        <f t="shared" si="5"/>
        <v>92872703</v>
      </c>
      <c r="F52" s="113">
        <f t="shared" si="6"/>
        <v>0.10987336348376374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63315939</v>
      </c>
      <c r="D57" s="97">
        <v>61063498</v>
      </c>
      <c r="E57" s="97">
        <f t="shared" ref="E57:E68" si="7">D57-C57</f>
        <v>-2252441</v>
      </c>
      <c r="F57" s="98">
        <f t="shared" ref="F57:F68" si="8">IF(C57=0,0,E57/C57)</f>
        <v>-3.5574628372801988E-2</v>
      </c>
    </row>
    <row r="58" spans="1:6" ht="18" customHeight="1" x14ac:dyDescent="0.25">
      <c r="A58" s="99">
        <v>2</v>
      </c>
      <c r="B58" s="100" t="s">
        <v>113</v>
      </c>
      <c r="C58" s="97">
        <v>6203355</v>
      </c>
      <c r="D58" s="97">
        <v>7246065</v>
      </c>
      <c r="E58" s="97">
        <f t="shared" si="7"/>
        <v>1042710</v>
      </c>
      <c r="F58" s="98">
        <f t="shared" si="8"/>
        <v>0.16808807492074854</v>
      </c>
    </row>
    <row r="59" spans="1:6" ht="18" customHeight="1" x14ac:dyDescent="0.25">
      <c r="A59" s="99">
        <v>3</v>
      </c>
      <c r="B59" s="100" t="s">
        <v>114</v>
      </c>
      <c r="C59" s="97">
        <v>3871680</v>
      </c>
      <c r="D59" s="97">
        <v>6007149</v>
      </c>
      <c r="E59" s="97">
        <f t="shared" si="7"/>
        <v>2135469</v>
      </c>
      <c r="F59" s="98">
        <f t="shared" si="8"/>
        <v>0.55156133771386062</v>
      </c>
    </row>
    <row r="60" spans="1:6" ht="18" customHeight="1" x14ac:dyDescent="0.25">
      <c r="A60" s="99">
        <v>4</v>
      </c>
      <c r="B60" s="100" t="s">
        <v>115</v>
      </c>
      <c r="C60" s="97">
        <v>2876267</v>
      </c>
      <c r="D60" s="97">
        <v>3970893</v>
      </c>
      <c r="E60" s="97">
        <f t="shared" si="7"/>
        <v>1094626</v>
      </c>
      <c r="F60" s="98">
        <f t="shared" si="8"/>
        <v>0.38057176194004244</v>
      </c>
    </row>
    <row r="61" spans="1:6" ht="18" customHeight="1" x14ac:dyDescent="0.25">
      <c r="A61" s="99">
        <v>5</v>
      </c>
      <c r="B61" s="100" t="s">
        <v>116</v>
      </c>
      <c r="C61" s="97">
        <v>199932</v>
      </c>
      <c r="D61" s="97">
        <v>195944</v>
      </c>
      <c r="E61" s="97">
        <f t="shared" si="7"/>
        <v>-3988</v>
      </c>
      <c r="F61" s="98">
        <f t="shared" si="8"/>
        <v>-1.9946781905847987E-2</v>
      </c>
    </row>
    <row r="62" spans="1:6" ht="18" customHeight="1" x14ac:dyDescent="0.25">
      <c r="A62" s="99">
        <v>6</v>
      </c>
      <c r="B62" s="100" t="s">
        <v>117</v>
      </c>
      <c r="C62" s="97">
        <v>2235955</v>
      </c>
      <c r="D62" s="97">
        <v>4901096</v>
      </c>
      <c r="E62" s="97">
        <f t="shared" si="7"/>
        <v>2665141</v>
      </c>
      <c r="F62" s="98">
        <f t="shared" si="8"/>
        <v>1.1919475123604903</v>
      </c>
    </row>
    <row r="63" spans="1:6" ht="18" customHeight="1" x14ac:dyDescent="0.25">
      <c r="A63" s="99">
        <v>7</v>
      </c>
      <c r="B63" s="100" t="s">
        <v>118</v>
      </c>
      <c r="C63" s="97">
        <v>44810017</v>
      </c>
      <c r="D63" s="97">
        <v>46436892</v>
      </c>
      <c r="E63" s="97">
        <f t="shared" si="7"/>
        <v>1626875</v>
      </c>
      <c r="F63" s="98">
        <f t="shared" si="8"/>
        <v>3.6306056299867058E-2</v>
      </c>
    </row>
    <row r="64" spans="1:6" ht="18" customHeight="1" x14ac:dyDescent="0.25">
      <c r="A64" s="99">
        <v>8</v>
      </c>
      <c r="B64" s="100" t="s">
        <v>119</v>
      </c>
      <c r="C64" s="97">
        <v>3312060</v>
      </c>
      <c r="D64" s="97">
        <v>4220985</v>
      </c>
      <c r="E64" s="97">
        <f t="shared" si="7"/>
        <v>908925</v>
      </c>
      <c r="F64" s="98">
        <f t="shared" si="8"/>
        <v>0.2744289052734552</v>
      </c>
    </row>
    <row r="65" spans="1:6" ht="18" customHeight="1" x14ac:dyDescent="0.25">
      <c r="A65" s="99">
        <v>9</v>
      </c>
      <c r="B65" s="100" t="s">
        <v>120</v>
      </c>
      <c r="C65" s="97">
        <v>812274</v>
      </c>
      <c r="D65" s="97">
        <v>2154497</v>
      </c>
      <c r="E65" s="97">
        <f t="shared" si="7"/>
        <v>1342223</v>
      </c>
      <c r="F65" s="98">
        <f t="shared" si="8"/>
        <v>1.652426397988856</v>
      </c>
    </row>
    <row r="66" spans="1:6" ht="18" customHeight="1" x14ac:dyDescent="0.25">
      <c r="A66" s="99">
        <v>10</v>
      </c>
      <c r="B66" s="100" t="s">
        <v>121</v>
      </c>
      <c r="C66" s="97">
        <v>769452</v>
      </c>
      <c r="D66" s="97">
        <v>-1796300</v>
      </c>
      <c r="E66" s="97">
        <f t="shared" si="7"/>
        <v>-2565752</v>
      </c>
      <c r="F66" s="98">
        <f t="shared" si="8"/>
        <v>-3.3345185924528105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128406931</v>
      </c>
      <c r="D68" s="103">
        <f>SUM(D57:D67)</f>
        <v>134400719</v>
      </c>
      <c r="E68" s="103">
        <f t="shared" si="7"/>
        <v>5993788</v>
      </c>
      <c r="F68" s="104">
        <f t="shared" si="8"/>
        <v>4.6678072229605738E-2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42550081</v>
      </c>
      <c r="D70" s="97">
        <v>38804921</v>
      </c>
      <c r="E70" s="97">
        <f t="shared" ref="E70:E81" si="9">D70-C70</f>
        <v>-3745160</v>
      </c>
      <c r="F70" s="98">
        <f t="shared" ref="F70:F81" si="10">IF(C70=0,0,E70/C70)</f>
        <v>-8.8017693785353776E-2</v>
      </c>
    </row>
    <row r="71" spans="1:6" ht="18" customHeight="1" x14ac:dyDescent="0.25">
      <c r="A71" s="99">
        <v>2</v>
      </c>
      <c r="B71" s="100" t="s">
        <v>113</v>
      </c>
      <c r="C71" s="97">
        <v>3898616</v>
      </c>
      <c r="D71" s="97">
        <v>5446437</v>
      </c>
      <c r="E71" s="97">
        <f t="shared" si="9"/>
        <v>1547821</v>
      </c>
      <c r="F71" s="98">
        <f t="shared" si="10"/>
        <v>0.39701807000227773</v>
      </c>
    </row>
    <row r="72" spans="1:6" ht="18" customHeight="1" x14ac:dyDescent="0.25">
      <c r="A72" s="99">
        <v>3</v>
      </c>
      <c r="B72" s="100" t="s">
        <v>114</v>
      </c>
      <c r="C72" s="97">
        <v>1392471</v>
      </c>
      <c r="D72" s="97">
        <v>7176278</v>
      </c>
      <c r="E72" s="97">
        <f t="shared" si="9"/>
        <v>5783807</v>
      </c>
      <c r="F72" s="98">
        <f t="shared" si="10"/>
        <v>4.1536283340909792</v>
      </c>
    </row>
    <row r="73" spans="1:6" ht="18" customHeight="1" x14ac:dyDescent="0.25">
      <c r="A73" s="99">
        <v>4</v>
      </c>
      <c r="B73" s="100" t="s">
        <v>115</v>
      </c>
      <c r="C73" s="97">
        <v>7313075</v>
      </c>
      <c r="D73" s="97">
        <v>10367539</v>
      </c>
      <c r="E73" s="97">
        <f t="shared" si="9"/>
        <v>3054464</v>
      </c>
      <c r="F73" s="98">
        <f t="shared" si="10"/>
        <v>0.41767163607647945</v>
      </c>
    </row>
    <row r="74" spans="1:6" ht="18" customHeight="1" x14ac:dyDescent="0.25">
      <c r="A74" s="99">
        <v>5</v>
      </c>
      <c r="B74" s="100" t="s">
        <v>116</v>
      </c>
      <c r="C74" s="97">
        <v>649861</v>
      </c>
      <c r="D74" s="97">
        <v>437709</v>
      </c>
      <c r="E74" s="97">
        <f t="shared" si="9"/>
        <v>-212152</v>
      </c>
      <c r="F74" s="98">
        <f t="shared" si="10"/>
        <v>-0.32645750398931461</v>
      </c>
    </row>
    <row r="75" spans="1:6" ht="18" customHeight="1" x14ac:dyDescent="0.25">
      <c r="A75" s="99">
        <v>6</v>
      </c>
      <c r="B75" s="100" t="s">
        <v>117</v>
      </c>
      <c r="C75" s="97">
        <v>10513265</v>
      </c>
      <c r="D75" s="97">
        <v>11644230</v>
      </c>
      <c r="E75" s="97">
        <f t="shared" si="9"/>
        <v>1130965</v>
      </c>
      <c r="F75" s="98">
        <f t="shared" si="10"/>
        <v>0.1075750492354183</v>
      </c>
    </row>
    <row r="76" spans="1:6" ht="18" customHeight="1" x14ac:dyDescent="0.25">
      <c r="A76" s="99">
        <v>7</v>
      </c>
      <c r="B76" s="100" t="s">
        <v>118</v>
      </c>
      <c r="C76" s="97">
        <v>98181485</v>
      </c>
      <c r="D76" s="97">
        <v>100180952</v>
      </c>
      <c r="E76" s="97">
        <f t="shared" si="9"/>
        <v>1999467</v>
      </c>
      <c r="F76" s="98">
        <f t="shared" si="10"/>
        <v>2.0365010775707865E-2</v>
      </c>
    </row>
    <row r="77" spans="1:6" ht="18" customHeight="1" x14ac:dyDescent="0.25">
      <c r="A77" s="99">
        <v>8</v>
      </c>
      <c r="B77" s="100" t="s">
        <v>119</v>
      </c>
      <c r="C77" s="97">
        <v>7286631</v>
      </c>
      <c r="D77" s="97">
        <v>7560134</v>
      </c>
      <c r="E77" s="97">
        <f t="shared" si="9"/>
        <v>273503</v>
      </c>
      <c r="F77" s="98">
        <f t="shared" si="10"/>
        <v>3.753490467679782E-2</v>
      </c>
    </row>
    <row r="78" spans="1:6" ht="18" customHeight="1" x14ac:dyDescent="0.25">
      <c r="A78" s="99">
        <v>9</v>
      </c>
      <c r="B78" s="100" t="s">
        <v>120</v>
      </c>
      <c r="C78" s="97">
        <v>3717142</v>
      </c>
      <c r="D78" s="97">
        <v>4402842</v>
      </c>
      <c r="E78" s="97">
        <f t="shared" si="9"/>
        <v>685700</v>
      </c>
      <c r="F78" s="98">
        <f t="shared" si="10"/>
        <v>0.18446968127663674</v>
      </c>
    </row>
    <row r="79" spans="1:6" ht="18" customHeight="1" x14ac:dyDescent="0.25">
      <c r="A79" s="99">
        <v>10</v>
      </c>
      <c r="B79" s="100" t="s">
        <v>121</v>
      </c>
      <c r="C79" s="97">
        <v>1944153</v>
      </c>
      <c r="D79" s="97">
        <v>-755657</v>
      </c>
      <c r="E79" s="97">
        <f t="shared" si="9"/>
        <v>-2699810</v>
      </c>
      <c r="F79" s="98">
        <f t="shared" si="10"/>
        <v>-1.388681857857895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177446780</v>
      </c>
      <c r="D81" s="103">
        <f>SUM(D70:D80)</f>
        <v>185265385</v>
      </c>
      <c r="E81" s="103">
        <f t="shared" si="9"/>
        <v>7818605</v>
      </c>
      <c r="F81" s="104">
        <f t="shared" si="10"/>
        <v>4.40616899331732E-2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105866020</v>
      </c>
      <c r="D84" s="103">
        <f t="shared" si="11"/>
        <v>99868419</v>
      </c>
      <c r="E84" s="103">
        <f t="shared" ref="E84:E95" si="12">D84-C84</f>
        <v>-5997601</v>
      </c>
      <c r="F84" s="104">
        <f t="shared" ref="F84:F95" si="13">IF(C84=0,0,E84/C84)</f>
        <v>-5.6652748445629675E-2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10101971</v>
      </c>
      <c r="D85" s="103">
        <f t="shared" si="11"/>
        <v>12692502</v>
      </c>
      <c r="E85" s="103">
        <f t="shared" si="12"/>
        <v>2590531</v>
      </c>
      <c r="F85" s="104">
        <f t="shared" si="13"/>
        <v>0.25643817429291771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5264151</v>
      </c>
      <c r="D86" s="103">
        <f t="shared" si="11"/>
        <v>13183427</v>
      </c>
      <c r="E86" s="103">
        <f t="shared" si="12"/>
        <v>7919276</v>
      </c>
      <c r="F86" s="104">
        <f t="shared" si="13"/>
        <v>1.5043785788059651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10189342</v>
      </c>
      <c r="D87" s="103">
        <f t="shared" si="11"/>
        <v>14338432</v>
      </c>
      <c r="E87" s="103">
        <f t="shared" si="12"/>
        <v>4149090</v>
      </c>
      <c r="F87" s="104">
        <f t="shared" si="13"/>
        <v>0.40719901245831186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849793</v>
      </c>
      <c r="D88" s="103">
        <f t="shared" si="11"/>
        <v>633653</v>
      </c>
      <c r="E88" s="103">
        <f t="shared" si="12"/>
        <v>-216140</v>
      </c>
      <c r="F88" s="104">
        <f t="shared" si="13"/>
        <v>-0.25434429325729913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12749220</v>
      </c>
      <c r="D89" s="103">
        <f t="shared" si="11"/>
        <v>16545326</v>
      </c>
      <c r="E89" s="103">
        <f t="shared" si="12"/>
        <v>3796106</v>
      </c>
      <c r="F89" s="104">
        <f t="shared" si="13"/>
        <v>0.2977520193392223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142991502</v>
      </c>
      <c r="D90" s="103">
        <f t="shared" si="11"/>
        <v>146617844</v>
      </c>
      <c r="E90" s="103">
        <f t="shared" si="12"/>
        <v>3626342</v>
      </c>
      <c r="F90" s="104">
        <f t="shared" si="13"/>
        <v>2.5360542055149544E-2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10598691</v>
      </c>
      <c r="D91" s="103">
        <f t="shared" si="11"/>
        <v>11781119</v>
      </c>
      <c r="E91" s="103">
        <f t="shared" si="12"/>
        <v>1182428</v>
      </c>
      <c r="F91" s="104">
        <f t="shared" si="13"/>
        <v>0.1115635883714319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4529416</v>
      </c>
      <c r="D92" s="103">
        <f t="shared" si="11"/>
        <v>6557339</v>
      </c>
      <c r="E92" s="103">
        <f t="shared" si="12"/>
        <v>2027923</v>
      </c>
      <c r="F92" s="104">
        <f t="shared" si="13"/>
        <v>0.44772284109033039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2713605</v>
      </c>
      <c r="D93" s="103">
        <f t="shared" si="11"/>
        <v>-2551957</v>
      </c>
      <c r="E93" s="103">
        <f t="shared" si="12"/>
        <v>-5265562</v>
      </c>
      <c r="F93" s="104">
        <f t="shared" si="13"/>
        <v>-1.9404305342892574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305853711</v>
      </c>
      <c r="D95" s="112">
        <f>SUM(D84:D94)</f>
        <v>319666104</v>
      </c>
      <c r="E95" s="112">
        <f t="shared" si="12"/>
        <v>13812393</v>
      </c>
      <c r="F95" s="113">
        <f t="shared" si="13"/>
        <v>4.5160128856504216E-2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6724</v>
      </c>
      <c r="D100" s="117">
        <v>6435</v>
      </c>
      <c r="E100" s="117">
        <f t="shared" ref="E100:E111" si="14">D100-C100</f>
        <v>-289</v>
      </c>
      <c r="F100" s="98">
        <f t="shared" ref="F100:F111" si="15">IF(C100=0,0,E100/C100)</f>
        <v>-4.2980368828078527E-2</v>
      </c>
    </row>
    <row r="101" spans="1:6" ht="18" customHeight="1" x14ac:dyDescent="0.25">
      <c r="A101" s="99">
        <v>2</v>
      </c>
      <c r="B101" s="100" t="s">
        <v>113</v>
      </c>
      <c r="C101" s="117">
        <v>677</v>
      </c>
      <c r="D101" s="117">
        <v>769</v>
      </c>
      <c r="E101" s="117">
        <f t="shared" si="14"/>
        <v>92</v>
      </c>
      <c r="F101" s="98">
        <f t="shared" si="15"/>
        <v>0.13589364844903989</v>
      </c>
    </row>
    <row r="102" spans="1:6" ht="18" customHeight="1" x14ac:dyDescent="0.25">
      <c r="A102" s="99">
        <v>3</v>
      </c>
      <c r="B102" s="100" t="s">
        <v>114</v>
      </c>
      <c r="C102" s="117">
        <v>536</v>
      </c>
      <c r="D102" s="117">
        <v>711</v>
      </c>
      <c r="E102" s="117">
        <f t="shared" si="14"/>
        <v>175</v>
      </c>
      <c r="F102" s="98">
        <f t="shared" si="15"/>
        <v>0.32649253731343286</v>
      </c>
    </row>
    <row r="103" spans="1:6" ht="18" customHeight="1" x14ac:dyDescent="0.25">
      <c r="A103" s="99">
        <v>4</v>
      </c>
      <c r="B103" s="100" t="s">
        <v>115</v>
      </c>
      <c r="C103" s="117">
        <v>777</v>
      </c>
      <c r="D103" s="117">
        <v>954</v>
      </c>
      <c r="E103" s="117">
        <f t="shared" si="14"/>
        <v>177</v>
      </c>
      <c r="F103" s="98">
        <f t="shared" si="15"/>
        <v>0.22779922779922779</v>
      </c>
    </row>
    <row r="104" spans="1:6" ht="18" customHeight="1" x14ac:dyDescent="0.25">
      <c r="A104" s="99">
        <v>5</v>
      </c>
      <c r="B104" s="100" t="s">
        <v>116</v>
      </c>
      <c r="C104" s="117">
        <v>36</v>
      </c>
      <c r="D104" s="117">
        <v>43</v>
      </c>
      <c r="E104" s="117">
        <f t="shared" si="14"/>
        <v>7</v>
      </c>
      <c r="F104" s="98">
        <f t="shared" si="15"/>
        <v>0.19444444444444445</v>
      </c>
    </row>
    <row r="105" spans="1:6" ht="18" customHeight="1" x14ac:dyDescent="0.25">
      <c r="A105" s="99">
        <v>6</v>
      </c>
      <c r="B105" s="100" t="s">
        <v>117</v>
      </c>
      <c r="C105" s="117">
        <v>372</v>
      </c>
      <c r="D105" s="117">
        <v>408</v>
      </c>
      <c r="E105" s="117">
        <f t="shared" si="14"/>
        <v>36</v>
      </c>
      <c r="F105" s="98">
        <f t="shared" si="15"/>
        <v>9.6774193548387094E-2</v>
      </c>
    </row>
    <row r="106" spans="1:6" ht="18" customHeight="1" x14ac:dyDescent="0.25">
      <c r="A106" s="99">
        <v>7</v>
      </c>
      <c r="B106" s="100" t="s">
        <v>118</v>
      </c>
      <c r="C106" s="117">
        <v>4091</v>
      </c>
      <c r="D106" s="117">
        <v>3976</v>
      </c>
      <c r="E106" s="117">
        <f t="shared" si="14"/>
        <v>-115</v>
      </c>
      <c r="F106" s="98">
        <f t="shared" si="15"/>
        <v>-2.8110486433634809E-2</v>
      </c>
    </row>
    <row r="107" spans="1:6" ht="18" customHeight="1" x14ac:dyDescent="0.25">
      <c r="A107" s="99">
        <v>8</v>
      </c>
      <c r="B107" s="100" t="s">
        <v>119</v>
      </c>
      <c r="C107" s="117">
        <v>79</v>
      </c>
      <c r="D107" s="117">
        <v>91</v>
      </c>
      <c r="E107" s="117">
        <f t="shared" si="14"/>
        <v>12</v>
      </c>
      <c r="F107" s="98">
        <f t="shared" si="15"/>
        <v>0.15189873417721519</v>
      </c>
    </row>
    <row r="108" spans="1:6" ht="18" customHeight="1" x14ac:dyDescent="0.25">
      <c r="A108" s="99">
        <v>9</v>
      </c>
      <c r="B108" s="100" t="s">
        <v>120</v>
      </c>
      <c r="C108" s="117">
        <v>350</v>
      </c>
      <c r="D108" s="117">
        <v>242</v>
      </c>
      <c r="E108" s="117">
        <f t="shared" si="14"/>
        <v>-108</v>
      </c>
      <c r="F108" s="98">
        <f t="shared" si="15"/>
        <v>-0.30857142857142855</v>
      </c>
    </row>
    <row r="109" spans="1:6" ht="18" customHeight="1" x14ac:dyDescent="0.25">
      <c r="A109" s="99">
        <v>10</v>
      </c>
      <c r="B109" s="100" t="s">
        <v>121</v>
      </c>
      <c r="C109" s="117">
        <v>322</v>
      </c>
      <c r="D109" s="117">
        <v>289</v>
      </c>
      <c r="E109" s="117">
        <f t="shared" si="14"/>
        <v>-33</v>
      </c>
      <c r="F109" s="98">
        <f t="shared" si="15"/>
        <v>-0.10248447204968944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13964</v>
      </c>
      <c r="D111" s="118">
        <f>SUM(D100:D110)</f>
        <v>13918</v>
      </c>
      <c r="E111" s="118">
        <f t="shared" si="14"/>
        <v>-46</v>
      </c>
      <c r="F111" s="104">
        <f t="shared" si="15"/>
        <v>-3.294185047264394E-3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31070</v>
      </c>
      <c r="D113" s="117">
        <v>30211</v>
      </c>
      <c r="E113" s="117">
        <f t="shared" ref="E113:E124" si="16">D113-C113</f>
        <v>-859</v>
      </c>
      <c r="F113" s="98">
        <f t="shared" ref="F113:F124" si="17">IF(C113=0,0,E113/C113)</f>
        <v>-2.7647248149340199E-2</v>
      </c>
    </row>
    <row r="114" spans="1:6" ht="18" customHeight="1" x14ac:dyDescent="0.25">
      <c r="A114" s="99">
        <v>2</v>
      </c>
      <c r="B114" s="100" t="s">
        <v>113</v>
      </c>
      <c r="C114" s="117">
        <v>3077</v>
      </c>
      <c r="D114" s="117">
        <v>3339</v>
      </c>
      <c r="E114" s="117">
        <f t="shared" si="16"/>
        <v>262</v>
      </c>
      <c r="F114" s="98">
        <f t="shared" si="17"/>
        <v>8.5147871303217423E-2</v>
      </c>
    </row>
    <row r="115" spans="1:6" ht="18" customHeight="1" x14ac:dyDescent="0.25">
      <c r="A115" s="99">
        <v>3</v>
      </c>
      <c r="B115" s="100" t="s">
        <v>114</v>
      </c>
      <c r="C115" s="117">
        <v>2624</v>
      </c>
      <c r="D115" s="117">
        <v>3688</v>
      </c>
      <c r="E115" s="117">
        <f t="shared" si="16"/>
        <v>1064</v>
      </c>
      <c r="F115" s="98">
        <f t="shared" si="17"/>
        <v>0.40548780487804881</v>
      </c>
    </row>
    <row r="116" spans="1:6" ht="18" customHeight="1" x14ac:dyDescent="0.25">
      <c r="A116" s="99">
        <v>4</v>
      </c>
      <c r="B116" s="100" t="s">
        <v>115</v>
      </c>
      <c r="C116" s="117">
        <v>2345</v>
      </c>
      <c r="D116" s="117">
        <v>2880</v>
      </c>
      <c r="E116" s="117">
        <f t="shared" si="16"/>
        <v>535</v>
      </c>
      <c r="F116" s="98">
        <f t="shared" si="17"/>
        <v>0.22814498933901919</v>
      </c>
    </row>
    <row r="117" spans="1:6" ht="18" customHeight="1" x14ac:dyDescent="0.25">
      <c r="A117" s="99">
        <v>5</v>
      </c>
      <c r="B117" s="100" t="s">
        <v>116</v>
      </c>
      <c r="C117" s="117">
        <v>126</v>
      </c>
      <c r="D117" s="117">
        <v>143</v>
      </c>
      <c r="E117" s="117">
        <f t="shared" si="16"/>
        <v>17</v>
      </c>
      <c r="F117" s="98">
        <f t="shared" si="17"/>
        <v>0.13492063492063491</v>
      </c>
    </row>
    <row r="118" spans="1:6" ht="18" customHeight="1" x14ac:dyDescent="0.25">
      <c r="A118" s="99">
        <v>6</v>
      </c>
      <c r="B118" s="100" t="s">
        <v>117</v>
      </c>
      <c r="C118" s="117">
        <v>1208</v>
      </c>
      <c r="D118" s="117">
        <v>1551</v>
      </c>
      <c r="E118" s="117">
        <f t="shared" si="16"/>
        <v>343</v>
      </c>
      <c r="F118" s="98">
        <f t="shared" si="17"/>
        <v>0.28394039735099336</v>
      </c>
    </row>
    <row r="119" spans="1:6" ht="18" customHeight="1" x14ac:dyDescent="0.25">
      <c r="A119" s="99">
        <v>7</v>
      </c>
      <c r="B119" s="100" t="s">
        <v>118</v>
      </c>
      <c r="C119" s="117">
        <v>13568</v>
      </c>
      <c r="D119" s="117">
        <v>12984</v>
      </c>
      <c r="E119" s="117">
        <f t="shared" si="16"/>
        <v>-584</v>
      </c>
      <c r="F119" s="98">
        <f t="shared" si="17"/>
        <v>-4.3042452830188677E-2</v>
      </c>
    </row>
    <row r="120" spans="1:6" ht="18" customHeight="1" x14ac:dyDescent="0.25">
      <c r="A120" s="99">
        <v>8</v>
      </c>
      <c r="B120" s="100" t="s">
        <v>119</v>
      </c>
      <c r="C120" s="117">
        <v>278</v>
      </c>
      <c r="D120" s="117">
        <v>298</v>
      </c>
      <c r="E120" s="117">
        <f t="shared" si="16"/>
        <v>20</v>
      </c>
      <c r="F120" s="98">
        <f t="shared" si="17"/>
        <v>7.1942446043165464E-2</v>
      </c>
    </row>
    <row r="121" spans="1:6" ht="18" customHeight="1" x14ac:dyDescent="0.25">
      <c r="A121" s="99">
        <v>9</v>
      </c>
      <c r="B121" s="100" t="s">
        <v>120</v>
      </c>
      <c r="C121" s="117">
        <v>1768</v>
      </c>
      <c r="D121" s="117">
        <v>1126</v>
      </c>
      <c r="E121" s="117">
        <f t="shared" si="16"/>
        <v>-642</v>
      </c>
      <c r="F121" s="98">
        <f t="shared" si="17"/>
        <v>-0.36312217194570134</v>
      </c>
    </row>
    <row r="122" spans="1:6" ht="18" customHeight="1" x14ac:dyDescent="0.25">
      <c r="A122" s="99">
        <v>10</v>
      </c>
      <c r="B122" s="100" t="s">
        <v>121</v>
      </c>
      <c r="C122" s="117">
        <v>1564</v>
      </c>
      <c r="D122" s="117">
        <v>1609</v>
      </c>
      <c r="E122" s="117">
        <f t="shared" si="16"/>
        <v>45</v>
      </c>
      <c r="F122" s="98">
        <f t="shared" si="17"/>
        <v>2.877237851662404E-2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57628</v>
      </c>
      <c r="D124" s="118">
        <f>SUM(D113:D123)</f>
        <v>57829</v>
      </c>
      <c r="E124" s="118">
        <f t="shared" si="16"/>
        <v>201</v>
      </c>
      <c r="F124" s="104">
        <f t="shared" si="17"/>
        <v>3.4878878323037414E-3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226169</v>
      </c>
      <c r="D126" s="117">
        <v>224686</v>
      </c>
      <c r="E126" s="117">
        <f t="shared" ref="E126:E137" si="18">D126-C126</f>
        <v>-1483</v>
      </c>
      <c r="F126" s="98">
        <f t="shared" ref="F126:F137" si="19">IF(C126=0,0,E126/C126)</f>
        <v>-6.5570436266685532E-3</v>
      </c>
    </row>
    <row r="127" spans="1:6" ht="18" customHeight="1" x14ac:dyDescent="0.25">
      <c r="A127" s="99">
        <v>2</v>
      </c>
      <c r="B127" s="100" t="s">
        <v>113</v>
      </c>
      <c r="C127" s="117">
        <v>26929</v>
      </c>
      <c r="D127" s="117">
        <v>34006</v>
      </c>
      <c r="E127" s="117">
        <f t="shared" si="18"/>
        <v>7077</v>
      </c>
      <c r="F127" s="98">
        <f t="shared" si="19"/>
        <v>0.2628021835196257</v>
      </c>
    </row>
    <row r="128" spans="1:6" ht="18" customHeight="1" x14ac:dyDescent="0.25">
      <c r="A128" s="99">
        <v>3</v>
      </c>
      <c r="B128" s="100" t="s">
        <v>114</v>
      </c>
      <c r="C128" s="117">
        <v>33703</v>
      </c>
      <c r="D128" s="117">
        <v>41957</v>
      </c>
      <c r="E128" s="117">
        <f t="shared" si="18"/>
        <v>8254</v>
      </c>
      <c r="F128" s="98">
        <f t="shared" si="19"/>
        <v>0.2449040144794232</v>
      </c>
    </row>
    <row r="129" spans="1:6" ht="18" customHeight="1" x14ac:dyDescent="0.25">
      <c r="A129" s="99">
        <v>4</v>
      </c>
      <c r="B129" s="100" t="s">
        <v>115</v>
      </c>
      <c r="C129" s="117">
        <v>40440</v>
      </c>
      <c r="D129" s="117">
        <v>47184</v>
      </c>
      <c r="E129" s="117">
        <f t="shared" si="18"/>
        <v>6744</v>
      </c>
      <c r="F129" s="98">
        <f t="shared" si="19"/>
        <v>0.16676557863501484</v>
      </c>
    </row>
    <row r="130" spans="1:6" ht="18" customHeight="1" x14ac:dyDescent="0.25">
      <c r="A130" s="99">
        <v>5</v>
      </c>
      <c r="B130" s="100" t="s">
        <v>116</v>
      </c>
      <c r="C130" s="117">
        <v>2112</v>
      </c>
      <c r="D130" s="117">
        <v>2375</v>
      </c>
      <c r="E130" s="117">
        <f t="shared" si="18"/>
        <v>263</v>
      </c>
      <c r="F130" s="98">
        <f t="shared" si="19"/>
        <v>0.12452651515151515</v>
      </c>
    </row>
    <row r="131" spans="1:6" ht="18" customHeight="1" x14ac:dyDescent="0.25">
      <c r="A131" s="99">
        <v>6</v>
      </c>
      <c r="B131" s="100" t="s">
        <v>117</v>
      </c>
      <c r="C131" s="117">
        <v>28004</v>
      </c>
      <c r="D131" s="117">
        <v>27746</v>
      </c>
      <c r="E131" s="117">
        <f t="shared" si="18"/>
        <v>-258</v>
      </c>
      <c r="F131" s="98">
        <f t="shared" si="19"/>
        <v>-9.2129695757748892E-3</v>
      </c>
    </row>
    <row r="132" spans="1:6" ht="18" customHeight="1" x14ac:dyDescent="0.25">
      <c r="A132" s="99">
        <v>7</v>
      </c>
      <c r="B132" s="100" t="s">
        <v>118</v>
      </c>
      <c r="C132" s="117">
        <v>253278</v>
      </c>
      <c r="D132" s="117">
        <v>238347</v>
      </c>
      <c r="E132" s="117">
        <f t="shared" si="18"/>
        <v>-14931</v>
      </c>
      <c r="F132" s="98">
        <f t="shared" si="19"/>
        <v>-5.8951034041645936E-2</v>
      </c>
    </row>
    <row r="133" spans="1:6" ht="18" customHeight="1" x14ac:dyDescent="0.25">
      <c r="A133" s="99">
        <v>8</v>
      </c>
      <c r="B133" s="100" t="s">
        <v>119</v>
      </c>
      <c r="C133" s="117">
        <v>18440</v>
      </c>
      <c r="D133" s="117">
        <v>18377</v>
      </c>
      <c r="E133" s="117">
        <f t="shared" si="18"/>
        <v>-63</v>
      </c>
      <c r="F133" s="98">
        <f t="shared" si="19"/>
        <v>-3.4164859002169196E-3</v>
      </c>
    </row>
    <row r="134" spans="1:6" ht="18" customHeight="1" x14ac:dyDescent="0.25">
      <c r="A134" s="99">
        <v>9</v>
      </c>
      <c r="B134" s="100" t="s">
        <v>120</v>
      </c>
      <c r="C134" s="117">
        <v>15709</v>
      </c>
      <c r="D134" s="117">
        <v>15535</v>
      </c>
      <c r="E134" s="117">
        <f t="shared" si="18"/>
        <v>-174</v>
      </c>
      <c r="F134" s="98">
        <f t="shared" si="19"/>
        <v>-1.1076452988732574E-2</v>
      </c>
    </row>
    <row r="135" spans="1:6" ht="18" customHeight="1" x14ac:dyDescent="0.25">
      <c r="A135" s="99">
        <v>10</v>
      </c>
      <c r="B135" s="100" t="s">
        <v>121</v>
      </c>
      <c r="C135" s="117">
        <v>13336</v>
      </c>
      <c r="D135" s="117">
        <v>7748</v>
      </c>
      <c r="E135" s="117">
        <f t="shared" si="18"/>
        <v>-5588</v>
      </c>
      <c r="F135" s="98">
        <f t="shared" si="19"/>
        <v>-0.41901619676064789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658120</v>
      </c>
      <c r="D137" s="118">
        <f>SUM(D126:D136)</f>
        <v>657961</v>
      </c>
      <c r="E137" s="118">
        <f t="shared" si="18"/>
        <v>-159</v>
      </c>
      <c r="F137" s="104">
        <f t="shared" si="19"/>
        <v>-2.4159727709232358E-4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38199945</v>
      </c>
      <c r="D142" s="97">
        <v>44127854</v>
      </c>
      <c r="E142" s="97">
        <f t="shared" ref="E142:E153" si="20">D142-C142</f>
        <v>5927909</v>
      </c>
      <c r="F142" s="98">
        <f t="shared" ref="F142:F153" si="21">IF(C142=0,0,E142/C142)</f>
        <v>0.1551810873026126</v>
      </c>
    </row>
    <row r="143" spans="1:6" ht="18" customHeight="1" x14ac:dyDescent="0.25">
      <c r="A143" s="99">
        <v>2</v>
      </c>
      <c r="B143" s="100" t="s">
        <v>113</v>
      </c>
      <c r="C143" s="97">
        <v>4847371</v>
      </c>
      <c r="D143" s="97">
        <v>6969957</v>
      </c>
      <c r="E143" s="97">
        <f t="shared" si="20"/>
        <v>2122586</v>
      </c>
      <c r="F143" s="98">
        <f t="shared" si="21"/>
        <v>0.43788395812905595</v>
      </c>
    </row>
    <row r="144" spans="1:6" ht="18" customHeight="1" x14ac:dyDescent="0.25">
      <c r="A144" s="99">
        <v>3</v>
      </c>
      <c r="B144" s="100" t="s">
        <v>114</v>
      </c>
      <c r="C144" s="97">
        <v>5873423</v>
      </c>
      <c r="D144" s="97">
        <v>10748490</v>
      </c>
      <c r="E144" s="97">
        <f t="shared" si="20"/>
        <v>4875067</v>
      </c>
      <c r="F144" s="98">
        <f t="shared" si="21"/>
        <v>0.83002143724366528</v>
      </c>
    </row>
    <row r="145" spans="1:6" ht="18" customHeight="1" x14ac:dyDescent="0.25">
      <c r="A145" s="99">
        <v>4</v>
      </c>
      <c r="B145" s="100" t="s">
        <v>115</v>
      </c>
      <c r="C145" s="97">
        <v>11224861</v>
      </c>
      <c r="D145" s="97">
        <v>14172434</v>
      </c>
      <c r="E145" s="97">
        <f t="shared" si="20"/>
        <v>2947573</v>
      </c>
      <c r="F145" s="98">
        <f t="shared" si="21"/>
        <v>0.26259327398352639</v>
      </c>
    </row>
    <row r="146" spans="1:6" ht="18" customHeight="1" x14ac:dyDescent="0.25">
      <c r="A146" s="99">
        <v>5</v>
      </c>
      <c r="B146" s="100" t="s">
        <v>116</v>
      </c>
      <c r="C146" s="97">
        <v>770885</v>
      </c>
      <c r="D146" s="97">
        <v>933398</v>
      </c>
      <c r="E146" s="97">
        <f t="shared" si="20"/>
        <v>162513</v>
      </c>
      <c r="F146" s="98">
        <f t="shared" si="21"/>
        <v>0.21081354547046577</v>
      </c>
    </row>
    <row r="147" spans="1:6" ht="18" customHeight="1" x14ac:dyDescent="0.25">
      <c r="A147" s="99">
        <v>6</v>
      </c>
      <c r="B147" s="100" t="s">
        <v>117</v>
      </c>
      <c r="C147" s="97">
        <v>6743305</v>
      </c>
      <c r="D147" s="97">
        <v>7013887</v>
      </c>
      <c r="E147" s="97">
        <f t="shared" si="20"/>
        <v>270582</v>
      </c>
      <c r="F147" s="98">
        <f t="shared" si="21"/>
        <v>4.0126021290746897E-2</v>
      </c>
    </row>
    <row r="148" spans="1:6" ht="18" customHeight="1" x14ac:dyDescent="0.25">
      <c r="A148" s="99">
        <v>7</v>
      </c>
      <c r="B148" s="100" t="s">
        <v>118</v>
      </c>
      <c r="C148" s="97">
        <v>59497009</v>
      </c>
      <c r="D148" s="97">
        <v>63484614</v>
      </c>
      <c r="E148" s="97">
        <f t="shared" si="20"/>
        <v>3987605</v>
      </c>
      <c r="F148" s="98">
        <f t="shared" si="21"/>
        <v>6.7021940548305542E-2</v>
      </c>
    </row>
    <row r="149" spans="1:6" ht="18" customHeight="1" x14ac:dyDescent="0.25">
      <c r="A149" s="99">
        <v>8</v>
      </c>
      <c r="B149" s="100" t="s">
        <v>119</v>
      </c>
      <c r="C149" s="97">
        <v>2114224</v>
      </c>
      <c r="D149" s="97">
        <v>2207480</v>
      </c>
      <c r="E149" s="97">
        <f t="shared" si="20"/>
        <v>93256</v>
      </c>
      <c r="F149" s="98">
        <f t="shared" si="21"/>
        <v>4.4108855069283102E-2</v>
      </c>
    </row>
    <row r="150" spans="1:6" ht="18" customHeight="1" x14ac:dyDescent="0.25">
      <c r="A150" s="99">
        <v>9</v>
      </c>
      <c r="B150" s="100" t="s">
        <v>120</v>
      </c>
      <c r="C150" s="97">
        <v>9012034</v>
      </c>
      <c r="D150" s="97">
        <v>9596944</v>
      </c>
      <c r="E150" s="97">
        <f t="shared" si="20"/>
        <v>584910</v>
      </c>
      <c r="F150" s="98">
        <f t="shared" si="21"/>
        <v>6.4903217187152196E-2</v>
      </c>
    </row>
    <row r="151" spans="1:6" ht="18" customHeight="1" x14ac:dyDescent="0.25">
      <c r="A151" s="99">
        <v>10</v>
      </c>
      <c r="B151" s="100" t="s">
        <v>121</v>
      </c>
      <c r="C151" s="97">
        <v>6996879</v>
      </c>
      <c r="D151" s="97">
        <v>5348470</v>
      </c>
      <c r="E151" s="97">
        <f t="shared" si="20"/>
        <v>-1648409</v>
      </c>
      <c r="F151" s="98">
        <f t="shared" si="21"/>
        <v>-0.23559204039400997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145279936</v>
      </c>
      <c r="D153" s="103">
        <f>SUM(D142:D152)</f>
        <v>164603528</v>
      </c>
      <c r="E153" s="103">
        <f t="shared" si="20"/>
        <v>19323592</v>
      </c>
      <c r="F153" s="104">
        <f t="shared" si="21"/>
        <v>0.1330093647618347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7318316</v>
      </c>
      <c r="D155" s="97">
        <v>7182062</v>
      </c>
      <c r="E155" s="97">
        <f t="shared" ref="E155:E166" si="22">D155-C155</f>
        <v>-136254</v>
      </c>
      <c r="F155" s="98">
        <f t="shared" ref="F155:F166" si="23">IF(C155=0,0,E155/C155)</f>
        <v>-1.8618217633674196E-2</v>
      </c>
    </row>
    <row r="156" spans="1:6" ht="18" customHeight="1" x14ac:dyDescent="0.25">
      <c r="A156" s="99">
        <v>2</v>
      </c>
      <c r="B156" s="100" t="s">
        <v>113</v>
      </c>
      <c r="C156" s="97">
        <v>966329</v>
      </c>
      <c r="D156" s="97">
        <v>1200441</v>
      </c>
      <c r="E156" s="97">
        <f t="shared" si="22"/>
        <v>234112</v>
      </c>
      <c r="F156" s="98">
        <f t="shared" si="23"/>
        <v>0.24226945481300882</v>
      </c>
    </row>
    <row r="157" spans="1:6" ht="18" customHeight="1" x14ac:dyDescent="0.25">
      <c r="A157" s="99">
        <v>3</v>
      </c>
      <c r="B157" s="100" t="s">
        <v>114</v>
      </c>
      <c r="C157" s="97">
        <v>1382678</v>
      </c>
      <c r="D157" s="97">
        <v>1711053</v>
      </c>
      <c r="E157" s="97">
        <f t="shared" si="22"/>
        <v>328375</v>
      </c>
      <c r="F157" s="98">
        <f t="shared" si="23"/>
        <v>0.23749202634308206</v>
      </c>
    </row>
    <row r="158" spans="1:6" ht="18" customHeight="1" x14ac:dyDescent="0.25">
      <c r="A158" s="99">
        <v>4</v>
      </c>
      <c r="B158" s="100" t="s">
        <v>115</v>
      </c>
      <c r="C158" s="97">
        <v>3669880</v>
      </c>
      <c r="D158" s="97">
        <v>4256418</v>
      </c>
      <c r="E158" s="97">
        <f t="shared" si="22"/>
        <v>586538</v>
      </c>
      <c r="F158" s="98">
        <f t="shared" si="23"/>
        <v>0.15982484440908148</v>
      </c>
    </row>
    <row r="159" spans="1:6" ht="18" customHeight="1" x14ac:dyDescent="0.25">
      <c r="A159" s="99">
        <v>5</v>
      </c>
      <c r="B159" s="100" t="s">
        <v>116</v>
      </c>
      <c r="C159" s="97">
        <v>264096</v>
      </c>
      <c r="D159" s="97">
        <v>230685</v>
      </c>
      <c r="E159" s="97">
        <f t="shared" si="22"/>
        <v>-33411</v>
      </c>
      <c r="F159" s="98">
        <f t="shared" si="23"/>
        <v>-0.12651081424936386</v>
      </c>
    </row>
    <row r="160" spans="1:6" ht="18" customHeight="1" x14ac:dyDescent="0.25">
      <c r="A160" s="99">
        <v>6</v>
      </c>
      <c r="B160" s="100" t="s">
        <v>117</v>
      </c>
      <c r="C160" s="97">
        <v>2397846</v>
      </c>
      <c r="D160" s="97">
        <v>2066344</v>
      </c>
      <c r="E160" s="97">
        <f t="shared" si="22"/>
        <v>-331502</v>
      </c>
      <c r="F160" s="98">
        <f t="shared" si="23"/>
        <v>-0.13824991262991868</v>
      </c>
    </row>
    <row r="161" spans="1:6" ht="18" customHeight="1" x14ac:dyDescent="0.25">
      <c r="A161" s="99">
        <v>7</v>
      </c>
      <c r="B161" s="100" t="s">
        <v>118</v>
      </c>
      <c r="C161" s="97">
        <v>29332236</v>
      </c>
      <c r="D161" s="97">
        <v>29095030</v>
      </c>
      <c r="E161" s="97">
        <f t="shared" si="22"/>
        <v>-237206</v>
      </c>
      <c r="F161" s="98">
        <f t="shared" si="23"/>
        <v>-8.0868707042995296E-3</v>
      </c>
    </row>
    <row r="162" spans="1:6" ht="18" customHeight="1" x14ac:dyDescent="0.25">
      <c r="A162" s="99">
        <v>8</v>
      </c>
      <c r="B162" s="100" t="s">
        <v>119</v>
      </c>
      <c r="C162" s="97">
        <v>1594408</v>
      </c>
      <c r="D162" s="97">
        <v>1333705</v>
      </c>
      <c r="E162" s="97">
        <f t="shared" si="22"/>
        <v>-260703</v>
      </c>
      <c r="F162" s="98">
        <f t="shared" si="23"/>
        <v>-0.16351084540468938</v>
      </c>
    </row>
    <row r="163" spans="1:6" ht="18" customHeight="1" x14ac:dyDescent="0.25">
      <c r="A163" s="99">
        <v>9</v>
      </c>
      <c r="B163" s="100" t="s">
        <v>120</v>
      </c>
      <c r="C163" s="97">
        <v>452650</v>
      </c>
      <c r="D163" s="97">
        <v>316871</v>
      </c>
      <c r="E163" s="97">
        <f t="shared" si="22"/>
        <v>-135779</v>
      </c>
      <c r="F163" s="98">
        <f t="shared" si="23"/>
        <v>-0.29996465260134764</v>
      </c>
    </row>
    <row r="164" spans="1:6" ht="18" customHeight="1" x14ac:dyDescent="0.25">
      <c r="A164" s="99">
        <v>10</v>
      </c>
      <c r="B164" s="100" t="s">
        <v>121</v>
      </c>
      <c r="C164" s="97">
        <v>947888</v>
      </c>
      <c r="D164" s="97">
        <v>1080504</v>
      </c>
      <c r="E164" s="97">
        <f t="shared" si="22"/>
        <v>132616</v>
      </c>
      <c r="F164" s="98">
        <f t="shared" si="23"/>
        <v>0.13990682443495434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48326327</v>
      </c>
      <c r="D166" s="103">
        <f>SUM(D155:D165)</f>
        <v>48473113</v>
      </c>
      <c r="E166" s="103">
        <f t="shared" si="22"/>
        <v>146786</v>
      </c>
      <c r="F166" s="104">
        <f t="shared" si="23"/>
        <v>3.0373920202956869E-3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15017</v>
      </c>
      <c r="D168" s="117">
        <v>15805</v>
      </c>
      <c r="E168" s="117">
        <f t="shared" ref="E168:E179" si="24">D168-C168</f>
        <v>788</v>
      </c>
      <c r="F168" s="98">
        <f t="shared" ref="F168:F179" si="25">IF(C168=0,0,E168/C168)</f>
        <v>5.2473862955317307E-2</v>
      </c>
    </row>
    <row r="169" spans="1:6" ht="18" customHeight="1" x14ac:dyDescent="0.25">
      <c r="A169" s="99">
        <v>2</v>
      </c>
      <c r="B169" s="100" t="s">
        <v>113</v>
      </c>
      <c r="C169" s="117">
        <v>1872</v>
      </c>
      <c r="D169" s="117">
        <v>2311</v>
      </c>
      <c r="E169" s="117">
        <f t="shared" si="24"/>
        <v>439</v>
      </c>
      <c r="F169" s="98">
        <f t="shared" si="25"/>
        <v>0.23450854700854701</v>
      </c>
    </row>
    <row r="170" spans="1:6" ht="18" customHeight="1" x14ac:dyDescent="0.25">
      <c r="A170" s="99">
        <v>3</v>
      </c>
      <c r="B170" s="100" t="s">
        <v>114</v>
      </c>
      <c r="C170" s="117">
        <v>3110</v>
      </c>
      <c r="D170" s="117">
        <v>5049</v>
      </c>
      <c r="E170" s="117">
        <f t="shared" si="24"/>
        <v>1939</v>
      </c>
      <c r="F170" s="98">
        <f t="shared" si="25"/>
        <v>0.6234726688102894</v>
      </c>
    </row>
    <row r="171" spans="1:6" ht="18" customHeight="1" x14ac:dyDescent="0.25">
      <c r="A171" s="99">
        <v>4</v>
      </c>
      <c r="B171" s="100" t="s">
        <v>115</v>
      </c>
      <c r="C171" s="117">
        <v>9285</v>
      </c>
      <c r="D171" s="117">
        <v>11103</v>
      </c>
      <c r="E171" s="117">
        <f t="shared" si="24"/>
        <v>1818</v>
      </c>
      <c r="F171" s="98">
        <f t="shared" si="25"/>
        <v>0.19579967689822295</v>
      </c>
    </row>
    <row r="172" spans="1:6" ht="18" customHeight="1" x14ac:dyDescent="0.25">
      <c r="A172" s="99">
        <v>5</v>
      </c>
      <c r="B172" s="100" t="s">
        <v>116</v>
      </c>
      <c r="C172" s="117">
        <v>567</v>
      </c>
      <c r="D172" s="117">
        <v>655</v>
      </c>
      <c r="E172" s="117">
        <f t="shared" si="24"/>
        <v>88</v>
      </c>
      <c r="F172" s="98">
        <f t="shared" si="25"/>
        <v>0.15520282186948853</v>
      </c>
    </row>
    <row r="173" spans="1:6" ht="18" customHeight="1" x14ac:dyDescent="0.25">
      <c r="A173" s="99">
        <v>6</v>
      </c>
      <c r="B173" s="100" t="s">
        <v>117</v>
      </c>
      <c r="C173" s="117">
        <v>4368</v>
      </c>
      <c r="D173" s="117">
        <v>3962</v>
      </c>
      <c r="E173" s="117">
        <f t="shared" si="24"/>
        <v>-406</v>
      </c>
      <c r="F173" s="98">
        <f t="shared" si="25"/>
        <v>-9.2948717948717952E-2</v>
      </c>
    </row>
    <row r="174" spans="1:6" ht="18" customHeight="1" x14ac:dyDescent="0.25">
      <c r="A174" s="99">
        <v>7</v>
      </c>
      <c r="B174" s="100" t="s">
        <v>118</v>
      </c>
      <c r="C174" s="117">
        <v>36811</v>
      </c>
      <c r="D174" s="117">
        <v>36016</v>
      </c>
      <c r="E174" s="117">
        <f t="shared" si="24"/>
        <v>-795</v>
      </c>
      <c r="F174" s="98">
        <f t="shared" si="25"/>
        <v>-2.1596805302762759E-2</v>
      </c>
    </row>
    <row r="175" spans="1:6" ht="18" customHeight="1" x14ac:dyDescent="0.25">
      <c r="A175" s="99">
        <v>8</v>
      </c>
      <c r="B175" s="100" t="s">
        <v>119</v>
      </c>
      <c r="C175" s="117">
        <v>2040</v>
      </c>
      <c r="D175" s="117">
        <v>2038</v>
      </c>
      <c r="E175" s="117">
        <f t="shared" si="24"/>
        <v>-2</v>
      </c>
      <c r="F175" s="98">
        <f t="shared" si="25"/>
        <v>-9.8039215686274508E-4</v>
      </c>
    </row>
    <row r="176" spans="1:6" ht="18" customHeight="1" x14ac:dyDescent="0.25">
      <c r="A176" s="99">
        <v>9</v>
      </c>
      <c r="B176" s="100" t="s">
        <v>120</v>
      </c>
      <c r="C176" s="117">
        <v>6707</v>
      </c>
      <c r="D176" s="117">
        <v>6543</v>
      </c>
      <c r="E176" s="117">
        <f t="shared" si="24"/>
        <v>-164</v>
      </c>
      <c r="F176" s="98">
        <f t="shared" si="25"/>
        <v>-2.4452065006709409E-2</v>
      </c>
    </row>
    <row r="177" spans="1:6" ht="18" customHeight="1" x14ac:dyDescent="0.25">
      <c r="A177" s="99">
        <v>10</v>
      </c>
      <c r="B177" s="100" t="s">
        <v>121</v>
      </c>
      <c r="C177" s="117">
        <v>3699</v>
      </c>
      <c r="D177" s="117">
        <v>2499</v>
      </c>
      <c r="E177" s="117">
        <f t="shared" si="24"/>
        <v>-1200</v>
      </c>
      <c r="F177" s="98">
        <f t="shared" si="25"/>
        <v>-0.32441200324412001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83476</v>
      </c>
      <c r="D179" s="118">
        <f>SUM(D168:D178)</f>
        <v>85981</v>
      </c>
      <c r="E179" s="118">
        <f t="shared" si="24"/>
        <v>2505</v>
      </c>
      <c r="F179" s="104">
        <f t="shared" si="25"/>
        <v>3.0008625233600077E-2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FILING&amp;RMIDDLESEX HOSPITAL</oddHeader>
    <oddFooter>&amp;LREPORT 165&amp;C&amp;P of &amp;N&amp;R&amp;D,&amp;T</oddFooter>
  </headerFooter>
  <rowBreaks count="2" manualBreakCount="2">
    <brk id="68" max="5" man="1"/>
    <brk id="1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>
      <selection activeCell="B2" sqref="B2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25.1406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44128939</v>
      </c>
      <c r="D15" s="146">
        <v>45300265</v>
      </c>
      <c r="E15" s="146">
        <f>+D15-C15</f>
        <v>1171326</v>
      </c>
      <c r="F15" s="150">
        <f>IF(C15=0,0,E15/C15)</f>
        <v>2.6543262234335615E-2</v>
      </c>
    </row>
    <row r="16" spans="1:7" ht="15" customHeight="1" x14ac:dyDescent="0.2">
      <c r="A16" s="141">
        <v>2</v>
      </c>
      <c r="B16" s="149" t="s">
        <v>158</v>
      </c>
      <c r="C16" s="146">
        <v>21517184</v>
      </c>
      <c r="D16" s="146">
        <v>22986362</v>
      </c>
      <c r="E16" s="146">
        <f>+D16-C16</f>
        <v>1469178</v>
      </c>
      <c r="F16" s="150">
        <f>IF(C16=0,0,E16/C16)</f>
        <v>6.8279287847331699E-2</v>
      </c>
    </row>
    <row r="17" spans="1:7" ht="15" customHeight="1" x14ac:dyDescent="0.2">
      <c r="A17" s="141">
        <v>3</v>
      </c>
      <c r="B17" s="149" t="s">
        <v>159</v>
      </c>
      <c r="C17" s="146">
        <v>78361456</v>
      </c>
      <c r="D17" s="146">
        <v>81688566</v>
      </c>
      <c r="E17" s="146">
        <f>+D17-C17</f>
        <v>3327110</v>
      </c>
      <c r="F17" s="150">
        <f>IF(C17=0,0,E17/C17)</f>
        <v>4.2458501536775939E-2</v>
      </c>
    </row>
    <row r="18" spans="1:7" ht="15.75" customHeight="1" x14ac:dyDescent="0.25">
      <c r="A18" s="141"/>
      <c r="B18" s="151" t="s">
        <v>160</v>
      </c>
      <c r="C18" s="147">
        <f>SUM(C15:C17)</f>
        <v>144007579</v>
      </c>
      <c r="D18" s="147">
        <f>SUM(D15:D17)</f>
        <v>149975193</v>
      </c>
      <c r="E18" s="147">
        <f>+D18-C18</f>
        <v>5967614</v>
      </c>
      <c r="F18" s="148">
        <f>IF(C18=0,0,E18/C18)</f>
        <v>4.143958284306689E-2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10009289</v>
      </c>
      <c r="D21" s="146">
        <v>11000436</v>
      </c>
      <c r="E21" s="146">
        <f>+D21-C21</f>
        <v>991147</v>
      </c>
      <c r="F21" s="150">
        <f>IF(C21=0,0,E21/C21)</f>
        <v>9.9022717797437959E-2</v>
      </c>
    </row>
    <row r="22" spans="1:7" ht="15" customHeight="1" x14ac:dyDescent="0.2">
      <c r="A22" s="141">
        <v>2</v>
      </c>
      <c r="B22" s="149" t="s">
        <v>163</v>
      </c>
      <c r="C22" s="146">
        <v>4880508</v>
      </c>
      <c r="D22" s="146">
        <v>5581866</v>
      </c>
      <c r="E22" s="146">
        <f>+D22-C22</f>
        <v>701358</v>
      </c>
      <c r="F22" s="150">
        <f>IF(C22=0,0,E22/C22)</f>
        <v>0.14370594208635659</v>
      </c>
    </row>
    <row r="23" spans="1:7" ht="15" customHeight="1" x14ac:dyDescent="0.2">
      <c r="A23" s="141">
        <v>3</v>
      </c>
      <c r="B23" s="149" t="s">
        <v>164</v>
      </c>
      <c r="C23" s="146">
        <v>17777596</v>
      </c>
      <c r="D23" s="146">
        <v>19836744</v>
      </c>
      <c r="E23" s="146">
        <f>+D23-C23</f>
        <v>2059148</v>
      </c>
      <c r="F23" s="150">
        <f>IF(C23=0,0,E23/C23)</f>
        <v>0.11582825934395179</v>
      </c>
    </row>
    <row r="24" spans="1:7" ht="15.75" customHeight="1" x14ac:dyDescent="0.25">
      <c r="A24" s="141"/>
      <c r="B24" s="151" t="s">
        <v>165</v>
      </c>
      <c r="C24" s="147">
        <f>SUM(C21:C23)</f>
        <v>32667393</v>
      </c>
      <c r="D24" s="147">
        <f>SUM(D21:D23)</f>
        <v>36419046</v>
      </c>
      <c r="E24" s="147">
        <f>+D24-C24</f>
        <v>3751653</v>
      </c>
      <c r="F24" s="148">
        <f>IF(C24=0,0,E24/C24)</f>
        <v>0.11484396688771584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405124</v>
      </c>
      <c r="D27" s="146">
        <v>192276</v>
      </c>
      <c r="E27" s="146">
        <f>+D27-C27</f>
        <v>-212848</v>
      </c>
      <c r="F27" s="150">
        <f>IF(C27=0,0,E27/C27)</f>
        <v>-0.52538975721013814</v>
      </c>
    </row>
    <row r="28" spans="1:7" ht="15" customHeight="1" x14ac:dyDescent="0.2">
      <c r="A28" s="141">
        <v>2</v>
      </c>
      <c r="B28" s="149" t="s">
        <v>168</v>
      </c>
      <c r="C28" s="146">
        <v>2397057</v>
      </c>
      <c r="D28" s="146">
        <v>2502017</v>
      </c>
      <c r="E28" s="146">
        <f>+D28-C28</f>
        <v>104960</v>
      </c>
      <c r="F28" s="150">
        <f>IF(C28=0,0,E28/C28)</f>
        <v>4.3787027175407174E-2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2802181</v>
      </c>
      <c r="D30" s="147">
        <f>SUM(D27:D29)</f>
        <v>2694293</v>
      </c>
      <c r="E30" s="147">
        <f>+D30-C30</f>
        <v>-107888</v>
      </c>
      <c r="F30" s="148">
        <f>IF(C30=0,0,E30/C30)</f>
        <v>-3.8501438700783423E-2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23717146</v>
      </c>
      <c r="D33" s="146">
        <v>23376330</v>
      </c>
      <c r="E33" s="146">
        <f>+D33-C33</f>
        <v>-340816</v>
      </c>
      <c r="F33" s="150">
        <f>IF(C33=0,0,E33/C33)</f>
        <v>-1.4370025803273295E-2</v>
      </c>
    </row>
    <row r="34" spans="1:7" ht="15" customHeight="1" x14ac:dyDescent="0.2">
      <c r="A34" s="141">
        <v>2</v>
      </c>
      <c r="B34" s="149" t="s">
        <v>174</v>
      </c>
      <c r="C34" s="146">
        <v>7203136</v>
      </c>
      <c r="D34" s="146">
        <v>7669569</v>
      </c>
      <c r="E34" s="146">
        <f>+D34-C34</f>
        <v>466433</v>
      </c>
      <c r="F34" s="150">
        <f>IF(C34=0,0,E34/C34)</f>
        <v>6.4754157078250357E-2</v>
      </c>
    </row>
    <row r="35" spans="1:7" ht="15.75" customHeight="1" x14ac:dyDescent="0.25">
      <c r="A35" s="141"/>
      <c r="B35" s="151" t="s">
        <v>175</v>
      </c>
      <c r="C35" s="147">
        <f>SUM(C33:C34)</f>
        <v>30920282</v>
      </c>
      <c r="D35" s="147">
        <f>SUM(D33:D34)</f>
        <v>31045899</v>
      </c>
      <c r="E35" s="147">
        <f>+D35-C35</f>
        <v>125617</v>
      </c>
      <c r="F35" s="148">
        <f>IF(C35=0,0,E35/C35)</f>
        <v>4.0626084846186071E-3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9723581</v>
      </c>
      <c r="D38" s="146">
        <v>9801668</v>
      </c>
      <c r="E38" s="146">
        <f>+D38-C38</f>
        <v>78087</v>
      </c>
      <c r="F38" s="150">
        <f>IF(C38=0,0,E38/C38)</f>
        <v>8.0306833459812803E-3</v>
      </c>
    </row>
    <row r="39" spans="1:7" ht="15" customHeight="1" x14ac:dyDescent="0.2">
      <c r="A39" s="141">
        <v>2</v>
      </c>
      <c r="B39" s="149" t="s">
        <v>179</v>
      </c>
      <c r="C39" s="146">
        <v>10529869</v>
      </c>
      <c r="D39" s="146">
        <v>11302685</v>
      </c>
      <c r="E39" s="146">
        <f>+D39-C39</f>
        <v>772816</v>
      </c>
      <c r="F39" s="150">
        <f>IF(C39=0,0,E39/C39)</f>
        <v>7.3392745911653789E-2</v>
      </c>
    </row>
    <row r="40" spans="1:7" ht="15" customHeight="1" x14ac:dyDescent="0.2">
      <c r="A40" s="141">
        <v>3</v>
      </c>
      <c r="B40" s="149" t="s">
        <v>180</v>
      </c>
      <c r="C40" s="146">
        <v>152690</v>
      </c>
      <c r="D40" s="146">
        <v>127308</v>
      </c>
      <c r="E40" s="146">
        <f>+D40-C40</f>
        <v>-25382</v>
      </c>
      <c r="F40" s="150">
        <f>IF(C40=0,0,E40/C40)</f>
        <v>-0.16623223524788788</v>
      </c>
    </row>
    <row r="41" spans="1:7" ht="15.75" customHeight="1" x14ac:dyDescent="0.25">
      <c r="A41" s="141"/>
      <c r="B41" s="151" t="s">
        <v>181</v>
      </c>
      <c r="C41" s="147">
        <f>SUM(C38:C40)</f>
        <v>20406140</v>
      </c>
      <c r="D41" s="147">
        <f>SUM(D38:D40)</f>
        <v>21231661</v>
      </c>
      <c r="E41" s="147">
        <f>+D41-C41</f>
        <v>825521</v>
      </c>
      <c r="F41" s="148">
        <f>IF(C41=0,0,E41/C41)</f>
        <v>4.0454539663062193E-2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17055645</v>
      </c>
      <c r="D44" s="146">
        <v>11858436</v>
      </c>
      <c r="E44" s="146">
        <f>+D44-C44</f>
        <v>-5197209</v>
      </c>
      <c r="F44" s="150">
        <f>IF(C44=0,0,E44/C44)</f>
        <v>-0.30472075374458135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3974237</v>
      </c>
      <c r="D47" s="146">
        <v>3718716</v>
      </c>
      <c r="E47" s="146">
        <f>+D47-C47</f>
        <v>-255521</v>
      </c>
      <c r="F47" s="150">
        <f>IF(C47=0,0,E47/C47)</f>
        <v>-6.4294353859621359E-2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3655926</v>
      </c>
      <c r="D50" s="146">
        <v>3980367</v>
      </c>
      <c r="E50" s="146">
        <f>+D50-C50</f>
        <v>324441</v>
      </c>
      <c r="F50" s="150">
        <f>IF(C50=0,0,E50/C50)</f>
        <v>8.8743864071646958E-2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190799</v>
      </c>
      <c r="D53" s="146">
        <v>221843</v>
      </c>
      <c r="E53" s="146">
        <f t="shared" ref="E53:E59" si="0">+D53-C53</f>
        <v>31044</v>
      </c>
      <c r="F53" s="150">
        <f t="shared" ref="F53:F59" si="1">IF(C53=0,0,E53/C53)</f>
        <v>0.16270525526863347</v>
      </c>
    </row>
    <row r="54" spans="1:7" ht="15" customHeight="1" x14ac:dyDescent="0.2">
      <c r="A54" s="141">
        <v>2</v>
      </c>
      <c r="B54" s="149" t="s">
        <v>193</v>
      </c>
      <c r="C54" s="146">
        <v>129529</v>
      </c>
      <c r="D54" s="146">
        <v>122369</v>
      </c>
      <c r="E54" s="146">
        <f t="shared" si="0"/>
        <v>-7160</v>
      </c>
      <c r="F54" s="150">
        <f t="shared" si="1"/>
        <v>-5.5277196612341636E-2</v>
      </c>
    </row>
    <row r="55" spans="1:7" ht="15" customHeight="1" x14ac:dyDescent="0.2">
      <c r="A55" s="141">
        <v>3</v>
      </c>
      <c r="B55" s="149" t="s">
        <v>194</v>
      </c>
      <c r="C55" s="146">
        <v>1214392</v>
      </c>
      <c r="D55" s="146">
        <v>1203697</v>
      </c>
      <c r="E55" s="146">
        <f t="shared" si="0"/>
        <v>-10695</v>
      </c>
      <c r="F55" s="150">
        <f t="shared" si="1"/>
        <v>-8.8068761981304217E-3</v>
      </c>
    </row>
    <row r="56" spans="1:7" ht="15" customHeight="1" x14ac:dyDescent="0.2">
      <c r="A56" s="141">
        <v>4</v>
      </c>
      <c r="B56" s="149" t="s">
        <v>195</v>
      </c>
      <c r="C56" s="146">
        <v>2702808</v>
      </c>
      <c r="D56" s="146">
        <v>2891572</v>
      </c>
      <c r="E56" s="146">
        <f t="shared" si="0"/>
        <v>188764</v>
      </c>
      <c r="F56" s="150">
        <f t="shared" si="1"/>
        <v>6.9839959035195992E-2</v>
      </c>
    </row>
    <row r="57" spans="1:7" ht="15" customHeight="1" x14ac:dyDescent="0.2">
      <c r="A57" s="141">
        <v>5</v>
      </c>
      <c r="B57" s="149" t="s">
        <v>196</v>
      </c>
      <c r="C57" s="146">
        <v>1237961</v>
      </c>
      <c r="D57" s="146">
        <v>1281297</v>
      </c>
      <c r="E57" s="146">
        <f t="shared" si="0"/>
        <v>43336</v>
      </c>
      <c r="F57" s="150">
        <f t="shared" si="1"/>
        <v>3.5005949298887444E-2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5475489</v>
      </c>
      <c r="D59" s="147">
        <f>SUM(D53:D58)</f>
        <v>5720778</v>
      </c>
      <c r="E59" s="147">
        <f t="shared" si="0"/>
        <v>245289</v>
      </c>
      <c r="F59" s="148">
        <f t="shared" si="1"/>
        <v>4.4797642731087578E-2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275000</v>
      </c>
      <c r="D62" s="146">
        <v>256439</v>
      </c>
      <c r="E62" s="146">
        <f t="shared" ref="E62:E78" si="2">+D62-C62</f>
        <v>-18561</v>
      </c>
      <c r="F62" s="150">
        <f t="shared" ref="F62:F78" si="3">IF(C62=0,0,E62/C62)</f>
        <v>-6.749454545454546E-2</v>
      </c>
    </row>
    <row r="63" spans="1:7" ht="15" customHeight="1" x14ac:dyDescent="0.2">
      <c r="A63" s="141">
        <v>2</v>
      </c>
      <c r="B63" s="149" t="s">
        <v>202</v>
      </c>
      <c r="C63" s="146">
        <v>585661</v>
      </c>
      <c r="D63" s="146">
        <v>841609</v>
      </c>
      <c r="E63" s="146">
        <f t="shared" si="2"/>
        <v>255948</v>
      </c>
      <c r="F63" s="150">
        <f t="shared" si="3"/>
        <v>0.43702414878231605</v>
      </c>
    </row>
    <row r="64" spans="1:7" ht="15" customHeight="1" x14ac:dyDescent="0.2">
      <c r="A64" s="141">
        <v>3</v>
      </c>
      <c r="B64" s="149" t="s">
        <v>203</v>
      </c>
      <c r="C64" s="146">
        <v>3753160</v>
      </c>
      <c r="D64" s="146">
        <v>2337046</v>
      </c>
      <c r="E64" s="146">
        <f t="shared" si="2"/>
        <v>-1416114</v>
      </c>
      <c r="F64" s="150">
        <f t="shared" si="3"/>
        <v>-0.37731245137430858</v>
      </c>
    </row>
    <row r="65" spans="1:7" ht="15" customHeight="1" x14ac:dyDescent="0.2">
      <c r="A65" s="141">
        <v>4</v>
      </c>
      <c r="B65" s="149" t="s">
        <v>204</v>
      </c>
      <c r="C65" s="146">
        <v>615893</v>
      </c>
      <c r="D65" s="146">
        <v>643437</v>
      </c>
      <c r="E65" s="146">
        <f t="shared" si="2"/>
        <v>27544</v>
      </c>
      <c r="F65" s="150">
        <f t="shared" si="3"/>
        <v>4.4722053993144911E-2</v>
      </c>
    </row>
    <row r="66" spans="1:7" ht="15" customHeight="1" x14ac:dyDescent="0.2">
      <c r="A66" s="141">
        <v>5</v>
      </c>
      <c r="B66" s="149" t="s">
        <v>205</v>
      </c>
      <c r="C66" s="146">
        <v>1803536</v>
      </c>
      <c r="D66" s="146">
        <v>1900068</v>
      </c>
      <c r="E66" s="146">
        <f t="shared" si="2"/>
        <v>96532</v>
      </c>
      <c r="F66" s="150">
        <f t="shared" si="3"/>
        <v>5.3523744466425952E-2</v>
      </c>
    </row>
    <row r="67" spans="1:7" ht="15" customHeight="1" x14ac:dyDescent="0.2">
      <c r="A67" s="141">
        <v>6</v>
      </c>
      <c r="B67" s="149" t="s">
        <v>206</v>
      </c>
      <c r="C67" s="146">
        <v>3527544</v>
      </c>
      <c r="D67" s="146">
        <v>3446803</v>
      </c>
      <c r="E67" s="146">
        <f t="shared" si="2"/>
        <v>-80741</v>
      </c>
      <c r="F67" s="150">
        <f t="shared" si="3"/>
        <v>-2.2888729382255755E-2</v>
      </c>
    </row>
    <row r="68" spans="1:7" ht="15" customHeight="1" x14ac:dyDescent="0.2">
      <c r="A68" s="141">
        <v>7</v>
      </c>
      <c r="B68" s="149" t="s">
        <v>207</v>
      </c>
      <c r="C68" s="146">
        <v>2284768</v>
      </c>
      <c r="D68" s="146">
        <v>3278325</v>
      </c>
      <c r="E68" s="146">
        <f t="shared" si="2"/>
        <v>993557</v>
      </c>
      <c r="F68" s="150">
        <f t="shared" si="3"/>
        <v>0.4348612200450987</v>
      </c>
    </row>
    <row r="69" spans="1:7" ht="15" customHeight="1" x14ac:dyDescent="0.2">
      <c r="A69" s="141">
        <v>8</v>
      </c>
      <c r="B69" s="149" t="s">
        <v>208</v>
      </c>
      <c r="C69" s="146">
        <v>455308</v>
      </c>
      <c r="D69" s="146">
        <v>446348</v>
      </c>
      <c r="E69" s="146">
        <f t="shared" si="2"/>
        <v>-8960</v>
      </c>
      <c r="F69" s="150">
        <f t="shared" si="3"/>
        <v>-1.9678986532193594E-2</v>
      </c>
    </row>
    <row r="70" spans="1:7" ht="15" customHeight="1" x14ac:dyDescent="0.2">
      <c r="A70" s="141">
        <v>9</v>
      </c>
      <c r="B70" s="149" t="s">
        <v>209</v>
      </c>
      <c r="C70" s="146">
        <v>1294802</v>
      </c>
      <c r="D70" s="146">
        <v>1113663</v>
      </c>
      <c r="E70" s="146">
        <f t="shared" si="2"/>
        <v>-181139</v>
      </c>
      <c r="F70" s="150">
        <f t="shared" si="3"/>
        <v>-0.13989706534280916</v>
      </c>
    </row>
    <row r="71" spans="1:7" ht="15" customHeight="1" x14ac:dyDescent="0.2">
      <c r="A71" s="141">
        <v>10</v>
      </c>
      <c r="B71" s="149" t="s">
        <v>210</v>
      </c>
      <c r="C71" s="146">
        <v>169675</v>
      </c>
      <c r="D71" s="146">
        <v>59893</v>
      </c>
      <c r="E71" s="146">
        <f t="shared" si="2"/>
        <v>-109782</v>
      </c>
      <c r="F71" s="150">
        <f t="shared" si="3"/>
        <v>-0.64701340798585527</v>
      </c>
    </row>
    <row r="72" spans="1:7" ht="15" customHeight="1" x14ac:dyDescent="0.2">
      <c r="A72" s="141">
        <v>11</v>
      </c>
      <c r="B72" s="149" t="s">
        <v>211</v>
      </c>
      <c r="C72" s="146">
        <v>124863</v>
      </c>
      <c r="D72" s="146">
        <v>119493</v>
      </c>
      <c r="E72" s="146">
        <f t="shared" si="2"/>
        <v>-5370</v>
      </c>
      <c r="F72" s="150">
        <f t="shared" si="3"/>
        <v>-4.300713582085966E-2</v>
      </c>
    </row>
    <row r="73" spans="1:7" ht="15" customHeight="1" x14ac:dyDescent="0.2">
      <c r="A73" s="141">
        <v>12</v>
      </c>
      <c r="B73" s="149" t="s">
        <v>212</v>
      </c>
      <c r="C73" s="146">
        <v>2313629</v>
      </c>
      <c r="D73" s="146">
        <v>2076946</v>
      </c>
      <c r="E73" s="146">
        <f t="shared" si="2"/>
        <v>-236683</v>
      </c>
      <c r="F73" s="150">
        <f t="shared" si="3"/>
        <v>-0.10229946114956201</v>
      </c>
    </row>
    <row r="74" spans="1:7" ht="15" customHeight="1" x14ac:dyDescent="0.2">
      <c r="A74" s="141">
        <v>13</v>
      </c>
      <c r="B74" s="149" t="s">
        <v>213</v>
      </c>
      <c r="C74" s="146">
        <v>408103</v>
      </c>
      <c r="D74" s="146">
        <v>396317</v>
      </c>
      <c r="E74" s="146">
        <f t="shared" si="2"/>
        <v>-11786</v>
      </c>
      <c r="F74" s="150">
        <f t="shared" si="3"/>
        <v>-2.8879964126703309E-2</v>
      </c>
    </row>
    <row r="75" spans="1:7" ht="15" customHeight="1" x14ac:dyDescent="0.2">
      <c r="A75" s="141">
        <v>14</v>
      </c>
      <c r="B75" s="149" t="s">
        <v>214</v>
      </c>
      <c r="C75" s="146">
        <v>353878</v>
      </c>
      <c r="D75" s="146">
        <v>275844</v>
      </c>
      <c r="E75" s="146">
        <f t="shared" si="2"/>
        <v>-78034</v>
      </c>
      <c r="F75" s="150">
        <f t="shared" si="3"/>
        <v>-0.22051102357309582</v>
      </c>
    </row>
    <row r="76" spans="1:7" ht="15" customHeight="1" x14ac:dyDescent="0.2">
      <c r="A76" s="141">
        <v>15</v>
      </c>
      <c r="B76" s="149" t="s">
        <v>215</v>
      </c>
      <c r="C76" s="146">
        <v>868521</v>
      </c>
      <c r="D76" s="146">
        <v>636866</v>
      </c>
      <c r="E76" s="146">
        <f t="shared" si="2"/>
        <v>-231655</v>
      </c>
      <c r="F76" s="150">
        <f t="shared" si="3"/>
        <v>-0.26672354496897599</v>
      </c>
    </row>
    <row r="77" spans="1:7" ht="15" customHeight="1" x14ac:dyDescent="0.2">
      <c r="A77" s="141">
        <v>16</v>
      </c>
      <c r="B77" s="149" t="s">
        <v>216</v>
      </c>
      <c r="C77" s="146">
        <v>5390132</v>
      </c>
      <c r="D77" s="146">
        <v>6123672</v>
      </c>
      <c r="E77" s="146">
        <f t="shared" si="2"/>
        <v>733540</v>
      </c>
      <c r="F77" s="150">
        <f t="shared" si="3"/>
        <v>0.13608943157607273</v>
      </c>
    </row>
    <row r="78" spans="1:7" ht="15.75" customHeight="1" x14ac:dyDescent="0.25">
      <c r="A78" s="141"/>
      <c r="B78" s="151" t="s">
        <v>217</v>
      </c>
      <c r="C78" s="147">
        <f>SUM(C62:C77)</f>
        <v>24224473</v>
      </c>
      <c r="D78" s="147">
        <f>SUM(D62:D77)</f>
        <v>23952769</v>
      </c>
      <c r="E78" s="147">
        <f t="shared" si="2"/>
        <v>-271704</v>
      </c>
      <c r="F78" s="148">
        <f t="shared" si="3"/>
        <v>-1.1216095392457041E-2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20572970</v>
      </c>
      <c r="D81" s="146">
        <v>21924352</v>
      </c>
      <c r="E81" s="146">
        <f>+D81-C81</f>
        <v>1351382</v>
      </c>
      <c r="F81" s="150">
        <f>IF(C81=0,0,E81/C81)</f>
        <v>6.5687258572777782E-2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305762315</v>
      </c>
      <c r="D83" s="147">
        <f>+D81+D78+D59+D50+D47+D44+D41+D35+D30+D24+D18</f>
        <v>312521510</v>
      </c>
      <c r="E83" s="147">
        <f>+D83-C83</f>
        <v>6759195</v>
      </c>
      <c r="F83" s="148">
        <f>IF(C83=0,0,E83/C83)</f>
        <v>2.2106043382095666E-2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31404649</v>
      </c>
      <c r="D91" s="146">
        <v>31238022</v>
      </c>
      <c r="E91" s="146">
        <f t="shared" ref="E91:E109" si="4">D91-C91</f>
        <v>-166627</v>
      </c>
      <c r="F91" s="150">
        <f t="shared" ref="F91:F109" si="5">IF(C91=0,0,E91/C91)</f>
        <v>-5.3058067931279857E-3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1061868</v>
      </c>
      <c r="D92" s="146">
        <v>1111806</v>
      </c>
      <c r="E92" s="146">
        <f t="shared" si="4"/>
        <v>49938</v>
      </c>
      <c r="F92" s="150">
        <f t="shared" si="5"/>
        <v>4.7028444213405053E-2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20845505</v>
      </c>
      <c r="D93" s="146">
        <v>16742278</v>
      </c>
      <c r="E93" s="146">
        <f t="shared" si="4"/>
        <v>-4103227</v>
      </c>
      <c r="F93" s="150">
        <f t="shared" si="5"/>
        <v>-0.19683989426017742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3297209</v>
      </c>
      <c r="D94" s="146">
        <v>2606173</v>
      </c>
      <c r="E94" s="146">
        <f t="shared" si="4"/>
        <v>-691036</v>
      </c>
      <c r="F94" s="150">
        <f t="shared" si="5"/>
        <v>-0.20958210413716571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13290957</v>
      </c>
      <c r="D95" s="146">
        <v>14350506</v>
      </c>
      <c r="E95" s="146">
        <f t="shared" si="4"/>
        <v>1059549</v>
      </c>
      <c r="F95" s="150">
        <f t="shared" si="5"/>
        <v>7.9719541640229513E-2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1963030</v>
      </c>
      <c r="D96" s="146">
        <v>1986062</v>
      </c>
      <c r="E96" s="146">
        <f t="shared" si="4"/>
        <v>23032</v>
      </c>
      <c r="F96" s="150">
        <f t="shared" si="5"/>
        <v>1.1732882329867602E-2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34504719</v>
      </c>
      <c r="D97" s="146">
        <v>38304164</v>
      </c>
      <c r="E97" s="146">
        <f t="shared" si="4"/>
        <v>3799445</v>
      </c>
      <c r="F97" s="150">
        <f t="shared" si="5"/>
        <v>0.11011377892977479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1814964</v>
      </c>
      <c r="D98" s="146">
        <v>1661658</v>
      </c>
      <c r="E98" s="146">
        <f t="shared" si="4"/>
        <v>-153306</v>
      </c>
      <c r="F98" s="150">
        <f t="shared" si="5"/>
        <v>-8.4467791096682912E-2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1571559</v>
      </c>
      <c r="D99" s="146">
        <v>1671812</v>
      </c>
      <c r="E99" s="146">
        <f t="shared" si="4"/>
        <v>100253</v>
      </c>
      <c r="F99" s="150">
        <f t="shared" si="5"/>
        <v>6.3792068894645379E-2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3731234</v>
      </c>
      <c r="D100" s="146">
        <v>3809186</v>
      </c>
      <c r="E100" s="146">
        <f t="shared" si="4"/>
        <v>77952</v>
      </c>
      <c r="F100" s="150">
        <f t="shared" si="5"/>
        <v>2.0891747877511836E-2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2655534</v>
      </c>
      <c r="D101" s="146">
        <v>2741122</v>
      </c>
      <c r="E101" s="146">
        <f t="shared" si="4"/>
        <v>85588</v>
      </c>
      <c r="F101" s="150">
        <f t="shared" si="5"/>
        <v>3.223005241130409E-2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855740</v>
      </c>
      <c r="D102" s="146">
        <v>873592</v>
      </c>
      <c r="E102" s="146">
        <f t="shared" si="4"/>
        <v>17852</v>
      </c>
      <c r="F102" s="150">
        <f t="shared" si="5"/>
        <v>2.086147661672938E-2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13052676</v>
      </c>
      <c r="D103" s="146">
        <v>14202966</v>
      </c>
      <c r="E103" s="146">
        <f t="shared" si="4"/>
        <v>1150290</v>
      </c>
      <c r="F103" s="150">
        <f t="shared" si="5"/>
        <v>8.8126756536360817E-2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1156233</v>
      </c>
      <c r="D104" s="146">
        <v>1250684</v>
      </c>
      <c r="E104" s="146">
        <f t="shared" si="4"/>
        <v>94451</v>
      </c>
      <c r="F104" s="150">
        <f t="shared" si="5"/>
        <v>8.1688552393851407E-2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0</v>
      </c>
      <c r="D105" s="146">
        <v>0</v>
      </c>
      <c r="E105" s="146">
        <f t="shared" si="4"/>
        <v>0</v>
      </c>
      <c r="F105" s="150">
        <f t="shared" si="5"/>
        <v>0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2774712</v>
      </c>
      <c r="D106" s="146">
        <v>2859721</v>
      </c>
      <c r="E106" s="146">
        <f t="shared" si="4"/>
        <v>85009</v>
      </c>
      <c r="F106" s="150">
        <f t="shared" si="5"/>
        <v>3.0637053503210422E-2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9456323</v>
      </c>
      <c r="D107" s="146">
        <v>10360055</v>
      </c>
      <c r="E107" s="146">
        <f t="shared" si="4"/>
        <v>903732</v>
      </c>
      <c r="F107" s="150">
        <f t="shared" si="5"/>
        <v>9.5569070557340305E-2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707895</v>
      </c>
      <c r="D108" s="146">
        <v>731891</v>
      </c>
      <c r="E108" s="146">
        <f t="shared" si="4"/>
        <v>23996</v>
      </c>
      <c r="F108" s="150">
        <f t="shared" si="5"/>
        <v>3.3897682565917263E-2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144144807</v>
      </c>
      <c r="D109" s="147">
        <f>SUM(D91:D108)</f>
        <v>146501698</v>
      </c>
      <c r="E109" s="147">
        <f t="shared" si="4"/>
        <v>2356891</v>
      </c>
      <c r="F109" s="148">
        <f t="shared" si="5"/>
        <v>1.6350856122066194E-2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5280069</v>
      </c>
      <c r="D112" s="146">
        <v>5403613</v>
      </c>
      <c r="E112" s="146">
        <f t="shared" ref="E112:E118" si="6">D112-C112</f>
        <v>123544</v>
      </c>
      <c r="F112" s="150">
        <f t="shared" ref="F112:F118" si="7">IF(C112=0,0,E112/C112)</f>
        <v>2.3398179076826457E-2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3546022</v>
      </c>
      <c r="D113" s="146">
        <v>3847452</v>
      </c>
      <c r="E113" s="146">
        <f t="shared" si="6"/>
        <v>301430</v>
      </c>
      <c r="F113" s="150">
        <f t="shared" si="7"/>
        <v>8.5005112771437963E-2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2792058</v>
      </c>
      <c r="D114" s="146">
        <v>2853039</v>
      </c>
      <c r="E114" s="146">
        <f t="shared" si="6"/>
        <v>60981</v>
      </c>
      <c r="F114" s="150">
        <f t="shared" si="7"/>
        <v>2.1840878663695381E-2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3922425</v>
      </c>
      <c r="D115" s="146">
        <v>3918131</v>
      </c>
      <c r="E115" s="146">
        <f t="shared" si="6"/>
        <v>-4294</v>
      </c>
      <c r="F115" s="150">
        <f t="shared" si="7"/>
        <v>-1.0947309381313856E-3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277601</v>
      </c>
      <c r="D116" s="146">
        <v>294699</v>
      </c>
      <c r="E116" s="146">
        <f t="shared" si="6"/>
        <v>17098</v>
      </c>
      <c r="F116" s="150">
        <f t="shared" si="7"/>
        <v>6.1591997146984344E-2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272201</v>
      </c>
      <c r="D117" s="146">
        <v>327665</v>
      </c>
      <c r="E117" s="146">
        <f t="shared" si="6"/>
        <v>55464</v>
      </c>
      <c r="F117" s="150">
        <f t="shared" si="7"/>
        <v>0.20376119117857761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16090376</v>
      </c>
      <c r="D118" s="147">
        <f>SUM(D112:D117)</f>
        <v>16644599</v>
      </c>
      <c r="E118" s="147">
        <f t="shared" si="6"/>
        <v>554223</v>
      </c>
      <c r="F118" s="148">
        <f t="shared" si="7"/>
        <v>3.4444378428446915E-2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16814992</v>
      </c>
      <c r="D121" s="146">
        <v>17188397</v>
      </c>
      <c r="E121" s="146">
        <f t="shared" ref="E121:E155" si="8">D121-C121</f>
        <v>373405</v>
      </c>
      <c r="F121" s="150">
        <f t="shared" ref="F121:F155" si="9">IF(C121=0,0,E121/C121)</f>
        <v>2.2206671284767783E-2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3192694</v>
      </c>
      <c r="D122" s="146">
        <v>2481586</v>
      </c>
      <c r="E122" s="146">
        <f t="shared" si="8"/>
        <v>-711108</v>
      </c>
      <c r="F122" s="150">
        <f t="shared" si="9"/>
        <v>-0.22272976990591645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790429</v>
      </c>
      <c r="D123" s="146">
        <v>778686</v>
      </c>
      <c r="E123" s="146">
        <f t="shared" si="8"/>
        <v>-11743</v>
      </c>
      <c r="F123" s="150">
        <f t="shared" si="9"/>
        <v>-1.4856489324151822E-2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4846</v>
      </c>
      <c r="D124" s="146">
        <v>0</v>
      </c>
      <c r="E124" s="146">
        <f t="shared" si="8"/>
        <v>-4846</v>
      </c>
      <c r="F124" s="150">
        <f t="shared" si="9"/>
        <v>-1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9362184</v>
      </c>
      <c r="D125" s="146">
        <v>9144589</v>
      </c>
      <c r="E125" s="146">
        <f t="shared" si="8"/>
        <v>-217595</v>
      </c>
      <c r="F125" s="150">
        <f t="shared" si="9"/>
        <v>-2.324190594844109E-2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1482784</v>
      </c>
      <c r="D126" s="146">
        <v>1511883</v>
      </c>
      <c r="E126" s="146">
        <f t="shared" si="8"/>
        <v>29099</v>
      </c>
      <c r="F126" s="150">
        <f t="shared" si="9"/>
        <v>1.9624571077109007E-2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1644051</v>
      </c>
      <c r="D127" s="146">
        <v>2133479</v>
      </c>
      <c r="E127" s="146">
        <f t="shared" si="8"/>
        <v>489428</v>
      </c>
      <c r="F127" s="150">
        <f t="shared" si="9"/>
        <v>0.29769636100096653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679979</v>
      </c>
      <c r="D128" s="146">
        <v>700409</v>
      </c>
      <c r="E128" s="146">
        <f t="shared" si="8"/>
        <v>20430</v>
      </c>
      <c r="F128" s="150">
        <f t="shared" si="9"/>
        <v>3.0045045508758358E-2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2866811</v>
      </c>
      <c r="D129" s="146">
        <v>2858456</v>
      </c>
      <c r="E129" s="146">
        <f t="shared" si="8"/>
        <v>-8355</v>
      </c>
      <c r="F129" s="150">
        <f t="shared" si="9"/>
        <v>-2.9143881476665187E-3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12755816</v>
      </c>
      <c r="D130" s="146">
        <v>13025800</v>
      </c>
      <c r="E130" s="146">
        <f t="shared" si="8"/>
        <v>269984</v>
      </c>
      <c r="F130" s="150">
        <f t="shared" si="9"/>
        <v>2.1165560870429614E-2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1761905</v>
      </c>
      <c r="D131" s="146">
        <v>1847876</v>
      </c>
      <c r="E131" s="146">
        <f t="shared" si="8"/>
        <v>85971</v>
      </c>
      <c r="F131" s="150">
        <f t="shared" si="9"/>
        <v>4.879434475752098E-2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463926</v>
      </c>
      <c r="D132" s="146">
        <v>668532</v>
      </c>
      <c r="E132" s="146">
        <f t="shared" si="8"/>
        <v>204606</v>
      </c>
      <c r="F132" s="150">
        <f t="shared" si="9"/>
        <v>0.4410315438237995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1113827</v>
      </c>
      <c r="D134" s="146">
        <v>314551</v>
      </c>
      <c r="E134" s="146">
        <f t="shared" si="8"/>
        <v>-799276</v>
      </c>
      <c r="F134" s="150">
        <f t="shared" si="9"/>
        <v>-0.71759438404707376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244709</v>
      </c>
      <c r="D136" s="146">
        <v>290644</v>
      </c>
      <c r="E136" s="146">
        <f t="shared" si="8"/>
        <v>45935</v>
      </c>
      <c r="F136" s="150">
        <f t="shared" si="9"/>
        <v>0.18771275269810264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1072002</v>
      </c>
      <c r="D138" s="146">
        <v>1097525</v>
      </c>
      <c r="E138" s="146">
        <f t="shared" si="8"/>
        <v>25523</v>
      </c>
      <c r="F138" s="150">
        <f t="shared" si="9"/>
        <v>2.3808724237454781E-2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52794</v>
      </c>
      <c r="D139" s="146">
        <v>59478</v>
      </c>
      <c r="E139" s="146">
        <f t="shared" si="8"/>
        <v>6684</v>
      </c>
      <c r="F139" s="150">
        <f t="shared" si="9"/>
        <v>0.12660529605637005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484460</v>
      </c>
      <c r="D140" s="146">
        <v>517643</v>
      </c>
      <c r="E140" s="146">
        <f t="shared" si="8"/>
        <v>33183</v>
      </c>
      <c r="F140" s="150">
        <f t="shared" si="9"/>
        <v>6.8494818973702673E-2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6610423</v>
      </c>
      <c r="D142" s="146">
        <v>6989504</v>
      </c>
      <c r="E142" s="146">
        <f t="shared" si="8"/>
        <v>379081</v>
      </c>
      <c r="F142" s="150">
        <f t="shared" si="9"/>
        <v>5.7345951991271966E-2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204269</v>
      </c>
      <c r="D143" s="146">
        <v>179601</v>
      </c>
      <c r="E143" s="146">
        <f t="shared" si="8"/>
        <v>-24668</v>
      </c>
      <c r="F143" s="150">
        <f t="shared" si="9"/>
        <v>-0.12076232810656536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19435241</v>
      </c>
      <c r="D144" s="146">
        <v>19981907</v>
      </c>
      <c r="E144" s="146">
        <f t="shared" si="8"/>
        <v>546666</v>
      </c>
      <c r="F144" s="150">
        <f t="shared" si="9"/>
        <v>2.8127564767527195E-2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2071487</v>
      </c>
      <c r="D145" s="146">
        <v>1876039</v>
      </c>
      <c r="E145" s="146">
        <f t="shared" si="8"/>
        <v>-195448</v>
      </c>
      <c r="F145" s="150">
        <f t="shared" si="9"/>
        <v>-9.4351545532267406E-2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523542</v>
      </c>
      <c r="D146" s="146">
        <v>515160</v>
      </c>
      <c r="E146" s="146">
        <f t="shared" si="8"/>
        <v>-8382</v>
      </c>
      <c r="F146" s="150">
        <f t="shared" si="9"/>
        <v>-1.6010176833950285E-2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428846</v>
      </c>
      <c r="D148" s="146">
        <v>514007</v>
      </c>
      <c r="E148" s="146">
        <f t="shared" si="8"/>
        <v>85161</v>
      </c>
      <c r="F148" s="150">
        <f t="shared" si="9"/>
        <v>0.1985817752759732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529016</v>
      </c>
      <c r="D149" s="146">
        <v>619183</v>
      </c>
      <c r="E149" s="146">
        <f t="shared" si="8"/>
        <v>90167</v>
      </c>
      <c r="F149" s="150">
        <f t="shared" si="9"/>
        <v>0.17044285995130581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936154</v>
      </c>
      <c r="D151" s="146">
        <v>878267</v>
      </c>
      <c r="E151" s="146">
        <f t="shared" si="8"/>
        <v>-57887</v>
      </c>
      <c r="F151" s="150">
        <f t="shared" si="9"/>
        <v>-6.1834911777335778E-2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2671274</v>
      </c>
      <c r="D152" s="146">
        <v>2744324</v>
      </c>
      <c r="E152" s="146">
        <f t="shared" si="8"/>
        <v>73050</v>
      </c>
      <c r="F152" s="150">
        <f t="shared" si="9"/>
        <v>2.7346502081029501E-2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2833753</v>
      </c>
      <c r="D154" s="146">
        <v>3465435</v>
      </c>
      <c r="E154" s="146">
        <f t="shared" si="8"/>
        <v>631682</v>
      </c>
      <c r="F154" s="150">
        <f t="shared" si="9"/>
        <v>0.2229135708016895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91032214</v>
      </c>
      <c r="D155" s="147">
        <f>SUM(D121:D154)</f>
        <v>92382961</v>
      </c>
      <c r="E155" s="147">
        <f t="shared" si="8"/>
        <v>1350747</v>
      </c>
      <c r="F155" s="148">
        <f t="shared" si="9"/>
        <v>1.4838120931563854E-2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19628144</v>
      </c>
      <c r="D158" s="146">
        <v>20781330</v>
      </c>
      <c r="E158" s="146">
        <f t="shared" ref="E158:E171" si="10">D158-C158</f>
        <v>1153186</v>
      </c>
      <c r="F158" s="150">
        <f t="shared" ref="F158:F171" si="11">IF(C158=0,0,E158/C158)</f>
        <v>5.8751657823582298E-2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6752085</v>
      </c>
      <c r="D159" s="146">
        <v>6453360</v>
      </c>
      <c r="E159" s="146">
        <f t="shared" si="10"/>
        <v>-298725</v>
      </c>
      <c r="F159" s="150">
        <f t="shared" si="11"/>
        <v>-4.4241889727395317E-2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2468869</v>
      </c>
      <c r="D161" s="146">
        <v>2543611</v>
      </c>
      <c r="E161" s="146">
        <f t="shared" si="10"/>
        <v>74742</v>
      </c>
      <c r="F161" s="150">
        <f t="shared" si="11"/>
        <v>3.0273781233431177E-2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4433660</v>
      </c>
      <c r="D163" s="146">
        <v>4523867</v>
      </c>
      <c r="E163" s="146">
        <f t="shared" si="10"/>
        <v>90207</v>
      </c>
      <c r="F163" s="150">
        <f t="shared" si="11"/>
        <v>2.0345944434169511E-2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879403</v>
      </c>
      <c r="D164" s="146">
        <v>905500</v>
      </c>
      <c r="E164" s="146">
        <f t="shared" si="10"/>
        <v>26097</v>
      </c>
      <c r="F164" s="150">
        <f t="shared" si="11"/>
        <v>2.9675814160288288E-2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2675650</v>
      </c>
      <c r="D167" s="146">
        <v>2376193</v>
      </c>
      <c r="E167" s="146">
        <f t="shared" si="10"/>
        <v>-299457</v>
      </c>
      <c r="F167" s="150">
        <f t="shared" si="11"/>
        <v>-0.11191934670080167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11068137</v>
      </c>
      <c r="D168" s="146">
        <v>11486101</v>
      </c>
      <c r="E168" s="146">
        <f t="shared" si="10"/>
        <v>417964</v>
      </c>
      <c r="F168" s="150">
        <f t="shared" si="11"/>
        <v>3.776281410322261E-2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6485619</v>
      </c>
      <c r="D169" s="146">
        <v>7795746</v>
      </c>
      <c r="E169" s="146">
        <f t="shared" si="10"/>
        <v>1310127</v>
      </c>
      <c r="F169" s="150">
        <f t="shared" si="11"/>
        <v>0.20200492813407633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103351</v>
      </c>
      <c r="D170" s="146">
        <v>126544</v>
      </c>
      <c r="E170" s="146">
        <f t="shared" si="10"/>
        <v>23193</v>
      </c>
      <c r="F170" s="150">
        <f t="shared" si="11"/>
        <v>0.22441002022234907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54494918</v>
      </c>
      <c r="D171" s="147">
        <f>SUM(D158:D170)</f>
        <v>56992252</v>
      </c>
      <c r="E171" s="147">
        <f t="shared" si="10"/>
        <v>2497334</v>
      </c>
      <c r="F171" s="148">
        <f t="shared" si="11"/>
        <v>4.5826915456593585E-2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305762315</v>
      </c>
      <c r="D176" s="147">
        <f>+D174+D171+D155+D118+D109</f>
        <v>312521510</v>
      </c>
      <c r="E176" s="147">
        <f>D176-C176</f>
        <v>6759195</v>
      </c>
      <c r="F176" s="148">
        <f>IF(C176=0,0,E176/C176)</f>
        <v>2.2106043382095666E-2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FILING&amp;RMIDDLESEX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292835665</v>
      </c>
      <c r="D11" s="164">
        <v>317817236</v>
      </c>
      <c r="E11" s="51">
        <v>325072710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9473861</v>
      </c>
      <c r="D12" s="49">
        <v>9128624</v>
      </c>
      <c r="E12" s="49">
        <v>9611535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302309526</v>
      </c>
      <c r="D13" s="51">
        <f>+D11+D12</f>
        <v>326945860</v>
      </c>
      <c r="E13" s="51">
        <f>+E11+E12</f>
        <v>334684245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293469539</v>
      </c>
      <c r="D14" s="49">
        <v>305762315</v>
      </c>
      <c r="E14" s="49">
        <v>312521510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8839987</v>
      </c>
      <c r="D15" s="51">
        <f>+D13-D14</f>
        <v>21183545</v>
      </c>
      <c r="E15" s="51">
        <f>+E13-E14</f>
        <v>22162735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1919000</v>
      </c>
      <c r="D16" s="49">
        <v>-2393000</v>
      </c>
      <c r="E16" s="49">
        <v>2779040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10758987</v>
      </c>
      <c r="D17" s="51">
        <f>D15+D16</f>
        <v>18790545</v>
      </c>
      <c r="E17" s="51">
        <f>E15+E16</f>
        <v>24941775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2.9057061532750547E-2</v>
      </c>
      <c r="D20" s="169">
        <f>IF(+D27=0,0,+D24/+D27)</f>
        <v>6.5269937846180126E-2</v>
      </c>
      <c r="E20" s="169">
        <f>IF(+E27=0,0,+E24/+E27)</f>
        <v>6.5674507376409855E-2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6.3077582672178478E-3</v>
      </c>
      <c r="D21" s="169">
        <f>IF(D27=0,0,+D26/D27)</f>
        <v>-7.3732211141199003E-3</v>
      </c>
      <c r="E21" s="169">
        <f>IF(E27=0,0,+E26/E27)</f>
        <v>8.235088448214448E-3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3.5364819799968396E-2</v>
      </c>
      <c r="D22" s="169">
        <f>IF(D27=0,0,+D28/D27)</f>
        <v>5.7896716732060226E-2</v>
      </c>
      <c r="E22" s="169">
        <f>IF(E27=0,0,+E28/E27)</f>
        <v>7.3909595824624294E-2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8839987</v>
      </c>
      <c r="D24" s="51">
        <f>+D15</f>
        <v>21183545</v>
      </c>
      <c r="E24" s="51">
        <f>+E15</f>
        <v>22162735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302309526</v>
      </c>
      <c r="D25" s="51">
        <f>+D13</f>
        <v>326945860</v>
      </c>
      <c r="E25" s="51">
        <f>+E13</f>
        <v>334684245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1919000</v>
      </c>
      <c r="D26" s="51">
        <f>+D16</f>
        <v>-2393000</v>
      </c>
      <c r="E26" s="51">
        <f>+E16</f>
        <v>2779040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304228526</v>
      </c>
      <c r="D27" s="51">
        <f>+D25+D26</f>
        <v>324552860</v>
      </c>
      <c r="E27" s="51">
        <f>+E25+E26</f>
        <v>337463285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10758987</v>
      </c>
      <c r="D28" s="51">
        <f>+D17</f>
        <v>18790545</v>
      </c>
      <c r="E28" s="51">
        <f>+E17</f>
        <v>24941775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161623000</v>
      </c>
      <c r="D31" s="51">
        <v>124916000</v>
      </c>
      <c r="E31" s="51">
        <v>131224000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175804000</v>
      </c>
      <c r="D32" s="51">
        <v>138110000</v>
      </c>
      <c r="E32" s="51">
        <v>144810000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-18669000</v>
      </c>
      <c r="D33" s="51">
        <f>+D32-C32</f>
        <v>-37694000</v>
      </c>
      <c r="E33" s="51">
        <f>+E32-D32</f>
        <v>6700000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0.90400000000000003</v>
      </c>
      <c r="D34" s="171">
        <f>IF(C32=0,0,+D33/C32)</f>
        <v>-0.21440922845896568</v>
      </c>
      <c r="E34" s="171">
        <f>IF(D32=0,0,+E33/D32)</f>
        <v>4.8512055607848818E-2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0.38979661791909198</v>
      </c>
      <c r="D38" s="172">
        <f>IF((D40+D41)=0,0,+D39/(D40+D41))</f>
        <v>0.35856913838822096</v>
      </c>
      <c r="E38" s="172">
        <f>IF((E40+E41)=0,0,+E39/(E40+E41))</f>
        <v>0.33031011970997298</v>
      </c>
      <c r="F38" s="5"/>
    </row>
    <row r="39" spans="1:6" ht="24" customHeight="1" x14ac:dyDescent="0.2">
      <c r="A39" s="21">
        <v>2</v>
      </c>
      <c r="B39" s="48" t="s">
        <v>324</v>
      </c>
      <c r="C39" s="51">
        <v>293469539</v>
      </c>
      <c r="D39" s="51">
        <v>305762315</v>
      </c>
      <c r="E39" s="23">
        <v>312521510</v>
      </c>
      <c r="F39" s="5"/>
    </row>
    <row r="40" spans="1:6" ht="24" customHeight="1" x14ac:dyDescent="0.2">
      <c r="A40" s="21">
        <v>3</v>
      </c>
      <c r="B40" s="48" t="s">
        <v>325</v>
      </c>
      <c r="C40" s="51">
        <v>745115583</v>
      </c>
      <c r="D40" s="51">
        <v>845270410</v>
      </c>
      <c r="E40" s="23">
        <v>938143113</v>
      </c>
      <c r="F40" s="5"/>
    </row>
    <row r="41" spans="1:6" ht="24" customHeight="1" x14ac:dyDescent="0.2">
      <c r="A41" s="21">
        <v>4</v>
      </c>
      <c r="B41" s="48" t="s">
        <v>326</v>
      </c>
      <c r="C41" s="51">
        <v>7763035</v>
      </c>
      <c r="D41" s="51">
        <v>7458624</v>
      </c>
      <c r="E41" s="23">
        <v>8002619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1.2024732548887926</v>
      </c>
      <c r="D43" s="173">
        <f>IF(D38=0,0,IF((D46-D47)=0,0,((+D44-D45)/(D46-D47)/D38)))</f>
        <v>1.3072518556099981</v>
      </c>
      <c r="E43" s="173">
        <f>IF(E38=0,0,IF((E46-E47)=0,0,((+E44-E45)/(E46-E47)/E38)))</f>
        <v>1.3917006280127098</v>
      </c>
      <c r="F43" s="5"/>
    </row>
    <row r="44" spans="1:6" ht="24" customHeight="1" x14ac:dyDescent="0.2">
      <c r="A44" s="21">
        <v>6</v>
      </c>
      <c r="B44" s="48" t="s">
        <v>328</v>
      </c>
      <c r="C44" s="51">
        <v>153177440</v>
      </c>
      <c r="D44" s="51">
        <v>170868829</v>
      </c>
      <c r="E44" s="23">
        <v>181501628</v>
      </c>
      <c r="F44" s="5"/>
    </row>
    <row r="45" spans="1:6" ht="24" customHeight="1" x14ac:dyDescent="0.2">
      <c r="A45" s="21">
        <v>7</v>
      </c>
      <c r="B45" s="48" t="s">
        <v>329</v>
      </c>
      <c r="C45" s="51">
        <v>5278356</v>
      </c>
      <c r="D45" s="51">
        <v>4529416</v>
      </c>
      <c r="E45" s="23">
        <v>6557339</v>
      </c>
      <c r="F45" s="5"/>
    </row>
    <row r="46" spans="1:6" ht="24" customHeight="1" x14ac:dyDescent="0.2">
      <c r="A46" s="21">
        <v>8</v>
      </c>
      <c r="B46" s="48" t="s">
        <v>330</v>
      </c>
      <c r="C46" s="51">
        <v>339674486</v>
      </c>
      <c r="D46" s="51">
        <v>379871003</v>
      </c>
      <c r="E46" s="23">
        <v>401833456</v>
      </c>
      <c r="F46" s="5"/>
    </row>
    <row r="47" spans="1:6" ht="24" customHeight="1" x14ac:dyDescent="0.2">
      <c r="A47" s="21">
        <v>9</v>
      </c>
      <c r="B47" s="48" t="s">
        <v>331</v>
      </c>
      <c r="C47" s="51">
        <v>24136251</v>
      </c>
      <c r="D47" s="51">
        <v>25006148</v>
      </c>
      <c r="E47" s="174">
        <v>21265632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0.82249988570440813</v>
      </c>
      <c r="D49" s="175">
        <f>IF(D38=0,0,IF(D51=0,0,(D50/D51)/D38))</f>
        <v>0.85901657377476648</v>
      </c>
      <c r="E49" s="175">
        <f>IF(E38=0,0,IF(E51=0,0,(E50/E51)/E38))</f>
        <v>0.81668339559159497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106085986</v>
      </c>
      <c r="D50" s="176">
        <v>115967991</v>
      </c>
      <c r="E50" s="176">
        <v>112560921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330890352</v>
      </c>
      <c r="D51" s="176">
        <v>376498875</v>
      </c>
      <c r="E51" s="176">
        <v>417265072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0.74369540669091438</v>
      </c>
      <c r="D53" s="175">
        <f>IF(D38=0,0,IF(D55=0,0,(D54/D55)/D38))</f>
        <v>0.66678817153894576</v>
      </c>
      <c r="E53" s="175">
        <f>IF(E38=0,0,IF(E55=0,0,(E54/E55)/E38))</f>
        <v>0.84175886048413018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16194166</v>
      </c>
      <c r="D54" s="176">
        <v>15453493</v>
      </c>
      <c r="E54" s="176">
        <v>27521859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55863150</v>
      </c>
      <c r="D55" s="176">
        <v>64634719</v>
      </c>
      <c r="E55" s="176">
        <v>98984727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9432675.4937357157</v>
      </c>
      <c r="D57" s="53">
        <f>+D60*D38</f>
        <v>8817506.2711067256</v>
      </c>
      <c r="E57" s="53">
        <f>+E60*E38</f>
        <v>7061632.9963252116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4682373</v>
      </c>
      <c r="D58" s="51">
        <v>7535167</v>
      </c>
      <c r="E58" s="52">
        <v>9520361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19516594</v>
      </c>
      <c r="D59" s="51">
        <v>17055645</v>
      </c>
      <c r="E59" s="52">
        <v>11858436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24198967</v>
      </c>
      <c r="D60" s="51">
        <v>24590812</v>
      </c>
      <c r="E60" s="52">
        <v>21378797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3.2141923573661649E-2</v>
      </c>
      <c r="D62" s="178">
        <f>IF(D63=0,0,+D57/D63)</f>
        <v>2.8837779669174488E-2</v>
      </c>
      <c r="E62" s="178">
        <f>IF(E63=0,0,+E57/E63)</f>
        <v>2.2595670283063755E-2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293469539</v>
      </c>
      <c r="D63" s="176">
        <v>305762315</v>
      </c>
      <c r="E63" s="176">
        <v>312521510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2.0885217150505375</v>
      </c>
      <c r="D67" s="179">
        <f>IF(D69=0,0,D68/D69)</f>
        <v>2.1691394095772938</v>
      </c>
      <c r="E67" s="179">
        <f>IF(E69=0,0,E68/E69)</f>
        <v>2.2145083441679878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90504000</v>
      </c>
      <c r="D68" s="180">
        <v>114331000</v>
      </c>
      <c r="E68" s="180">
        <v>124338000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43334000</v>
      </c>
      <c r="D69" s="180">
        <v>52708000</v>
      </c>
      <c r="E69" s="180">
        <v>56147000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57.844534392019959</v>
      </c>
      <c r="D71" s="181">
        <f>IF((D77/365)=0,0,+D74/(D77/365))</f>
        <v>85.6513092804107</v>
      </c>
      <c r="E71" s="181">
        <f>IF((E77/365)=0,0,+E74/(E77/365))</f>
        <v>97.326700869689418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28239000</v>
      </c>
      <c r="D72" s="182">
        <v>47781000</v>
      </c>
      <c r="E72" s="182">
        <v>50099000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15145000</v>
      </c>
      <c r="D73" s="184">
        <v>19181000</v>
      </c>
      <c r="E73" s="184">
        <v>27573000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43384000</v>
      </c>
      <c r="D74" s="180">
        <f>+D72+D73</f>
        <v>66962000</v>
      </c>
      <c r="E74" s="180">
        <f>+E72+E73</f>
        <v>77672000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293469539</v>
      </c>
      <c r="D75" s="180">
        <f>+D14</f>
        <v>305762315</v>
      </c>
      <c r="E75" s="180">
        <f>+E14</f>
        <v>312521510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19715758</v>
      </c>
      <c r="D76" s="180">
        <v>20406140</v>
      </c>
      <c r="E76" s="180">
        <v>21231661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273753781</v>
      </c>
      <c r="D77" s="180">
        <f>+D75-D76</f>
        <v>285356175</v>
      </c>
      <c r="E77" s="180">
        <f>+E75-E76</f>
        <v>291289849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49.322595319801636</v>
      </c>
      <c r="D79" s="179">
        <f>IF((D84/365)=0,0,+D83/(D84/365))</f>
        <v>44.807119900822499</v>
      </c>
      <c r="E79" s="179">
        <f>IF((E84/365)=0,0,+E83/(E84/365))</f>
        <v>43.320861969619038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39872000</v>
      </c>
      <c r="D80" s="189">
        <v>39081000</v>
      </c>
      <c r="E80" s="189">
        <v>38248000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334000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301000</v>
      </c>
      <c r="D82" s="190">
        <v>66000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39571000</v>
      </c>
      <c r="D83" s="191">
        <f>+D80+D81-D82</f>
        <v>39015000</v>
      </c>
      <c r="E83" s="191">
        <f>+E80+E81-E82</f>
        <v>38582000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292835665</v>
      </c>
      <c r="D84" s="191">
        <f>+D11</f>
        <v>317817236</v>
      </c>
      <c r="E84" s="191">
        <f>+E11</f>
        <v>325072710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57.777868646132056</v>
      </c>
      <c r="D86" s="179">
        <f>IF((D90/365)=0,0,+D87/(D90/365))</f>
        <v>67.418972096889092</v>
      </c>
      <c r="E86" s="179">
        <f>IF((E90/365)=0,0,+E87/(E90/365))</f>
        <v>70.354854693202853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43334000</v>
      </c>
      <c r="D87" s="51">
        <f>+D69</f>
        <v>52708000</v>
      </c>
      <c r="E87" s="51">
        <f>+E69</f>
        <v>56147000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293469539</v>
      </c>
      <c r="D88" s="51">
        <f t="shared" si="0"/>
        <v>305762315</v>
      </c>
      <c r="E88" s="51">
        <f t="shared" si="0"/>
        <v>312521510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19715758</v>
      </c>
      <c r="D89" s="52">
        <f t="shared" si="0"/>
        <v>20406140</v>
      </c>
      <c r="E89" s="52">
        <f t="shared" si="0"/>
        <v>21231661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273753781</v>
      </c>
      <c r="D90" s="51">
        <f>+D88-D89</f>
        <v>285356175</v>
      </c>
      <c r="E90" s="51">
        <f>+E88-E89</f>
        <v>291289849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50.493144232481455</v>
      </c>
      <c r="D94" s="192">
        <f>IF(D96=0,0,(D95/D96)*100)</f>
        <v>36.891113651661982</v>
      </c>
      <c r="E94" s="192">
        <f>IF(E96=0,0,(E95/E96)*100)</f>
        <v>36.912323990334123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175804000</v>
      </c>
      <c r="D95" s="51">
        <f>+D32</f>
        <v>138110000</v>
      </c>
      <c r="E95" s="51">
        <f>+E32</f>
        <v>144810000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348174000</v>
      </c>
      <c r="D96" s="51">
        <v>374372000</v>
      </c>
      <c r="E96" s="51">
        <v>392308000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24.560561734364924</v>
      </c>
      <c r="D98" s="192">
        <f>IF(D104=0,0,(D101/D104)*100)</f>
        <v>30.47408706063457</v>
      </c>
      <c r="E98" s="192">
        <f>IF(E104=0,0,(E101/E104)*100)</f>
        <v>36.86531309631215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10758987</v>
      </c>
      <c r="D99" s="51">
        <f>+D28</f>
        <v>18790545</v>
      </c>
      <c r="E99" s="51">
        <f>+E28</f>
        <v>24941775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19715758</v>
      </c>
      <c r="D100" s="52">
        <f>+D76</f>
        <v>20406140</v>
      </c>
      <c r="E100" s="52">
        <f>+E76</f>
        <v>21231661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30474745</v>
      </c>
      <c r="D101" s="51">
        <f>+D99+D100</f>
        <v>39196685</v>
      </c>
      <c r="E101" s="51">
        <f>+E99+E100</f>
        <v>46173436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43334000</v>
      </c>
      <c r="D102" s="180">
        <f>+D69</f>
        <v>52708000</v>
      </c>
      <c r="E102" s="180">
        <f>+E69</f>
        <v>56147000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80746000</v>
      </c>
      <c r="D103" s="194">
        <v>75915000</v>
      </c>
      <c r="E103" s="194">
        <v>69102000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124080000</v>
      </c>
      <c r="D104" s="180">
        <f>+D102+D103</f>
        <v>128623000</v>
      </c>
      <c r="E104" s="180">
        <f>+E102+E103</f>
        <v>125249000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31.473786786201519</v>
      </c>
      <c r="D106" s="197">
        <f>IF(D109=0,0,(D107/D109)*100)</f>
        <v>35.470155355682749</v>
      </c>
      <c r="E106" s="197">
        <f>IF(E109=0,0,(E107/E109)*100)</f>
        <v>32.303938067990572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80746000</v>
      </c>
      <c r="D107" s="180">
        <f>+D103</f>
        <v>75915000</v>
      </c>
      <c r="E107" s="180">
        <f>+E103</f>
        <v>69102000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175804000</v>
      </c>
      <c r="D108" s="180">
        <f>+D32</f>
        <v>138110000</v>
      </c>
      <c r="E108" s="180">
        <f>+E32</f>
        <v>144810000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256550000</v>
      </c>
      <c r="D109" s="180">
        <f>+D107+D108</f>
        <v>214025000</v>
      </c>
      <c r="E109" s="180">
        <f>+E107+E108</f>
        <v>213912000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9.0299163327098189</v>
      </c>
      <c r="D111" s="197">
        <f>IF((+D113+D115)=0,0,((+D112+D113+D114)/(+D113+D115)))</f>
        <v>4.9263670490710227</v>
      </c>
      <c r="E111" s="197">
        <f>IF((+E113+E115)=0,0,((+E112+E113+E114)/(+E113+E115)))</f>
        <v>4.6954155371741537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10758987</v>
      </c>
      <c r="D112" s="180">
        <f>+D17</f>
        <v>18790545</v>
      </c>
      <c r="E112" s="180">
        <f>+E17</f>
        <v>24941775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3795151</v>
      </c>
      <c r="D113" s="180">
        <v>3974237</v>
      </c>
      <c r="E113" s="180">
        <v>3718716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19715758</v>
      </c>
      <c r="D114" s="180">
        <v>20406140</v>
      </c>
      <c r="E114" s="180">
        <v>21231661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4789000</v>
      </c>
      <c r="E115" s="180">
        <v>6907000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9.9523437039549787</v>
      </c>
      <c r="D119" s="197">
        <f>IF(+D121=0,0,(+D120)/(+D121))</f>
        <v>10.577355639038053</v>
      </c>
      <c r="E119" s="197">
        <f>IF(+E121=0,0,(+E120)/(+E121))</f>
        <v>11.158382756770655</v>
      </c>
    </row>
    <row r="120" spans="1:8" ht="24" customHeight="1" x14ac:dyDescent="0.25">
      <c r="A120" s="17">
        <v>21</v>
      </c>
      <c r="B120" s="48" t="s">
        <v>369</v>
      </c>
      <c r="C120" s="180">
        <v>196218000</v>
      </c>
      <c r="D120" s="180">
        <v>215843000</v>
      </c>
      <c r="E120" s="180">
        <v>236911000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19715758</v>
      </c>
      <c r="D121" s="180">
        <v>20406140</v>
      </c>
      <c r="E121" s="180">
        <v>21231661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59419</v>
      </c>
      <c r="D124" s="198">
        <v>57628</v>
      </c>
      <c r="E124" s="198">
        <v>57829</v>
      </c>
    </row>
    <row r="125" spans="1:8" ht="24" customHeight="1" x14ac:dyDescent="0.2">
      <c r="A125" s="44">
        <v>2</v>
      </c>
      <c r="B125" s="48" t="s">
        <v>373</v>
      </c>
      <c r="C125" s="198">
        <v>14201</v>
      </c>
      <c r="D125" s="198">
        <v>13964</v>
      </c>
      <c r="E125" s="198">
        <v>13918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4.1841419618336735</v>
      </c>
      <c r="D126" s="199">
        <f>IF(D125=0,0,D124/D125)</f>
        <v>4.1268977370380977</v>
      </c>
      <c r="E126" s="199">
        <f>IF(E125=0,0,E124/E125)</f>
        <v>4.1549791636729418</v>
      </c>
    </row>
    <row r="127" spans="1:8" ht="24" customHeight="1" x14ac:dyDescent="0.2">
      <c r="A127" s="44">
        <v>4</v>
      </c>
      <c r="B127" s="48" t="s">
        <v>375</v>
      </c>
      <c r="C127" s="198">
        <v>176</v>
      </c>
      <c r="D127" s="198">
        <v>176</v>
      </c>
      <c r="E127" s="198">
        <v>178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214</v>
      </c>
      <c r="E128" s="198">
        <v>214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297</v>
      </c>
      <c r="D129" s="198">
        <v>297</v>
      </c>
      <c r="E129" s="198">
        <v>297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0.92490000000000006</v>
      </c>
      <c r="D130" s="171">
        <v>0.89700000000000002</v>
      </c>
      <c r="E130" s="171">
        <v>0.89</v>
      </c>
    </row>
    <row r="131" spans="1:8" ht="24" customHeight="1" x14ac:dyDescent="0.2">
      <c r="A131" s="44">
        <v>7</v>
      </c>
      <c r="B131" s="48" t="s">
        <v>379</v>
      </c>
      <c r="C131" s="171">
        <v>0.76070000000000004</v>
      </c>
      <c r="D131" s="171">
        <v>0.73770000000000002</v>
      </c>
      <c r="E131" s="171">
        <v>0.74029999999999996</v>
      </c>
    </row>
    <row r="132" spans="1:8" ht="24" customHeight="1" x14ac:dyDescent="0.2">
      <c r="A132" s="44">
        <v>8</v>
      </c>
      <c r="B132" s="48" t="s">
        <v>380</v>
      </c>
      <c r="C132" s="199">
        <v>1911</v>
      </c>
      <c r="D132" s="199">
        <v>1977</v>
      </c>
      <c r="E132" s="199">
        <v>2021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0.42347555493279759</v>
      </c>
      <c r="D135" s="203">
        <f>IF(D149=0,0,D143/D149)</f>
        <v>0.41982405961661429</v>
      </c>
      <c r="E135" s="203">
        <f>IF(E149=0,0,E143/E149)</f>
        <v>0.405660734195466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0.44407922683318785</v>
      </c>
      <c r="D136" s="203">
        <f>IF(D149=0,0,D144/D149)</f>
        <v>0.4454182597022413</v>
      </c>
      <c r="E136" s="203">
        <f>IF(E149=0,0,E144/E149)</f>
        <v>0.4447776317044711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7.4972462359574624E-2</v>
      </c>
      <c r="D137" s="203">
        <f>IF(D149=0,0,D145/D149)</f>
        <v>7.6466321588141248E-2</v>
      </c>
      <c r="E137" s="203">
        <f>IF(E149=0,0,E145/E149)</f>
        <v>0.1055113293785913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2.1941523399866943E-2</v>
      </c>
      <c r="D138" s="203">
        <f>IF(D149=0,0,D146/D149)</f>
        <v>2.588094619330162E-2</v>
      </c>
      <c r="E138" s="203">
        <f>IF(E149=0,0,E146/E149)</f>
        <v>1.8360658156854157E-2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3.2392626795996027E-2</v>
      </c>
      <c r="D139" s="203">
        <f>IF(D149=0,0,D147/D149)</f>
        <v>2.9583607451726602E-2</v>
      </c>
      <c r="E139" s="203">
        <f>IF(E149=0,0,E147/E149)</f>
        <v>2.266779098553165E-2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3.1386056785769841E-3</v>
      </c>
      <c r="D140" s="203">
        <f>IF(D149=0,0,D148/D149)</f>
        <v>2.8268054479749266E-3</v>
      </c>
      <c r="E140" s="203">
        <f>IF(E149=0,0,E148/E149)</f>
        <v>3.0218555790858317E-3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315538235</v>
      </c>
      <c r="D143" s="205">
        <f>+D46-D147</f>
        <v>354864855</v>
      </c>
      <c r="E143" s="205">
        <f>+E46-E147</f>
        <v>380567824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330890352</v>
      </c>
      <c r="D144" s="205">
        <f>+D51</f>
        <v>376498875</v>
      </c>
      <c r="E144" s="205">
        <f>+E51</f>
        <v>417265072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55863150</v>
      </c>
      <c r="D145" s="205">
        <f>+D55</f>
        <v>64634719</v>
      </c>
      <c r="E145" s="205">
        <f>+E55</f>
        <v>98984727</v>
      </c>
    </row>
    <row r="146" spans="1:7" ht="20.100000000000001" customHeight="1" x14ac:dyDescent="0.2">
      <c r="A146" s="202">
        <v>11</v>
      </c>
      <c r="B146" s="201" t="s">
        <v>392</v>
      </c>
      <c r="C146" s="204">
        <v>16348971</v>
      </c>
      <c r="D146" s="205">
        <v>21876398</v>
      </c>
      <c r="E146" s="205">
        <v>17224925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24136251</v>
      </c>
      <c r="D147" s="205">
        <f>+D47</f>
        <v>25006148</v>
      </c>
      <c r="E147" s="205">
        <f>+E47</f>
        <v>21265632</v>
      </c>
    </row>
    <row r="148" spans="1:7" ht="20.100000000000001" customHeight="1" x14ac:dyDescent="0.2">
      <c r="A148" s="202">
        <v>13</v>
      </c>
      <c r="B148" s="201" t="s">
        <v>394</v>
      </c>
      <c r="C148" s="206">
        <v>2338624</v>
      </c>
      <c r="D148" s="205">
        <v>2389415</v>
      </c>
      <c r="E148" s="205">
        <v>2834933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745115583</v>
      </c>
      <c r="D149" s="205">
        <f>SUM(D143:D148)</f>
        <v>845270410</v>
      </c>
      <c r="E149" s="205">
        <f>SUM(E143:E148)</f>
        <v>938143113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0.53110387068133169</v>
      </c>
      <c r="D152" s="203">
        <f>IF(D166=0,0,D160/D166)</f>
        <v>0.54385285192763277</v>
      </c>
      <c r="E152" s="203">
        <f>IF(E166=0,0,E160/E166)</f>
        <v>0.54293756363955026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0.38095352767462415</v>
      </c>
      <c r="D153" s="203">
        <f>IF(D166=0,0,D161/D166)</f>
        <v>0.37916162802418962</v>
      </c>
      <c r="E153" s="203">
        <f>IF(E166=0,0,E161/E166)</f>
        <v>0.34933150752216835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5.8153059589307651E-2</v>
      </c>
      <c r="D154" s="203">
        <f>IF(D166=0,0,D162/D166)</f>
        <v>5.0525765894663281E-2</v>
      </c>
      <c r="E154" s="203">
        <f>IF(E166=0,0,E162/E166)</f>
        <v>8.541376890726185E-2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8.5518056162158258E-3</v>
      </c>
      <c r="D155" s="203">
        <f>IF(D166=0,0,D163/D166)</f>
        <v>8.8722317317248434E-3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1.8954514298641843E-2</v>
      </c>
      <c r="D156" s="203">
        <f>IF(D166=0,0,D164/D166)</f>
        <v>1.4809092834580647E-2</v>
      </c>
      <c r="E156" s="203">
        <f>IF(E166=0,0,E164/E166)</f>
        <v>2.0350625224574235E-2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2.2832221398788669E-3</v>
      </c>
      <c r="D157" s="203">
        <f>IF(D166=0,0,D165/D166)</f>
        <v>2.7784295872087684E-3</v>
      </c>
      <c r="E157" s="203">
        <f>IF(E166=0,0,E165/E166)</f>
        <v>1.9665347064452728E-3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0.99999999999999989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147899084</v>
      </c>
      <c r="D160" s="208">
        <f>+D44-D164</f>
        <v>166339413</v>
      </c>
      <c r="E160" s="208">
        <f>+E44-E164</f>
        <v>174944289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106085986</v>
      </c>
      <c r="D161" s="208">
        <f>+D50</f>
        <v>115967991</v>
      </c>
      <c r="E161" s="208">
        <f>+E50</f>
        <v>112560921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16194166</v>
      </c>
      <c r="D162" s="208">
        <f>+D54</f>
        <v>15453493</v>
      </c>
      <c r="E162" s="208">
        <f>+E54</f>
        <v>27521859</v>
      </c>
    </row>
    <row r="163" spans="1:6" ht="20.100000000000001" customHeight="1" x14ac:dyDescent="0.2">
      <c r="A163" s="202">
        <v>11</v>
      </c>
      <c r="B163" s="201" t="s">
        <v>408</v>
      </c>
      <c r="C163" s="207">
        <v>2381463</v>
      </c>
      <c r="D163" s="208">
        <v>2713605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5278356</v>
      </c>
      <c r="D164" s="208">
        <f>+D45</f>
        <v>4529416</v>
      </c>
      <c r="E164" s="208">
        <f>+E45</f>
        <v>6557339</v>
      </c>
    </row>
    <row r="165" spans="1:6" ht="20.100000000000001" customHeight="1" x14ac:dyDescent="0.2">
      <c r="A165" s="202">
        <v>13</v>
      </c>
      <c r="B165" s="201" t="s">
        <v>410</v>
      </c>
      <c r="C165" s="209">
        <v>635820</v>
      </c>
      <c r="D165" s="208">
        <v>849793</v>
      </c>
      <c r="E165" s="208">
        <v>633653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278474875</v>
      </c>
      <c r="D166" s="208">
        <f>SUM(D160:D165)</f>
        <v>305853711</v>
      </c>
      <c r="E166" s="208">
        <f>SUM(E160:E165)</f>
        <v>322218061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5141</v>
      </c>
      <c r="D169" s="198">
        <v>4892</v>
      </c>
      <c r="E169" s="198">
        <v>4717</v>
      </c>
    </row>
    <row r="170" spans="1:6" ht="20.100000000000001" customHeight="1" x14ac:dyDescent="0.2">
      <c r="A170" s="202">
        <v>2</v>
      </c>
      <c r="B170" s="201" t="s">
        <v>414</v>
      </c>
      <c r="C170" s="198">
        <v>7515</v>
      </c>
      <c r="D170" s="198">
        <v>7401</v>
      </c>
      <c r="E170" s="198">
        <v>7204</v>
      </c>
    </row>
    <row r="171" spans="1:6" ht="20.100000000000001" customHeight="1" x14ac:dyDescent="0.2">
      <c r="A171" s="202">
        <v>3</v>
      </c>
      <c r="B171" s="201" t="s">
        <v>415</v>
      </c>
      <c r="C171" s="198">
        <v>1509</v>
      </c>
      <c r="D171" s="198">
        <v>1635</v>
      </c>
      <c r="E171" s="198">
        <v>1954</v>
      </c>
    </row>
    <row r="172" spans="1:6" ht="20.100000000000001" customHeight="1" x14ac:dyDescent="0.2">
      <c r="A172" s="202">
        <v>4</v>
      </c>
      <c r="B172" s="201" t="s">
        <v>416</v>
      </c>
      <c r="C172" s="198">
        <v>1249</v>
      </c>
      <c r="D172" s="198">
        <v>1313</v>
      </c>
      <c r="E172" s="198">
        <v>1665</v>
      </c>
    </row>
    <row r="173" spans="1:6" ht="20.100000000000001" customHeight="1" x14ac:dyDescent="0.2">
      <c r="A173" s="202">
        <v>5</v>
      </c>
      <c r="B173" s="201" t="s">
        <v>417</v>
      </c>
      <c r="C173" s="198">
        <v>260</v>
      </c>
      <c r="D173" s="198">
        <v>322</v>
      </c>
      <c r="E173" s="198">
        <v>289</v>
      </c>
    </row>
    <row r="174" spans="1:6" ht="20.100000000000001" customHeight="1" x14ac:dyDescent="0.2">
      <c r="A174" s="202">
        <v>6</v>
      </c>
      <c r="B174" s="201" t="s">
        <v>418</v>
      </c>
      <c r="C174" s="198">
        <v>36</v>
      </c>
      <c r="D174" s="198">
        <v>36</v>
      </c>
      <c r="E174" s="198">
        <v>43</v>
      </c>
    </row>
    <row r="175" spans="1:6" ht="20.100000000000001" customHeight="1" x14ac:dyDescent="0.2">
      <c r="A175" s="202">
        <v>7</v>
      </c>
      <c r="B175" s="201" t="s">
        <v>419</v>
      </c>
      <c r="C175" s="198">
        <v>416</v>
      </c>
      <c r="D175" s="198">
        <v>350</v>
      </c>
      <c r="E175" s="198">
        <v>242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14201</v>
      </c>
      <c r="D176" s="198">
        <f>+D169+D170+D171+D174</f>
        <v>13964</v>
      </c>
      <c r="E176" s="198">
        <f>+E169+E170+E171+E174</f>
        <v>13918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1.0325599999999999</v>
      </c>
      <c r="D179" s="210">
        <v>1.0563899999999999</v>
      </c>
      <c r="E179" s="210">
        <v>1.06819</v>
      </c>
    </row>
    <row r="180" spans="1:6" ht="20.100000000000001" customHeight="1" x14ac:dyDescent="0.2">
      <c r="A180" s="202">
        <v>2</v>
      </c>
      <c r="B180" s="201" t="s">
        <v>414</v>
      </c>
      <c r="C180" s="210">
        <v>1.29067</v>
      </c>
      <c r="D180" s="210">
        <v>1.3290299999999999</v>
      </c>
      <c r="E180" s="210">
        <v>1.3468100000000001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0.84776600000000002</v>
      </c>
      <c r="D181" s="210">
        <v>0.87196700000000005</v>
      </c>
      <c r="E181" s="210">
        <v>0.87055199999999999</v>
      </c>
    </row>
    <row r="182" spans="1:6" ht="20.100000000000001" customHeight="1" x14ac:dyDescent="0.2">
      <c r="A182" s="202">
        <v>4</v>
      </c>
      <c r="B182" s="201" t="s">
        <v>416</v>
      </c>
      <c r="C182" s="210">
        <v>0.81769999999999998</v>
      </c>
      <c r="D182" s="210">
        <v>0.84101000000000004</v>
      </c>
      <c r="E182" s="210">
        <v>0.83089000000000002</v>
      </c>
    </row>
    <row r="183" spans="1:6" ht="20.100000000000001" customHeight="1" x14ac:dyDescent="0.2">
      <c r="A183" s="202">
        <v>5</v>
      </c>
      <c r="B183" s="201" t="s">
        <v>417</v>
      </c>
      <c r="C183" s="210">
        <v>0.99219999999999997</v>
      </c>
      <c r="D183" s="210">
        <v>0.99819999999999998</v>
      </c>
      <c r="E183" s="210">
        <v>1.0990599999999999</v>
      </c>
    </row>
    <row r="184" spans="1:6" ht="20.100000000000001" customHeight="1" x14ac:dyDescent="0.2">
      <c r="A184" s="202">
        <v>6</v>
      </c>
      <c r="B184" s="201" t="s">
        <v>418</v>
      </c>
      <c r="C184" s="210">
        <v>0.86639999999999995</v>
      </c>
      <c r="D184" s="210">
        <v>0.97050999999999998</v>
      </c>
      <c r="E184" s="210">
        <v>0.81688000000000005</v>
      </c>
    </row>
    <row r="185" spans="1:6" ht="20.100000000000001" customHeight="1" x14ac:dyDescent="0.2">
      <c r="A185" s="202">
        <v>7</v>
      </c>
      <c r="B185" s="201" t="s">
        <v>419</v>
      </c>
      <c r="C185" s="210">
        <v>0.98860000000000003</v>
      </c>
      <c r="D185" s="210">
        <v>1.0072399999999999</v>
      </c>
      <c r="E185" s="210">
        <v>1.0543800000000001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1.1490910000000001</v>
      </c>
      <c r="D186" s="210">
        <v>1.1790750000000001</v>
      </c>
      <c r="E186" s="210">
        <v>1.183881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9956</v>
      </c>
      <c r="D189" s="198">
        <v>8816</v>
      </c>
      <c r="E189" s="198">
        <v>8487</v>
      </c>
    </row>
    <row r="190" spans="1:6" ht="20.100000000000001" customHeight="1" x14ac:dyDescent="0.2">
      <c r="A190" s="202">
        <v>2</v>
      </c>
      <c r="B190" s="201" t="s">
        <v>427</v>
      </c>
      <c r="C190" s="198">
        <v>84743</v>
      </c>
      <c r="D190" s="198">
        <v>83476</v>
      </c>
      <c r="E190" s="198">
        <v>85981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94699</v>
      </c>
      <c r="D191" s="198">
        <f>+D190+D189</f>
        <v>92292</v>
      </c>
      <c r="E191" s="198">
        <f>+E190+E189</f>
        <v>94468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FILING&amp;RMIDDLESEX HOSPITAL</oddHeader>
    <oddFooter>&amp;L&amp;8REPORT 185&amp;C&amp;8PAGE &amp;P of &amp;N&amp;R&amp;D, &amp;T</oddFooter>
  </headerFooter>
  <rowBreaks count="4" manualBreakCount="4">
    <brk id="42" max="4" man="1"/>
    <brk id="78" max="4" man="1"/>
    <brk id="115" max="4" man="1"/>
    <brk id="15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A2" sqref="A2:F2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71093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429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86"/>
      <c r="D9" s="687"/>
      <c r="E9" s="687"/>
      <c r="F9" s="688"/>
      <c r="G9" s="212"/>
    </row>
    <row r="10" spans="1:7" ht="20.25" customHeight="1" x14ac:dyDescent="0.3">
      <c r="A10" s="689" t="s">
        <v>12</v>
      </c>
      <c r="B10" s="690" t="s">
        <v>113</v>
      </c>
      <c r="C10" s="692"/>
      <c r="D10" s="693"/>
      <c r="E10" s="693"/>
      <c r="F10" s="694"/>
    </row>
    <row r="11" spans="1:7" ht="20.25" customHeight="1" x14ac:dyDescent="0.3">
      <c r="A11" s="675"/>
      <c r="B11" s="691"/>
      <c r="C11" s="681"/>
      <c r="D11" s="682"/>
      <c r="E11" s="682"/>
      <c r="F11" s="683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0</v>
      </c>
      <c r="D40" s="237">
        <v>0</v>
      </c>
      <c r="E40" s="237">
        <f t="shared" ref="E40:E50" si="4">D40-C40</f>
        <v>0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436</v>
      </c>
      <c r="C42" s="237">
        <v>0</v>
      </c>
      <c r="D42" s="237">
        <v>0</v>
      </c>
      <c r="E42" s="237">
        <f t="shared" si="4"/>
        <v>0</v>
      </c>
      <c r="F42" s="238">
        <f t="shared" si="5"/>
        <v>0</v>
      </c>
    </row>
    <row r="43" spans="1:6" ht="20.25" customHeight="1" x14ac:dyDescent="0.3">
      <c r="A43" s="235">
        <v>4</v>
      </c>
      <c r="B43" s="236" t="s">
        <v>437</v>
      </c>
      <c r="C43" s="237">
        <v>0</v>
      </c>
      <c r="D43" s="237">
        <v>0</v>
      </c>
      <c r="E43" s="237">
        <f t="shared" si="4"/>
        <v>0</v>
      </c>
      <c r="F43" s="238">
        <f t="shared" si="5"/>
        <v>0</v>
      </c>
    </row>
    <row r="44" spans="1:6" ht="20.25" customHeight="1" x14ac:dyDescent="0.3">
      <c r="A44" s="235">
        <v>5</v>
      </c>
      <c r="B44" s="236" t="s">
        <v>373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372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439</v>
      </c>
      <c r="C47" s="239">
        <v>0</v>
      </c>
      <c r="D47" s="239">
        <v>0</v>
      </c>
      <c r="E47" s="239">
        <f t="shared" si="4"/>
        <v>0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0</v>
      </c>
      <c r="D49" s="243">
        <f>+D40+D42</f>
        <v>0</v>
      </c>
      <c r="E49" s="243">
        <f t="shared" si="4"/>
        <v>0</v>
      </c>
      <c r="F49" s="244">
        <f t="shared" si="5"/>
        <v>0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0</v>
      </c>
      <c r="D50" s="243">
        <f>+D41+D43</f>
        <v>0</v>
      </c>
      <c r="E50" s="243">
        <f t="shared" si="4"/>
        <v>0</v>
      </c>
      <c r="F50" s="244">
        <f t="shared" si="5"/>
        <v>0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13752919</v>
      </c>
      <c r="D53" s="237">
        <v>15538525</v>
      </c>
      <c r="E53" s="237">
        <f t="shared" ref="E53:E63" si="6">D53-C53</f>
        <v>1785606</v>
      </c>
      <c r="F53" s="238">
        <f t="shared" ref="F53:F63" si="7">IF(C53=0,0,E53/C53)</f>
        <v>0.1298346918206964</v>
      </c>
    </row>
    <row r="54" spans="1:6" ht="20.25" customHeight="1" x14ac:dyDescent="0.3">
      <c r="A54" s="235">
        <v>2</v>
      </c>
      <c r="B54" s="236" t="s">
        <v>435</v>
      </c>
      <c r="C54" s="237">
        <v>3940976</v>
      </c>
      <c r="D54" s="237">
        <v>4285360</v>
      </c>
      <c r="E54" s="237">
        <f t="shared" si="6"/>
        <v>344384</v>
      </c>
      <c r="F54" s="238">
        <f t="shared" si="7"/>
        <v>8.7385459845479907E-2</v>
      </c>
    </row>
    <row r="55" spans="1:6" ht="20.25" customHeight="1" x14ac:dyDescent="0.3">
      <c r="A55" s="235">
        <v>3</v>
      </c>
      <c r="B55" s="236" t="s">
        <v>436</v>
      </c>
      <c r="C55" s="237">
        <v>11446191</v>
      </c>
      <c r="D55" s="237">
        <v>17106758</v>
      </c>
      <c r="E55" s="237">
        <f t="shared" si="6"/>
        <v>5660567</v>
      </c>
      <c r="F55" s="238">
        <f t="shared" si="7"/>
        <v>0.49453717835042244</v>
      </c>
    </row>
    <row r="56" spans="1:6" ht="20.25" customHeight="1" x14ac:dyDescent="0.3">
      <c r="A56" s="235">
        <v>4</v>
      </c>
      <c r="B56" s="236" t="s">
        <v>437</v>
      </c>
      <c r="C56" s="237">
        <v>2248936</v>
      </c>
      <c r="D56" s="237">
        <v>3250967</v>
      </c>
      <c r="E56" s="237">
        <f t="shared" si="6"/>
        <v>1002031</v>
      </c>
      <c r="F56" s="238">
        <f t="shared" si="7"/>
        <v>0.44555781044903014</v>
      </c>
    </row>
    <row r="57" spans="1:6" ht="20.25" customHeight="1" x14ac:dyDescent="0.3">
      <c r="A57" s="235">
        <v>5</v>
      </c>
      <c r="B57" s="236" t="s">
        <v>373</v>
      </c>
      <c r="C57" s="239">
        <v>412</v>
      </c>
      <c r="D57" s="239">
        <v>463</v>
      </c>
      <c r="E57" s="239">
        <f t="shared" si="6"/>
        <v>51</v>
      </c>
      <c r="F57" s="238">
        <f t="shared" si="7"/>
        <v>0.12378640776699029</v>
      </c>
    </row>
    <row r="58" spans="1:6" ht="20.25" customHeight="1" x14ac:dyDescent="0.3">
      <c r="A58" s="235">
        <v>6</v>
      </c>
      <c r="B58" s="236" t="s">
        <v>372</v>
      </c>
      <c r="C58" s="239">
        <v>1950</v>
      </c>
      <c r="D58" s="239">
        <v>2034</v>
      </c>
      <c r="E58" s="239">
        <f t="shared" si="6"/>
        <v>84</v>
      </c>
      <c r="F58" s="238">
        <f t="shared" si="7"/>
        <v>4.3076923076923075E-2</v>
      </c>
    </row>
    <row r="59" spans="1:6" ht="20.25" customHeight="1" x14ac:dyDescent="0.3">
      <c r="A59" s="235">
        <v>7</v>
      </c>
      <c r="B59" s="236" t="s">
        <v>438</v>
      </c>
      <c r="C59" s="239">
        <v>14454</v>
      </c>
      <c r="D59" s="239">
        <v>18919</v>
      </c>
      <c r="E59" s="239">
        <f t="shared" si="6"/>
        <v>4465</v>
      </c>
      <c r="F59" s="238">
        <f t="shared" si="7"/>
        <v>0.30891102808911031</v>
      </c>
    </row>
    <row r="60" spans="1:6" ht="20.25" customHeight="1" x14ac:dyDescent="0.3">
      <c r="A60" s="235">
        <v>8</v>
      </c>
      <c r="B60" s="236" t="s">
        <v>439</v>
      </c>
      <c r="C60" s="239">
        <v>1077</v>
      </c>
      <c r="D60" s="239">
        <v>1379</v>
      </c>
      <c r="E60" s="239">
        <f t="shared" si="6"/>
        <v>302</v>
      </c>
      <c r="F60" s="238">
        <f t="shared" si="7"/>
        <v>0.28040854224698236</v>
      </c>
    </row>
    <row r="61" spans="1:6" ht="20.25" customHeight="1" x14ac:dyDescent="0.3">
      <c r="A61" s="235">
        <v>9</v>
      </c>
      <c r="B61" s="236" t="s">
        <v>440</v>
      </c>
      <c r="C61" s="239">
        <v>327</v>
      </c>
      <c r="D61" s="239">
        <v>383</v>
      </c>
      <c r="E61" s="239">
        <f t="shared" si="6"/>
        <v>56</v>
      </c>
      <c r="F61" s="238">
        <f t="shared" si="7"/>
        <v>0.17125382262996941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25199110</v>
      </c>
      <c r="D62" s="243">
        <f>+D53+D55</f>
        <v>32645283</v>
      </c>
      <c r="E62" s="243">
        <f t="shared" si="6"/>
        <v>7446173</v>
      </c>
      <c r="F62" s="244">
        <f t="shared" si="7"/>
        <v>0.29549349163522043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6189912</v>
      </c>
      <c r="D63" s="243">
        <f>+D54+D56</f>
        <v>7536327</v>
      </c>
      <c r="E63" s="243">
        <f t="shared" si="6"/>
        <v>1346415</v>
      </c>
      <c r="F63" s="244">
        <f t="shared" si="7"/>
        <v>0.21751763191463788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7895076</v>
      </c>
      <c r="D66" s="237">
        <v>10735383</v>
      </c>
      <c r="E66" s="237">
        <f t="shared" ref="E66:E76" si="8">D66-C66</f>
        <v>2840307</v>
      </c>
      <c r="F66" s="238">
        <f t="shared" ref="F66:F76" si="9">IF(C66=0,0,E66/C66)</f>
        <v>0.35975676484938207</v>
      </c>
    </row>
    <row r="67" spans="1:6" ht="20.25" customHeight="1" x14ac:dyDescent="0.3">
      <c r="A67" s="235">
        <v>2</v>
      </c>
      <c r="B67" s="236" t="s">
        <v>435</v>
      </c>
      <c r="C67" s="237">
        <v>2262379</v>
      </c>
      <c r="D67" s="237">
        <v>2960705</v>
      </c>
      <c r="E67" s="237">
        <f t="shared" si="8"/>
        <v>698326</v>
      </c>
      <c r="F67" s="238">
        <f t="shared" si="9"/>
        <v>0.30866888350714006</v>
      </c>
    </row>
    <row r="68" spans="1:6" ht="20.25" customHeight="1" x14ac:dyDescent="0.3">
      <c r="A68" s="235">
        <v>3</v>
      </c>
      <c r="B68" s="236" t="s">
        <v>436</v>
      </c>
      <c r="C68" s="237">
        <v>8396212</v>
      </c>
      <c r="D68" s="237">
        <v>11552672</v>
      </c>
      <c r="E68" s="237">
        <f t="shared" si="8"/>
        <v>3156460</v>
      </c>
      <c r="F68" s="238">
        <f t="shared" si="9"/>
        <v>0.37593857801589575</v>
      </c>
    </row>
    <row r="69" spans="1:6" ht="20.25" customHeight="1" x14ac:dyDescent="0.3">
      <c r="A69" s="235">
        <v>4</v>
      </c>
      <c r="B69" s="236" t="s">
        <v>437</v>
      </c>
      <c r="C69" s="237">
        <v>1649680</v>
      </c>
      <c r="D69" s="237">
        <v>2195470</v>
      </c>
      <c r="E69" s="237">
        <f t="shared" si="8"/>
        <v>545790</v>
      </c>
      <c r="F69" s="238">
        <f t="shared" si="9"/>
        <v>0.33084598225110323</v>
      </c>
    </row>
    <row r="70" spans="1:6" ht="20.25" customHeight="1" x14ac:dyDescent="0.3">
      <c r="A70" s="235">
        <v>5</v>
      </c>
      <c r="B70" s="236" t="s">
        <v>373</v>
      </c>
      <c r="C70" s="239">
        <v>265</v>
      </c>
      <c r="D70" s="239">
        <v>306</v>
      </c>
      <c r="E70" s="239">
        <f t="shared" si="8"/>
        <v>41</v>
      </c>
      <c r="F70" s="238">
        <f t="shared" si="9"/>
        <v>0.15471698113207547</v>
      </c>
    </row>
    <row r="71" spans="1:6" ht="20.25" customHeight="1" x14ac:dyDescent="0.3">
      <c r="A71" s="235">
        <v>6</v>
      </c>
      <c r="B71" s="236" t="s">
        <v>372</v>
      </c>
      <c r="C71" s="239">
        <v>1127</v>
      </c>
      <c r="D71" s="239">
        <v>1305</v>
      </c>
      <c r="E71" s="239">
        <f t="shared" si="8"/>
        <v>178</v>
      </c>
      <c r="F71" s="238">
        <f t="shared" si="9"/>
        <v>0.15794143744454303</v>
      </c>
    </row>
    <row r="72" spans="1:6" ht="20.25" customHeight="1" x14ac:dyDescent="0.3">
      <c r="A72" s="235">
        <v>7</v>
      </c>
      <c r="B72" s="236" t="s">
        <v>438</v>
      </c>
      <c r="C72" s="239">
        <v>10603</v>
      </c>
      <c r="D72" s="239">
        <v>12776</v>
      </c>
      <c r="E72" s="239">
        <f t="shared" si="8"/>
        <v>2173</v>
      </c>
      <c r="F72" s="238">
        <f t="shared" si="9"/>
        <v>0.20494199754786382</v>
      </c>
    </row>
    <row r="73" spans="1:6" ht="20.25" customHeight="1" x14ac:dyDescent="0.3">
      <c r="A73" s="235">
        <v>8</v>
      </c>
      <c r="B73" s="236" t="s">
        <v>439</v>
      </c>
      <c r="C73" s="239">
        <v>795</v>
      </c>
      <c r="D73" s="239">
        <v>932</v>
      </c>
      <c r="E73" s="239">
        <f t="shared" si="8"/>
        <v>137</v>
      </c>
      <c r="F73" s="238">
        <f t="shared" si="9"/>
        <v>0.17232704402515722</v>
      </c>
    </row>
    <row r="74" spans="1:6" ht="20.25" customHeight="1" x14ac:dyDescent="0.3">
      <c r="A74" s="235">
        <v>9</v>
      </c>
      <c r="B74" s="236" t="s">
        <v>440</v>
      </c>
      <c r="C74" s="239">
        <v>215</v>
      </c>
      <c r="D74" s="239">
        <v>242</v>
      </c>
      <c r="E74" s="239">
        <f t="shared" si="8"/>
        <v>27</v>
      </c>
      <c r="F74" s="238">
        <f t="shared" si="9"/>
        <v>0.12558139534883722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16291288</v>
      </c>
      <c r="D75" s="243">
        <f>+D66+D68</f>
        <v>22288055</v>
      </c>
      <c r="E75" s="243">
        <f t="shared" si="8"/>
        <v>5996767</v>
      </c>
      <c r="F75" s="244">
        <f t="shared" si="9"/>
        <v>0.36809655565600463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3912059</v>
      </c>
      <c r="D76" s="243">
        <f>+D67+D69</f>
        <v>5156175</v>
      </c>
      <c r="E76" s="243">
        <f t="shared" si="8"/>
        <v>1244116</v>
      </c>
      <c r="F76" s="244">
        <f t="shared" si="9"/>
        <v>0.31802076604672885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0</v>
      </c>
      <c r="E118" s="237">
        <f t="shared" ref="E118:E128" si="16">D118-C118</f>
        <v>0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0</v>
      </c>
      <c r="E119" s="237">
        <f t="shared" si="16"/>
        <v>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0</v>
      </c>
      <c r="D120" s="237">
        <v>0</v>
      </c>
      <c r="E120" s="237">
        <f t="shared" si="16"/>
        <v>0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437</v>
      </c>
      <c r="C121" s="237">
        <v>0</v>
      </c>
      <c r="D121" s="237">
        <v>0</v>
      </c>
      <c r="E121" s="237">
        <f t="shared" si="16"/>
        <v>0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0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0</v>
      </c>
      <c r="E123" s="239">
        <f t="shared" si="16"/>
        <v>0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0</v>
      </c>
      <c r="D124" s="239">
        <v>0</v>
      </c>
      <c r="E124" s="239">
        <f t="shared" si="16"/>
        <v>0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0</v>
      </c>
      <c r="D125" s="239">
        <v>0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0</v>
      </c>
      <c r="D127" s="243">
        <f>+D118+D120</f>
        <v>0</v>
      </c>
      <c r="E127" s="243">
        <f t="shared" si="16"/>
        <v>0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0</v>
      </c>
      <c r="D128" s="243">
        <f>+D119+D121</f>
        <v>0</v>
      </c>
      <c r="E128" s="243">
        <f t="shared" si="16"/>
        <v>0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74" t="s">
        <v>44</v>
      </c>
      <c r="B195" s="676" t="s">
        <v>459</v>
      </c>
      <c r="C195" s="678"/>
      <c r="D195" s="679"/>
      <c r="E195" s="679"/>
      <c r="F195" s="680"/>
      <c r="G195" s="684"/>
      <c r="H195" s="684"/>
      <c r="I195" s="684"/>
    </row>
    <row r="196" spans="1:9" ht="20.25" customHeight="1" x14ac:dyDescent="0.3">
      <c r="A196" s="675"/>
      <c r="B196" s="677"/>
      <c r="C196" s="681"/>
      <c r="D196" s="682"/>
      <c r="E196" s="682"/>
      <c r="F196" s="683"/>
      <c r="G196" s="684"/>
      <c r="H196" s="684"/>
      <c r="I196" s="68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21647995</v>
      </c>
      <c r="D198" s="243">
        <f t="shared" si="28"/>
        <v>26273908</v>
      </c>
      <c r="E198" s="243">
        <f t="shared" ref="E198:E208" si="29">D198-C198</f>
        <v>4625913</v>
      </c>
      <c r="F198" s="251">
        <f t="shared" ref="F198:F208" si="30">IF(C198=0,0,E198/C198)</f>
        <v>0.2136878265169592</v>
      </c>
    </row>
    <row r="199" spans="1:9" ht="20.25" customHeight="1" x14ac:dyDescent="0.3">
      <c r="A199" s="249"/>
      <c r="B199" s="250" t="s">
        <v>461</v>
      </c>
      <c r="C199" s="243">
        <f t="shared" si="28"/>
        <v>6203355</v>
      </c>
      <c r="D199" s="243">
        <f t="shared" si="28"/>
        <v>7246065</v>
      </c>
      <c r="E199" s="243">
        <f t="shared" si="29"/>
        <v>1042710</v>
      </c>
      <c r="F199" s="251">
        <f t="shared" si="30"/>
        <v>0.16808807492074854</v>
      </c>
    </row>
    <row r="200" spans="1:9" ht="20.25" customHeight="1" x14ac:dyDescent="0.3">
      <c r="A200" s="249"/>
      <c r="B200" s="250" t="s">
        <v>462</v>
      </c>
      <c r="C200" s="243">
        <f t="shared" si="28"/>
        <v>19842403</v>
      </c>
      <c r="D200" s="243">
        <f t="shared" si="28"/>
        <v>28659430</v>
      </c>
      <c r="E200" s="243">
        <f t="shared" si="29"/>
        <v>8817027</v>
      </c>
      <c r="F200" s="251">
        <f t="shared" si="30"/>
        <v>0.44435278327932359</v>
      </c>
    </row>
    <row r="201" spans="1:9" ht="20.25" customHeight="1" x14ac:dyDescent="0.3">
      <c r="A201" s="249"/>
      <c r="B201" s="250" t="s">
        <v>463</v>
      </c>
      <c r="C201" s="243">
        <f t="shared" si="28"/>
        <v>3898616</v>
      </c>
      <c r="D201" s="243">
        <f t="shared" si="28"/>
        <v>5446437</v>
      </c>
      <c r="E201" s="243">
        <f t="shared" si="29"/>
        <v>1547821</v>
      </c>
      <c r="F201" s="251">
        <f t="shared" si="30"/>
        <v>0.39701807000227773</v>
      </c>
    </row>
    <row r="202" spans="1:9" ht="20.25" customHeight="1" x14ac:dyDescent="0.3">
      <c r="A202" s="249"/>
      <c r="B202" s="250" t="s">
        <v>464</v>
      </c>
      <c r="C202" s="252">
        <f t="shared" si="28"/>
        <v>677</v>
      </c>
      <c r="D202" s="252">
        <f t="shared" si="28"/>
        <v>769</v>
      </c>
      <c r="E202" s="252">
        <f t="shared" si="29"/>
        <v>92</v>
      </c>
      <c r="F202" s="251">
        <f t="shared" si="30"/>
        <v>0.13589364844903989</v>
      </c>
    </row>
    <row r="203" spans="1:9" ht="20.25" customHeight="1" x14ac:dyDescent="0.3">
      <c r="A203" s="249"/>
      <c r="B203" s="250" t="s">
        <v>465</v>
      </c>
      <c r="C203" s="252">
        <f t="shared" si="28"/>
        <v>3077</v>
      </c>
      <c r="D203" s="252">
        <f t="shared" si="28"/>
        <v>3339</v>
      </c>
      <c r="E203" s="252">
        <f t="shared" si="29"/>
        <v>262</v>
      </c>
      <c r="F203" s="251">
        <f t="shared" si="30"/>
        <v>8.5147871303217423E-2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25057</v>
      </c>
      <c r="D204" s="252">
        <f t="shared" si="28"/>
        <v>31695</v>
      </c>
      <c r="E204" s="252">
        <f t="shared" si="29"/>
        <v>6638</v>
      </c>
      <c r="F204" s="251">
        <f t="shared" si="30"/>
        <v>0.26491599153929041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1872</v>
      </c>
      <c r="D205" s="252">
        <f t="shared" si="28"/>
        <v>2311</v>
      </c>
      <c r="E205" s="252">
        <f t="shared" si="29"/>
        <v>439</v>
      </c>
      <c r="F205" s="251">
        <f t="shared" si="30"/>
        <v>0.23450854700854701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542</v>
      </c>
      <c r="D206" s="252">
        <f t="shared" si="28"/>
        <v>625</v>
      </c>
      <c r="E206" s="252">
        <f t="shared" si="29"/>
        <v>83</v>
      </c>
      <c r="F206" s="251">
        <f t="shared" si="30"/>
        <v>0.15313653136531366</v>
      </c>
    </row>
    <row r="207" spans="1:9" ht="20.25" customHeight="1" x14ac:dyDescent="0.3">
      <c r="A207" s="249"/>
      <c r="B207" s="242" t="s">
        <v>469</v>
      </c>
      <c r="C207" s="243">
        <f>+C198+C200</f>
        <v>41490398</v>
      </c>
      <c r="D207" s="243">
        <f>+D198+D200</f>
        <v>54933338</v>
      </c>
      <c r="E207" s="243">
        <f t="shared" si="29"/>
        <v>13442940</v>
      </c>
      <c r="F207" s="251">
        <f t="shared" si="30"/>
        <v>0.32400123035696116</v>
      </c>
    </row>
    <row r="208" spans="1:9" ht="20.25" customHeight="1" x14ac:dyDescent="0.3">
      <c r="A208" s="249"/>
      <c r="B208" s="242" t="s">
        <v>470</v>
      </c>
      <c r="C208" s="243">
        <f>+C199+C201</f>
        <v>10101971</v>
      </c>
      <c r="D208" s="243">
        <f>+D199+D201</f>
        <v>12692502</v>
      </c>
      <c r="E208" s="243">
        <f t="shared" si="29"/>
        <v>2590531</v>
      </c>
      <c r="F208" s="251">
        <f t="shared" si="30"/>
        <v>0.25643817429291771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FILING&amp;RMIDDLESEX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471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74" t="s">
        <v>12</v>
      </c>
      <c r="B10" s="676" t="s">
        <v>115</v>
      </c>
      <c r="C10" s="678"/>
      <c r="D10" s="679"/>
      <c r="E10" s="679"/>
      <c r="F10" s="680"/>
    </row>
    <row r="11" spans="1:7" ht="20.25" customHeight="1" x14ac:dyDescent="0.3">
      <c r="A11" s="675"/>
      <c r="B11" s="677"/>
      <c r="C11" s="681"/>
      <c r="D11" s="682"/>
      <c r="E11" s="682"/>
      <c r="F11" s="683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1532553</v>
      </c>
      <c r="D14" s="237">
        <v>0</v>
      </c>
      <c r="E14" s="237">
        <f t="shared" ref="E14:E24" si="0">D14-C14</f>
        <v>-1532553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404563</v>
      </c>
      <c r="D15" s="237">
        <v>0</v>
      </c>
      <c r="E15" s="237">
        <f t="shared" si="0"/>
        <v>-404563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4051699</v>
      </c>
      <c r="D16" s="237">
        <v>277229</v>
      </c>
      <c r="E16" s="237">
        <f t="shared" si="0"/>
        <v>-3774470</v>
      </c>
      <c r="F16" s="238">
        <f t="shared" si="1"/>
        <v>-0.93157709889110718</v>
      </c>
    </row>
    <row r="17" spans="1:6" ht="20.25" customHeight="1" x14ac:dyDescent="0.3">
      <c r="A17" s="235">
        <v>4</v>
      </c>
      <c r="B17" s="236" t="s">
        <v>437</v>
      </c>
      <c r="C17" s="237">
        <v>1172334</v>
      </c>
      <c r="D17" s="237">
        <v>87308</v>
      </c>
      <c r="E17" s="237">
        <f t="shared" si="0"/>
        <v>-1085026</v>
      </c>
      <c r="F17" s="238">
        <f t="shared" si="1"/>
        <v>-0.92552634317523841</v>
      </c>
    </row>
    <row r="18" spans="1:6" ht="20.25" customHeight="1" x14ac:dyDescent="0.3">
      <c r="A18" s="235">
        <v>5</v>
      </c>
      <c r="B18" s="236" t="s">
        <v>373</v>
      </c>
      <c r="C18" s="239">
        <v>112</v>
      </c>
      <c r="D18" s="239">
        <v>0</v>
      </c>
      <c r="E18" s="239">
        <f t="shared" si="0"/>
        <v>-112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320</v>
      </c>
      <c r="D19" s="239">
        <v>0</v>
      </c>
      <c r="E19" s="239">
        <f t="shared" si="0"/>
        <v>-320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4994</v>
      </c>
      <c r="D20" s="239">
        <v>304</v>
      </c>
      <c r="E20" s="239">
        <f t="shared" si="0"/>
        <v>-4690</v>
      </c>
      <c r="F20" s="238">
        <f t="shared" si="1"/>
        <v>-0.93912695234281141</v>
      </c>
    </row>
    <row r="21" spans="1:6" ht="20.25" customHeight="1" x14ac:dyDescent="0.3">
      <c r="A21" s="235">
        <v>8</v>
      </c>
      <c r="B21" s="236" t="s">
        <v>439</v>
      </c>
      <c r="C21" s="239">
        <v>1649</v>
      </c>
      <c r="D21" s="239">
        <v>94</v>
      </c>
      <c r="E21" s="239">
        <f t="shared" si="0"/>
        <v>-1555</v>
      </c>
      <c r="F21" s="238">
        <f t="shared" si="1"/>
        <v>-0.94299575500303212</v>
      </c>
    </row>
    <row r="22" spans="1:6" ht="20.25" customHeight="1" x14ac:dyDescent="0.3">
      <c r="A22" s="235">
        <v>9</v>
      </c>
      <c r="B22" s="236" t="s">
        <v>440</v>
      </c>
      <c r="C22" s="239">
        <v>23</v>
      </c>
      <c r="D22" s="239">
        <v>0</v>
      </c>
      <c r="E22" s="239">
        <f t="shared" si="0"/>
        <v>-23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5584252</v>
      </c>
      <c r="D23" s="243">
        <f>+D14+D16</f>
        <v>277229</v>
      </c>
      <c r="E23" s="243">
        <f t="shared" si="0"/>
        <v>-5307023</v>
      </c>
      <c r="F23" s="244">
        <f t="shared" si="1"/>
        <v>-0.95035521319596605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1576897</v>
      </c>
      <c r="D24" s="243">
        <f>+D15+D17</f>
        <v>87308</v>
      </c>
      <c r="E24" s="243">
        <f t="shared" si="0"/>
        <v>-1489589</v>
      </c>
      <c r="F24" s="244">
        <f t="shared" si="1"/>
        <v>-0.9446330356389796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6063482</v>
      </c>
      <c r="D26" s="237">
        <v>9446604</v>
      </c>
      <c r="E26" s="237">
        <f t="shared" ref="E26:E36" si="2">D26-C26</f>
        <v>3383122</v>
      </c>
      <c r="F26" s="238">
        <f t="shared" ref="F26:F36" si="3">IF(C26=0,0,E26/C26)</f>
        <v>0.5579503658129108</v>
      </c>
    </row>
    <row r="27" spans="1:6" ht="20.25" customHeight="1" x14ac:dyDescent="0.3">
      <c r="A27" s="235">
        <v>2</v>
      </c>
      <c r="B27" s="236" t="s">
        <v>435</v>
      </c>
      <c r="C27" s="237">
        <v>1600639</v>
      </c>
      <c r="D27" s="237">
        <v>2310886</v>
      </c>
      <c r="E27" s="237">
        <f t="shared" si="2"/>
        <v>710247</v>
      </c>
      <c r="F27" s="238">
        <f t="shared" si="3"/>
        <v>0.44372716146488994</v>
      </c>
    </row>
    <row r="28" spans="1:6" ht="20.25" customHeight="1" x14ac:dyDescent="0.3">
      <c r="A28" s="235">
        <v>3</v>
      </c>
      <c r="B28" s="236" t="s">
        <v>436</v>
      </c>
      <c r="C28" s="237">
        <v>11407595</v>
      </c>
      <c r="D28" s="237">
        <v>18862736</v>
      </c>
      <c r="E28" s="237">
        <f t="shared" si="2"/>
        <v>7455141</v>
      </c>
      <c r="F28" s="238">
        <f t="shared" si="3"/>
        <v>0.6535243405818667</v>
      </c>
    </row>
    <row r="29" spans="1:6" ht="20.25" customHeight="1" x14ac:dyDescent="0.3">
      <c r="A29" s="235">
        <v>4</v>
      </c>
      <c r="B29" s="236" t="s">
        <v>437</v>
      </c>
      <c r="C29" s="237">
        <v>3300715</v>
      </c>
      <c r="D29" s="237">
        <v>5940457</v>
      </c>
      <c r="E29" s="237">
        <f t="shared" si="2"/>
        <v>2639742</v>
      </c>
      <c r="F29" s="238">
        <f t="shared" si="3"/>
        <v>0.7997485393316297</v>
      </c>
    </row>
    <row r="30" spans="1:6" ht="20.25" customHeight="1" x14ac:dyDescent="0.3">
      <c r="A30" s="235">
        <v>5</v>
      </c>
      <c r="B30" s="236" t="s">
        <v>373</v>
      </c>
      <c r="C30" s="239">
        <v>471</v>
      </c>
      <c r="D30" s="239">
        <v>574</v>
      </c>
      <c r="E30" s="239">
        <f t="shared" si="2"/>
        <v>103</v>
      </c>
      <c r="F30" s="238">
        <f t="shared" si="3"/>
        <v>0.21868365180467092</v>
      </c>
    </row>
    <row r="31" spans="1:6" ht="20.25" customHeight="1" x14ac:dyDescent="0.3">
      <c r="A31" s="235">
        <v>6</v>
      </c>
      <c r="B31" s="236" t="s">
        <v>372</v>
      </c>
      <c r="C31" s="239">
        <v>1359</v>
      </c>
      <c r="D31" s="239">
        <v>1672</v>
      </c>
      <c r="E31" s="239">
        <f t="shared" si="2"/>
        <v>313</v>
      </c>
      <c r="F31" s="238">
        <f t="shared" si="3"/>
        <v>0.23031640912435614</v>
      </c>
    </row>
    <row r="32" spans="1:6" ht="20.25" customHeight="1" x14ac:dyDescent="0.3">
      <c r="A32" s="235">
        <v>7</v>
      </c>
      <c r="B32" s="236" t="s">
        <v>438</v>
      </c>
      <c r="C32" s="239">
        <v>14062</v>
      </c>
      <c r="D32" s="239">
        <v>20674</v>
      </c>
      <c r="E32" s="239">
        <f t="shared" si="2"/>
        <v>6612</v>
      </c>
      <c r="F32" s="238">
        <f t="shared" si="3"/>
        <v>0.4702033850092448</v>
      </c>
    </row>
    <row r="33" spans="1:6" ht="20.25" customHeight="1" x14ac:dyDescent="0.3">
      <c r="A33" s="235">
        <v>8</v>
      </c>
      <c r="B33" s="236" t="s">
        <v>439</v>
      </c>
      <c r="C33" s="239">
        <v>5016</v>
      </c>
      <c r="D33" s="239">
        <v>6362</v>
      </c>
      <c r="E33" s="239">
        <f t="shared" si="2"/>
        <v>1346</v>
      </c>
      <c r="F33" s="238">
        <f t="shared" si="3"/>
        <v>0.26834130781499205</v>
      </c>
    </row>
    <row r="34" spans="1:6" ht="20.25" customHeight="1" x14ac:dyDescent="0.3">
      <c r="A34" s="235">
        <v>9</v>
      </c>
      <c r="B34" s="236" t="s">
        <v>440</v>
      </c>
      <c r="C34" s="239">
        <v>61</v>
      </c>
      <c r="D34" s="239">
        <v>113</v>
      </c>
      <c r="E34" s="239">
        <f t="shared" si="2"/>
        <v>52</v>
      </c>
      <c r="F34" s="238">
        <f t="shared" si="3"/>
        <v>0.85245901639344257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17471077</v>
      </c>
      <c r="D35" s="243">
        <f>+D26+D28</f>
        <v>28309340</v>
      </c>
      <c r="E35" s="243">
        <f t="shared" si="2"/>
        <v>10838263</v>
      </c>
      <c r="F35" s="244">
        <f t="shared" si="3"/>
        <v>0.6203546009212827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4901354</v>
      </c>
      <c r="D36" s="243">
        <f>+D27+D29</f>
        <v>8251343</v>
      </c>
      <c r="E36" s="243">
        <f t="shared" si="2"/>
        <v>3349989</v>
      </c>
      <c r="F36" s="244">
        <f t="shared" si="3"/>
        <v>0.68348236018047259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1676847</v>
      </c>
      <c r="D50" s="237">
        <v>877552</v>
      </c>
      <c r="E50" s="237">
        <f t="shared" ref="E50:E60" si="6">D50-C50</f>
        <v>-799295</v>
      </c>
      <c r="F50" s="238">
        <f t="shared" ref="F50:F60" si="7">IF(C50=0,0,E50/C50)</f>
        <v>-0.47666543220699326</v>
      </c>
    </row>
    <row r="51" spans="1:6" ht="20.25" customHeight="1" x14ac:dyDescent="0.3">
      <c r="A51" s="235">
        <v>2</v>
      </c>
      <c r="B51" s="236" t="s">
        <v>435</v>
      </c>
      <c r="C51" s="237">
        <v>442654</v>
      </c>
      <c r="D51" s="237">
        <v>214672</v>
      </c>
      <c r="E51" s="237">
        <f t="shared" si="6"/>
        <v>-227982</v>
      </c>
      <c r="F51" s="238">
        <f t="shared" si="7"/>
        <v>-0.51503431574096248</v>
      </c>
    </row>
    <row r="52" spans="1:6" ht="20.25" customHeight="1" x14ac:dyDescent="0.3">
      <c r="A52" s="235">
        <v>3</v>
      </c>
      <c r="B52" s="236" t="s">
        <v>436</v>
      </c>
      <c r="C52" s="237">
        <v>5963248</v>
      </c>
      <c r="D52" s="237">
        <v>4489026</v>
      </c>
      <c r="E52" s="237">
        <f t="shared" si="6"/>
        <v>-1474222</v>
      </c>
      <c r="F52" s="238">
        <f t="shared" si="7"/>
        <v>-0.24721795907196883</v>
      </c>
    </row>
    <row r="53" spans="1:6" ht="20.25" customHeight="1" x14ac:dyDescent="0.3">
      <c r="A53" s="235">
        <v>4</v>
      </c>
      <c r="B53" s="236" t="s">
        <v>437</v>
      </c>
      <c r="C53" s="237">
        <v>1725428</v>
      </c>
      <c r="D53" s="237">
        <v>1413733</v>
      </c>
      <c r="E53" s="237">
        <f t="shared" si="6"/>
        <v>-311695</v>
      </c>
      <c r="F53" s="238">
        <f t="shared" si="7"/>
        <v>-0.18064793199136678</v>
      </c>
    </row>
    <row r="54" spans="1:6" ht="20.25" customHeight="1" x14ac:dyDescent="0.3">
      <c r="A54" s="235">
        <v>5</v>
      </c>
      <c r="B54" s="236" t="s">
        <v>373</v>
      </c>
      <c r="C54" s="239">
        <v>81</v>
      </c>
      <c r="D54" s="239">
        <v>43</v>
      </c>
      <c r="E54" s="239">
        <f t="shared" si="6"/>
        <v>-38</v>
      </c>
      <c r="F54" s="238">
        <f t="shared" si="7"/>
        <v>-0.46913580246913578</v>
      </c>
    </row>
    <row r="55" spans="1:6" ht="20.25" customHeight="1" x14ac:dyDescent="0.3">
      <c r="A55" s="235">
        <v>6</v>
      </c>
      <c r="B55" s="236" t="s">
        <v>372</v>
      </c>
      <c r="C55" s="239">
        <v>334</v>
      </c>
      <c r="D55" s="239">
        <v>236</v>
      </c>
      <c r="E55" s="239">
        <f t="shared" si="6"/>
        <v>-98</v>
      </c>
      <c r="F55" s="238">
        <f t="shared" si="7"/>
        <v>-0.29341317365269459</v>
      </c>
    </row>
    <row r="56" spans="1:6" ht="20.25" customHeight="1" x14ac:dyDescent="0.3">
      <c r="A56" s="235">
        <v>7</v>
      </c>
      <c r="B56" s="236" t="s">
        <v>438</v>
      </c>
      <c r="C56" s="239">
        <v>7351</v>
      </c>
      <c r="D56" s="239">
        <v>4920</v>
      </c>
      <c r="E56" s="239">
        <f t="shared" si="6"/>
        <v>-2431</v>
      </c>
      <c r="F56" s="238">
        <f t="shared" si="7"/>
        <v>-0.33070330567269757</v>
      </c>
    </row>
    <row r="57" spans="1:6" ht="20.25" customHeight="1" x14ac:dyDescent="0.3">
      <c r="A57" s="235">
        <v>8</v>
      </c>
      <c r="B57" s="236" t="s">
        <v>439</v>
      </c>
      <c r="C57" s="239">
        <v>690</v>
      </c>
      <c r="D57" s="239">
        <v>1514</v>
      </c>
      <c r="E57" s="239">
        <f t="shared" si="6"/>
        <v>824</v>
      </c>
      <c r="F57" s="238">
        <f t="shared" si="7"/>
        <v>1.1942028985507247</v>
      </c>
    </row>
    <row r="58" spans="1:6" ht="20.25" customHeight="1" x14ac:dyDescent="0.3">
      <c r="A58" s="235">
        <v>9</v>
      </c>
      <c r="B58" s="236" t="s">
        <v>440</v>
      </c>
      <c r="C58" s="239">
        <v>37</v>
      </c>
      <c r="D58" s="239">
        <v>41</v>
      </c>
      <c r="E58" s="239">
        <f t="shared" si="6"/>
        <v>4</v>
      </c>
      <c r="F58" s="238">
        <f t="shared" si="7"/>
        <v>0.10810810810810811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7640095</v>
      </c>
      <c r="D59" s="243">
        <f>+D50+D52</f>
        <v>5366578</v>
      </c>
      <c r="E59" s="243">
        <f t="shared" si="6"/>
        <v>-2273517</v>
      </c>
      <c r="F59" s="244">
        <f t="shared" si="7"/>
        <v>-0.29757705892400554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2168082</v>
      </c>
      <c r="D60" s="243">
        <f>+D51+D53</f>
        <v>1628405</v>
      </c>
      <c r="E60" s="243">
        <f t="shared" si="6"/>
        <v>-539677</v>
      </c>
      <c r="F60" s="244">
        <f t="shared" si="7"/>
        <v>-0.24891909069859905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1703602</v>
      </c>
      <c r="E86" s="237">
        <f t="shared" ref="E86:E96" si="12">D86-C86</f>
        <v>1703602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416746</v>
      </c>
      <c r="E87" s="237">
        <f t="shared" si="12"/>
        <v>416746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0</v>
      </c>
      <c r="D88" s="237">
        <v>2372299</v>
      </c>
      <c r="E88" s="237">
        <f t="shared" si="12"/>
        <v>2372299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437</v>
      </c>
      <c r="C89" s="237">
        <v>0</v>
      </c>
      <c r="D89" s="237">
        <v>747110</v>
      </c>
      <c r="E89" s="237">
        <f t="shared" si="12"/>
        <v>747110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85</v>
      </c>
      <c r="E90" s="239">
        <f t="shared" si="12"/>
        <v>85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287</v>
      </c>
      <c r="E91" s="239">
        <f t="shared" si="12"/>
        <v>287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2600</v>
      </c>
      <c r="E92" s="239">
        <f t="shared" si="12"/>
        <v>2600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800</v>
      </c>
      <c r="E93" s="239">
        <f t="shared" si="12"/>
        <v>800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12</v>
      </c>
      <c r="E94" s="239">
        <f t="shared" si="12"/>
        <v>12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0</v>
      </c>
      <c r="D95" s="243">
        <f>+D86+D88</f>
        <v>4075901</v>
      </c>
      <c r="E95" s="243">
        <f t="shared" si="12"/>
        <v>4075901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0</v>
      </c>
      <c r="D96" s="243">
        <f>+D87+D89</f>
        <v>1163856</v>
      </c>
      <c r="E96" s="243">
        <f t="shared" si="12"/>
        <v>1163856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1622890</v>
      </c>
      <c r="D98" s="237">
        <v>4204741</v>
      </c>
      <c r="E98" s="237">
        <f t="shared" ref="E98:E108" si="14">D98-C98</f>
        <v>2581851</v>
      </c>
      <c r="F98" s="238">
        <f t="shared" ref="F98:F108" si="15">IF(C98=0,0,E98/C98)</f>
        <v>1.59089710331569</v>
      </c>
    </row>
    <row r="99" spans="1:7" ht="20.25" customHeight="1" x14ac:dyDescent="0.3">
      <c r="A99" s="235">
        <v>2</v>
      </c>
      <c r="B99" s="236" t="s">
        <v>435</v>
      </c>
      <c r="C99" s="237">
        <v>428411</v>
      </c>
      <c r="D99" s="237">
        <v>1028589</v>
      </c>
      <c r="E99" s="237">
        <f t="shared" si="14"/>
        <v>600178</v>
      </c>
      <c r="F99" s="238">
        <f t="shared" si="15"/>
        <v>1.4009397517804165</v>
      </c>
    </row>
    <row r="100" spans="1:7" ht="20.25" customHeight="1" x14ac:dyDescent="0.3">
      <c r="A100" s="235">
        <v>3</v>
      </c>
      <c r="B100" s="236" t="s">
        <v>436</v>
      </c>
      <c r="C100" s="237">
        <v>3852158</v>
      </c>
      <c r="D100" s="237">
        <v>6918760</v>
      </c>
      <c r="E100" s="237">
        <f t="shared" si="14"/>
        <v>3066602</v>
      </c>
      <c r="F100" s="238">
        <f t="shared" si="15"/>
        <v>0.79607378513550064</v>
      </c>
    </row>
    <row r="101" spans="1:7" ht="20.25" customHeight="1" x14ac:dyDescent="0.3">
      <c r="A101" s="235">
        <v>4</v>
      </c>
      <c r="B101" s="236" t="s">
        <v>437</v>
      </c>
      <c r="C101" s="237">
        <v>1114598</v>
      </c>
      <c r="D101" s="237">
        <v>2178931</v>
      </c>
      <c r="E101" s="237">
        <f t="shared" si="14"/>
        <v>1064333</v>
      </c>
      <c r="F101" s="238">
        <f t="shared" si="15"/>
        <v>0.95490302333217891</v>
      </c>
    </row>
    <row r="102" spans="1:7" ht="20.25" customHeight="1" x14ac:dyDescent="0.3">
      <c r="A102" s="235">
        <v>5</v>
      </c>
      <c r="B102" s="236" t="s">
        <v>373</v>
      </c>
      <c r="C102" s="239">
        <v>113</v>
      </c>
      <c r="D102" s="239">
        <v>252</v>
      </c>
      <c r="E102" s="239">
        <f t="shared" si="14"/>
        <v>139</v>
      </c>
      <c r="F102" s="238">
        <f t="shared" si="15"/>
        <v>1.2300884955752212</v>
      </c>
    </row>
    <row r="103" spans="1:7" ht="20.25" customHeight="1" x14ac:dyDescent="0.3">
      <c r="A103" s="235">
        <v>6</v>
      </c>
      <c r="B103" s="236" t="s">
        <v>372</v>
      </c>
      <c r="C103" s="239">
        <v>332</v>
      </c>
      <c r="D103" s="239">
        <v>685</v>
      </c>
      <c r="E103" s="239">
        <f t="shared" si="14"/>
        <v>353</v>
      </c>
      <c r="F103" s="238">
        <f t="shared" si="15"/>
        <v>1.0632530120481927</v>
      </c>
    </row>
    <row r="104" spans="1:7" ht="20.25" customHeight="1" x14ac:dyDescent="0.3">
      <c r="A104" s="235">
        <v>7</v>
      </c>
      <c r="B104" s="236" t="s">
        <v>438</v>
      </c>
      <c r="C104" s="239">
        <v>4748</v>
      </c>
      <c r="D104" s="239">
        <v>7583</v>
      </c>
      <c r="E104" s="239">
        <f t="shared" si="14"/>
        <v>2835</v>
      </c>
      <c r="F104" s="238">
        <f t="shared" si="15"/>
        <v>0.59709351305812974</v>
      </c>
    </row>
    <row r="105" spans="1:7" ht="20.25" customHeight="1" x14ac:dyDescent="0.3">
      <c r="A105" s="235">
        <v>8</v>
      </c>
      <c r="B105" s="236" t="s">
        <v>439</v>
      </c>
      <c r="C105" s="239">
        <v>1930</v>
      </c>
      <c r="D105" s="239">
        <v>2333</v>
      </c>
      <c r="E105" s="239">
        <f t="shared" si="14"/>
        <v>403</v>
      </c>
      <c r="F105" s="238">
        <f t="shared" si="15"/>
        <v>0.20880829015544042</v>
      </c>
    </row>
    <row r="106" spans="1:7" ht="20.25" customHeight="1" x14ac:dyDescent="0.3">
      <c r="A106" s="235">
        <v>9</v>
      </c>
      <c r="B106" s="236" t="s">
        <v>440</v>
      </c>
      <c r="C106" s="239">
        <v>26</v>
      </c>
      <c r="D106" s="239">
        <v>60</v>
      </c>
      <c r="E106" s="239">
        <f t="shared" si="14"/>
        <v>34</v>
      </c>
      <c r="F106" s="238">
        <f t="shared" si="15"/>
        <v>1.3076923076923077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5475048</v>
      </c>
      <c r="D107" s="243">
        <f>+D98+D100</f>
        <v>11123501</v>
      </c>
      <c r="E107" s="243">
        <f t="shared" si="14"/>
        <v>5648453</v>
      </c>
      <c r="F107" s="244">
        <f t="shared" si="15"/>
        <v>1.0316718684475461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1543009</v>
      </c>
      <c r="D108" s="243">
        <f>+D99+D101</f>
        <v>3207520</v>
      </c>
      <c r="E108" s="243">
        <f t="shared" si="14"/>
        <v>1664511</v>
      </c>
      <c r="F108" s="244">
        <f t="shared" si="15"/>
        <v>1.0787435458898813</v>
      </c>
    </row>
    <row r="109" spans="1:7" s="240" customFormat="1" ht="20.25" customHeight="1" x14ac:dyDescent="0.3">
      <c r="A109" s="674" t="s">
        <v>44</v>
      </c>
      <c r="B109" s="676" t="s">
        <v>478</v>
      </c>
      <c r="C109" s="678"/>
      <c r="D109" s="679"/>
      <c r="E109" s="679"/>
      <c r="F109" s="680"/>
      <c r="G109" s="212"/>
    </row>
    <row r="110" spans="1:7" ht="20.25" customHeight="1" x14ac:dyDescent="0.3">
      <c r="A110" s="675"/>
      <c r="B110" s="677"/>
      <c r="C110" s="681"/>
      <c r="D110" s="682"/>
      <c r="E110" s="682"/>
      <c r="F110" s="683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10895772</v>
      </c>
      <c r="D112" s="243">
        <f t="shared" si="16"/>
        <v>16232499</v>
      </c>
      <c r="E112" s="243">
        <f t="shared" ref="E112:E122" si="17">D112-C112</f>
        <v>5336727</v>
      </c>
      <c r="F112" s="244">
        <f t="shared" ref="F112:F122" si="18">IF(C112=0,0,E112/C112)</f>
        <v>0.48979796934076814</v>
      </c>
    </row>
    <row r="113" spans="1:6" ht="20.25" customHeight="1" x14ac:dyDescent="0.3">
      <c r="A113" s="249"/>
      <c r="B113" s="250" t="s">
        <v>461</v>
      </c>
      <c r="C113" s="243">
        <f t="shared" si="16"/>
        <v>2876267</v>
      </c>
      <c r="D113" s="243">
        <f t="shared" si="16"/>
        <v>3970893</v>
      </c>
      <c r="E113" s="243">
        <f t="shared" si="17"/>
        <v>1094626</v>
      </c>
      <c r="F113" s="244">
        <f t="shared" si="18"/>
        <v>0.38057176194004244</v>
      </c>
    </row>
    <row r="114" spans="1:6" ht="20.25" customHeight="1" x14ac:dyDescent="0.3">
      <c r="A114" s="249"/>
      <c r="B114" s="250" t="s">
        <v>462</v>
      </c>
      <c r="C114" s="243">
        <f t="shared" si="16"/>
        <v>25274700</v>
      </c>
      <c r="D114" s="243">
        <f t="shared" si="16"/>
        <v>32920050</v>
      </c>
      <c r="E114" s="243">
        <f t="shared" si="17"/>
        <v>7645350</v>
      </c>
      <c r="F114" s="244">
        <f t="shared" si="18"/>
        <v>0.30249023727284596</v>
      </c>
    </row>
    <row r="115" spans="1:6" ht="20.25" customHeight="1" x14ac:dyDescent="0.3">
      <c r="A115" s="249"/>
      <c r="B115" s="250" t="s">
        <v>463</v>
      </c>
      <c r="C115" s="243">
        <f t="shared" si="16"/>
        <v>7313075</v>
      </c>
      <c r="D115" s="243">
        <f t="shared" si="16"/>
        <v>10367539</v>
      </c>
      <c r="E115" s="243">
        <f t="shared" si="17"/>
        <v>3054464</v>
      </c>
      <c r="F115" s="244">
        <f t="shared" si="18"/>
        <v>0.41767163607647945</v>
      </c>
    </row>
    <row r="116" spans="1:6" ht="20.25" customHeight="1" x14ac:dyDescent="0.3">
      <c r="A116" s="249"/>
      <c r="B116" s="250" t="s">
        <v>464</v>
      </c>
      <c r="C116" s="252">
        <f t="shared" si="16"/>
        <v>777</v>
      </c>
      <c r="D116" s="252">
        <f t="shared" si="16"/>
        <v>954</v>
      </c>
      <c r="E116" s="252">
        <f t="shared" si="17"/>
        <v>177</v>
      </c>
      <c r="F116" s="244">
        <f t="shared" si="18"/>
        <v>0.22779922779922779</v>
      </c>
    </row>
    <row r="117" spans="1:6" ht="20.25" customHeight="1" x14ac:dyDescent="0.3">
      <c r="A117" s="249"/>
      <c r="B117" s="250" t="s">
        <v>465</v>
      </c>
      <c r="C117" s="252">
        <f t="shared" si="16"/>
        <v>2345</v>
      </c>
      <c r="D117" s="252">
        <f t="shared" si="16"/>
        <v>2880</v>
      </c>
      <c r="E117" s="252">
        <f t="shared" si="17"/>
        <v>535</v>
      </c>
      <c r="F117" s="244">
        <f t="shared" si="18"/>
        <v>0.22814498933901919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31155</v>
      </c>
      <c r="D118" s="252">
        <f t="shared" si="16"/>
        <v>36081</v>
      </c>
      <c r="E118" s="252">
        <f t="shared" si="17"/>
        <v>4926</v>
      </c>
      <c r="F118" s="244">
        <f t="shared" si="18"/>
        <v>0.1581126624939817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9285</v>
      </c>
      <c r="D119" s="252">
        <f t="shared" si="16"/>
        <v>11103</v>
      </c>
      <c r="E119" s="252">
        <f t="shared" si="17"/>
        <v>1818</v>
      </c>
      <c r="F119" s="244">
        <f t="shared" si="18"/>
        <v>0.19579967689822295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147</v>
      </c>
      <c r="D120" s="252">
        <f t="shared" si="16"/>
        <v>226</v>
      </c>
      <c r="E120" s="252">
        <f t="shared" si="17"/>
        <v>79</v>
      </c>
      <c r="F120" s="244">
        <f t="shared" si="18"/>
        <v>0.5374149659863946</v>
      </c>
    </row>
    <row r="121" spans="1:6" ht="39.950000000000003" customHeight="1" x14ac:dyDescent="0.3">
      <c r="A121" s="249"/>
      <c r="B121" s="242" t="s">
        <v>441</v>
      </c>
      <c r="C121" s="243">
        <f>+C112+C114</f>
        <v>36170472</v>
      </c>
      <c r="D121" s="243">
        <f>+D112+D114</f>
        <v>49152549</v>
      </c>
      <c r="E121" s="243">
        <f t="shared" si="17"/>
        <v>12982077</v>
      </c>
      <c r="F121" s="244">
        <f t="shared" si="18"/>
        <v>0.35891367411517328</v>
      </c>
    </row>
    <row r="122" spans="1:6" ht="39.950000000000003" customHeight="1" x14ac:dyDescent="0.3">
      <c r="A122" s="249"/>
      <c r="B122" s="242" t="s">
        <v>470</v>
      </c>
      <c r="C122" s="243">
        <f>+C113+C115</f>
        <v>10189342</v>
      </c>
      <c r="D122" s="243">
        <f>+D113+D115</f>
        <v>14338432</v>
      </c>
      <c r="E122" s="243">
        <f t="shared" si="17"/>
        <v>4149090</v>
      </c>
      <c r="F122" s="244">
        <f t="shared" si="18"/>
        <v>0.40719901245831186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9" fitToHeight="2" orientation="portrait" horizontalDpi="1200" verticalDpi="1200" r:id="rId1"/>
  <headerFooter>
    <oddHeader>&amp;LOFFICE OF HEALTH CARE ACCESS&amp;CTWELVE MONTHS ACTUAL FILING&amp;RMIDDLESEX HOSPITAL</oddHeader>
    <oddFooter>&amp;LREPORT 250&amp;C&amp;P of &amp;N&amp;R&amp;D,&amp;T</oddFooter>
  </headerFooter>
  <rowBreaks count="2" manualBreakCount="2">
    <brk id="48" max="3" man="1"/>
    <brk id="8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50111000</v>
      </c>
      <c r="D13" s="23">
        <v>52873000</v>
      </c>
      <c r="E13" s="23">
        <f t="shared" ref="E13:E22" si="0">D13-C13</f>
        <v>2762000</v>
      </c>
      <c r="F13" s="24">
        <f t="shared" ref="F13:F22" si="1">IF(C13=0,0,E13/C13)</f>
        <v>5.5117638841771267E-2</v>
      </c>
    </row>
    <row r="14" spans="1:8" ht="24" customHeight="1" x14ac:dyDescent="0.2">
      <c r="A14" s="21">
        <v>2</v>
      </c>
      <c r="B14" s="22" t="s">
        <v>17</v>
      </c>
      <c r="C14" s="23">
        <v>19181000</v>
      </c>
      <c r="D14" s="23">
        <v>27573000</v>
      </c>
      <c r="E14" s="23">
        <f t="shared" si="0"/>
        <v>8392000</v>
      </c>
      <c r="F14" s="24">
        <f t="shared" si="1"/>
        <v>0.43751629216412075</v>
      </c>
    </row>
    <row r="15" spans="1:8" ht="35.1" customHeight="1" x14ac:dyDescent="0.2">
      <c r="A15" s="21">
        <v>3</v>
      </c>
      <c r="B15" s="22" t="s">
        <v>18</v>
      </c>
      <c r="C15" s="23">
        <v>39854000</v>
      </c>
      <c r="D15" s="23">
        <v>39170000</v>
      </c>
      <c r="E15" s="23">
        <f t="shared" si="0"/>
        <v>-684000</v>
      </c>
      <c r="F15" s="24">
        <f t="shared" si="1"/>
        <v>-1.716264364932002E-2</v>
      </c>
    </row>
    <row r="16" spans="1:8" ht="35.1" customHeight="1" x14ac:dyDescent="0.2">
      <c r="A16" s="21">
        <v>4</v>
      </c>
      <c r="B16" s="22" t="s">
        <v>19</v>
      </c>
      <c r="C16" s="23">
        <v>4226000</v>
      </c>
      <c r="D16" s="23">
        <v>4357000</v>
      </c>
      <c r="E16" s="23">
        <f t="shared" si="0"/>
        <v>131000</v>
      </c>
      <c r="F16" s="24">
        <f t="shared" si="1"/>
        <v>3.0998580217699953E-2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334000</v>
      </c>
      <c r="E18" s="23">
        <f t="shared" si="0"/>
        <v>334000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1114000</v>
      </c>
      <c r="D19" s="23">
        <v>970000</v>
      </c>
      <c r="E19" s="23">
        <f t="shared" si="0"/>
        <v>-144000</v>
      </c>
      <c r="F19" s="24">
        <f t="shared" si="1"/>
        <v>-0.12926391382405744</v>
      </c>
    </row>
    <row r="20" spans="1:11" ht="24" customHeight="1" x14ac:dyDescent="0.2">
      <c r="A20" s="21">
        <v>8</v>
      </c>
      <c r="B20" s="22" t="s">
        <v>23</v>
      </c>
      <c r="C20" s="23">
        <v>2334000</v>
      </c>
      <c r="D20" s="23">
        <v>1644000</v>
      </c>
      <c r="E20" s="23">
        <f t="shared" si="0"/>
        <v>-690000</v>
      </c>
      <c r="F20" s="24">
        <f t="shared" si="1"/>
        <v>-0.29562982005141386</v>
      </c>
    </row>
    <row r="21" spans="1:11" ht="24" customHeight="1" x14ac:dyDescent="0.2">
      <c r="A21" s="21">
        <v>9</v>
      </c>
      <c r="B21" s="22" t="s">
        <v>24</v>
      </c>
      <c r="C21" s="23">
        <v>1093000</v>
      </c>
      <c r="D21" s="23">
        <v>1474000</v>
      </c>
      <c r="E21" s="23">
        <f t="shared" si="0"/>
        <v>381000</v>
      </c>
      <c r="F21" s="24">
        <f t="shared" si="1"/>
        <v>0.34858188472095153</v>
      </c>
    </row>
    <row r="22" spans="1:11" ht="24" customHeight="1" x14ac:dyDescent="0.25">
      <c r="A22" s="25"/>
      <c r="B22" s="26" t="s">
        <v>25</v>
      </c>
      <c r="C22" s="27">
        <f>SUM(C13:C21)</f>
        <v>117913000</v>
      </c>
      <c r="D22" s="27">
        <f>SUM(D13:D21)</f>
        <v>128395000</v>
      </c>
      <c r="E22" s="27">
        <f t="shared" si="0"/>
        <v>10482000</v>
      </c>
      <c r="F22" s="28">
        <f t="shared" si="1"/>
        <v>8.8896050477894714E-2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8318000</v>
      </c>
      <c r="D25" s="23">
        <v>9267000</v>
      </c>
      <c r="E25" s="23">
        <f>D25-C25</f>
        <v>949000</v>
      </c>
      <c r="F25" s="24">
        <f>IF(C25=0,0,E25/C25)</f>
        <v>0.11408992546285164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75890000</v>
      </c>
      <c r="D26" s="23">
        <v>79978000</v>
      </c>
      <c r="E26" s="23">
        <f>D26-C26</f>
        <v>4088000</v>
      </c>
      <c r="F26" s="24">
        <f>IF(C26=0,0,E26/C26)</f>
        <v>5.3867439715377517E-2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12785000</v>
      </c>
      <c r="D28" s="23">
        <v>13433000</v>
      </c>
      <c r="E28" s="23">
        <f>D28-C28</f>
        <v>648000</v>
      </c>
      <c r="F28" s="24">
        <f>IF(C28=0,0,E28/C28)</f>
        <v>5.0684395776300351E-2</v>
      </c>
    </row>
    <row r="29" spans="1:11" ht="35.1" customHeight="1" x14ac:dyDescent="0.25">
      <c r="A29" s="25"/>
      <c r="B29" s="26" t="s">
        <v>32</v>
      </c>
      <c r="C29" s="27">
        <f>SUM(C25:C28)</f>
        <v>96993000</v>
      </c>
      <c r="D29" s="27">
        <f>SUM(D25:D28)</f>
        <v>102678000</v>
      </c>
      <c r="E29" s="27">
        <f>D29-C29</f>
        <v>5685000</v>
      </c>
      <c r="F29" s="28">
        <f>IF(C29=0,0,E29/C29)</f>
        <v>5.8612477189075501E-2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3831000</v>
      </c>
      <c r="D32" s="23">
        <v>3640000</v>
      </c>
      <c r="E32" s="23">
        <f>D32-C32</f>
        <v>-191000</v>
      </c>
      <c r="F32" s="24">
        <f>IF(C32=0,0,E32/C32)</f>
        <v>-4.9856434351344299E-2</v>
      </c>
    </row>
    <row r="33" spans="1:8" ht="24" customHeight="1" x14ac:dyDescent="0.2">
      <c r="A33" s="21">
        <v>7</v>
      </c>
      <c r="B33" s="22" t="s">
        <v>35</v>
      </c>
      <c r="C33" s="23">
        <v>2867000</v>
      </c>
      <c r="D33" s="23">
        <v>2930000</v>
      </c>
      <c r="E33" s="23">
        <f>D33-C33</f>
        <v>63000</v>
      </c>
      <c r="F33" s="24">
        <f>IF(C33=0,0,E33/C33)</f>
        <v>2.1974189047785142E-2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381173000</v>
      </c>
      <c r="D36" s="23">
        <v>407474000</v>
      </c>
      <c r="E36" s="23">
        <f>D36-C36</f>
        <v>26301000</v>
      </c>
      <c r="F36" s="24">
        <f>IF(C36=0,0,E36/C36)</f>
        <v>6.9000165279282641E-2</v>
      </c>
    </row>
    <row r="37" spans="1:8" ht="24" customHeight="1" x14ac:dyDescent="0.2">
      <c r="A37" s="21">
        <v>2</v>
      </c>
      <c r="B37" s="22" t="s">
        <v>39</v>
      </c>
      <c r="C37" s="23">
        <v>221166000</v>
      </c>
      <c r="D37" s="23">
        <v>243307000</v>
      </c>
      <c r="E37" s="23">
        <f>D37-C37</f>
        <v>22141000</v>
      </c>
      <c r="F37" s="23">
        <f>IF(C37=0,0,E37/C37)</f>
        <v>0.10011032437173888</v>
      </c>
    </row>
    <row r="38" spans="1:8" ht="24" customHeight="1" x14ac:dyDescent="0.25">
      <c r="A38" s="25"/>
      <c r="B38" s="26" t="s">
        <v>40</v>
      </c>
      <c r="C38" s="27">
        <f>C36-C37</f>
        <v>160007000</v>
      </c>
      <c r="D38" s="27">
        <f>D36-D37</f>
        <v>164167000</v>
      </c>
      <c r="E38" s="27">
        <f>D38-C38</f>
        <v>4160000</v>
      </c>
      <c r="F38" s="28">
        <f>IF(C38=0,0,E38/C38)</f>
        <v>2.5998862549763448E-2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5985000</v>
      </c>
      <c r="D40" s="23">
        <v>4148000</v>
      </c>
      <c r="E40" s="23">
        <f>D40-C40</f>
        <v>-1837000</v>
      </c>
      <c r="F40" s="24">
        <f>IF(C40=0,0,E40/C40)</f>
        <v>-0.30693400167084378</v>
      </c>
    </row>
    <row r="41" spans="1:8" ht="24" customHeight="1" x14ac:dyDescent="0.25">
      <c r="A41" s="25"/>
      <c r="B41" s="26" t="s">
        <v>42</v>
      </c>
      <c r="C41" s="27">
        <f>+C38+C40</f>
        <v>165992000</v>
      </c>
      <c r="D41" s="27">
        <f>+D38+D40</f>
        <v>168315000</v>
      </c>
      <c r="E41" s="27">
        <f>D41-C41</f>
        <v>2323000</v>
      </c>
      <c r="F41" s="28">
        <f>IF(C41=0,0,E41/C41)</f>
        <v>1.3994650344594919E-2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387596000</v>
      </c>
      <c r="D43" s="27">
        <f>D22+D29+D31+D32+D33+D41</f>
        <v>405958000</v>
      </c>
      <c r="E43" s="27">
        <f>D43-C43</f>
        <v>18362000</v>
      </c>
      <c r="F43" s="28">
        <f>IF(C43=0,0,E43/C43)</f>
        <v>4.7374069907842188E-2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15978000</v>
      </c>
      <c r="D49" s="23">
        <v>13097000</v>
      </c>
      <c r="E49" s="23">
        <f t="shared" ref="E49:E56" si="2">D49-C49</f>
        <v>-2881000</v>
      </c>
      <c r="F49" s="24">
        <f t="shared" ref="F49:F56" si="3">IF(C49=0,0,E49/C49)</f>
        <v>-0.18031042683690074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23614000</v>
      </c>
      <c r="D50" s="23">
        <v>28547000</v>
      </c>
      <c r="E50" s="23">
        <f t="shared" si="2"/>
        <v>4933000</v>
      </c>
      <c r="F50" s="24">
        <f t="shared" si="3"/>
        <v>0.20890149911069705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66000</v>
      </c>
      <c r="D51" s="23">
        <v>0</v>
      </c>
      <c r="E51" s="23">
        <f t="shared" si="2"/>
        <v>-66000</v>
      </c>
      <c r="F51" s="24">
        <f t="shared" si="3"/>
        <v>-1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2905000</v>
      </c>
      <c r="D53" s="23">
        <v>3030000</v>
      </c>
      <c r="E53" s="23">
        <f t="shared" si="2"/>
        <v>125000</v>
      </c>
      <c r="F53" s="24">
        <f t="shared" si="3"/>
        <v>4.3029259896729774E-2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273000</v>
      </c>
      <c r="D54" s="23">
        <v>81000</v>
      </c>
      <c r="E54" s="23">
        <f t="shared" si="2"/>
        <v>-192000</v>
      </c>
      <c r="F54" s="24">
        <f t="shared" si="3"/>
        <v>-0.70329670329670335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11841000</v>
      </c>
      <c r="D55" s="23">
        <v>13466000</v>
      </c>
      <c r="E55" s="23">
        <f t="shared" si="2"/>
        <v>1625000</v>
      </c>
      <c r="F55" s="24">
        <f t="shared" si="3"/>
        <v>0.13723503082509922</v>
      </c>
    </row>
    <row r="56" spans="1:6" ht="24" customHeight="1" x14ac:dyDescent="0.25">
      <c r="A56" s="25"/>
      <c r="B56" s="26" t="s">
        <v>54</v>
      </c>
      <c r="C56" s="27">
        <f>SUM(C49:C55)</f>
        <v>54677000</v>
      </c>
      <c r="D56" s="27">
        <f>SUM(D49:D55)</f>
        <v>58221000</v>
      </c>
      <c r="E56" s="27">
        <f t="shared" si="2"/>
        <v>3544000</v>
      </c>
      <c r="F56" s="28">
        <f t="shared" si="3"/>
        <v>6.4817016295700206E-2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77347000</v>
      </c>
      <c r="D59" s="23">
        <v>74345000</v>
      </c>
      <c r="E59" s="23">
        <f>D59-C59</f>
        <v>-3002000</v>
      </c>
      <c r="F59" s="24">
        <f>IF(C59=0,0,E59/C59)</f>
        <v>-3.8812106481182204E-2</v>
      </c>
    </row>
    <row r="60" spans="1:6" ht="24" customHeight="1" x14ac:dyDescent="0.2">
      <c r="A60" s="21">
        <v>2</v>
      </c>
      <c r="B60" s="22" t="s">
        <v>57</v>
      </c>
      <c r="C60" s="23">
        <v>5118000</v>
      </c>
      <c r="D60" s="23">
        <v>1869000</v>
      </c>
      <c r="E60" s="23">
        <f>D60-C60</f>
        <v>-3249000</v>
      </c>
      <c r="F60" s="24">
        <f>IF(C60=0,0,E60/C60)</f>
        <v>-0.63481828839390386</v>
      </c>
    </row>
    <row r="61" spans="1:6" ht="24" customHeight="1" x14ac:dyDescent="0.25">
      <c r="A61" s="25"/>
      <c r="B61" s="26" t="s">
        <v>58</v>
      </c>
      <c r="C61" s="27">
        <f>SUM(C59:C60)</f>
        <v>82465000</v>
      </c>
      <c r="D61" s="27">
        <f>SUM(D59:D60)</f>
        <v>76214000</v>
      </c>
      <c r="E61" s="27">
        <f>D61-C61</f>
        <v>-6251000</v>
      </c>
      <c r="F61" s="28">
        <f>IF(C61=0,0,E61/C61)</f>
        <v>-7.5801855332565324E-2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89528000</v>
      </c>
      <c r="D63" s="23">
        <v>103987000</v>
      </c>
      <c r="E63" s="23">
        <f>D63-C63</f>
        <v>14459000</v>
      </c>
      <c r="F63" s="24">
        <f>IF(C63=0,0,E63/C63)</f>
        <v>0.16150254668930392</v>
      </c>
    </row>
    <row r="64" spans="1:6" ht="24" customHeight="1" x14ac:dyDescent="0.2">
      <c r="A64" s="21">
        <v>4</v>
      </c>
      <c r="B64" s="22" t="s">
        <v>60</v>
      </c>
      <c r="C64" s="23">
        <v>18333000</v>
      </c>
      <c r="D64" s="23">
        <v>18511000</v>
      </c>
      <c r="E64" s="23">
        <f>D64-C64</f>
        <v>178000</v>
      </c>
      <c r="F64" s="24">
        <f>IF(C64=0,0,E64/C64)</f>
        <v>9.7092674412262037E-3</v>
      </c>
    </row>
    <row r="65" spans="1:6" ht="24" customHeight="1" x14ac:dyDescent="0.25">
      <c r="A65" s="25"/>
      <c r="B65" s="26" t="s">
        <v>61</v>
      </c>
      <c r="C65" s="27">
        <f>SUM(C61:C64)</f>
        <v>190326000</v>
      </c>
      <c r="D65" s="27">
        <f>SUM(D61:D64)</f>
        <v>198712000</v>
      </c>
      <c r="E65" s="27">
        <f>D65-C65</f>
        <v>8386000</v>
      </c>
      <c r="F65" s="28">
        <f>IF(C65=0,0,E65/C65)</f>
        <v>4.4061242289545305E-2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612000</v>
      </c>
      <c r="D67" s="23">
        <v>573000</v>
      </c>
      <c r="E67" s="23">
        <f>D67-C67</f>
        <v>-39000</v>
      </c>
      <c r="F67" s="46">
        <f>IF(C67=0,0,E67/C67)</f>
        <v>-6.3725490196078427E-2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128787000</v>
      </c>
      <c r="D70" s="23">
        <v>134810000</v>
      </c>
      <c r="E70" s="23">
        <f>D70-C70</f>
        <v>6023000</v>
      </c>
      <c r="F70" s="24">
        <f>IF(C70=0,0,E70/C70)</f>
        <v>4.6767142646385117E-2</v>
      </c>
    </row>
    <row r="71" spans="1:6" ht="24" customHeight="1" x14ac:dyDescent="0.2">
      <c r="A71" s="21">
        <v>2</v>
      </c>
      <c r="B71" s="22" t="s">
        <v>65</v>
      </c>
      <c r="C71" s="23">
        <v>6606000</v>
      </c>
      <c r="D71" s="23">
        <v>6838000</v>
      </c>
      <c r="E71" s="23">
        <f>D71-C71</f>
        <v>232000</v>
      </c>
      <c r="F71" s="24">
        <f>IF(C71=0,0,E71/C71)</f>
        <v>3.511958825310324E-2</v>
      </c>
    </row>
    <row r="72" spans="1:6" ht="24" customHeight="1" x14ac:dyDescent="0.2">
      <c r="A72" s="21">
        <v>3</v>
      </c>
      <c r="B72" s="22" t="s">
        <v>66</v>
      </c>
      <c r="C72" s="23">
        <v>6588000</v>
      </c>
      <c r="D72" s="23">
        <v>6804000</v>
      </c>
      <c r="E72" s="23">
        <f>D72-C72</f>
        <v>216000</v>
      </c>
      <c r="F72" s="24">
        <f>IF(C72=0,0,E72/C72)</f>
        <v>3.2786885245901641E-2</v>
      </c>
    </row>
    <row r="73" spans="1:6" ht="24" customHeight="1" x14ac:dyDescent="0.25">
      <c r="A73" s="21"/>
      <c r="B73" s="26" t="s">
        <v>67</v>
      </c>
      <c r="C73" s="27">
        <f>SUM(C70:C72)</f>
        <v>141981000</v>
      </c>
      <c r="D73" s="27">
        <f>SUM(D70:D72)</f>
        <v>148452000</v>
      </c>
      <c r="E73" s="27">
        <f>D73-C73</f>
        <v>6471000</v>
      </c>
      <c r="F73" s="28">
        <f>IF(C73=0,0,E73/C73)</f>
        <v>4.5576520802079148E-2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387596000</v>
      </c>
      <c r="D75" s="27">
        <f>D56+D65+D67+D73</f>
        <v>405958000</v>
      </c>
      <c r="E75" s="27">
        <f>D75-C75</f>
        <v>18362000</v>
      </c>
      <c r="F75" s="28">
        <f>IF(C75=0,0,E75/C75)</f>
        <v>4.7374069907842188E-2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FILING&amp;RMIDDLESEX HEALTH SYSTEM,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864085000</v>
      </c>
      <c r="D12" s="51">
        <v>956526000</v>
      </c>
      <c r="E12" s="51">
        <f t="shared" ref="E12:E19" si="0">D12-C12</f>
        <v>92441000</v>
      </c>
      <c r="F12" s="70">
        <f t="shared" ref="F12:F19" si="1">IF(C12=0,0,E12/C12)</f>
        <v>0.1069813733602597</v>
      </c>
    </row>
    <row r="13" spans="1:8" ht="23.1" customHeight="1" x14ac:dyDescent="0.2">
      <c r="A13" s="25">
        <v>2</v>
      </c>
      <c r="B13" s="48" t="s">
        <v>72</v>
      </c>
      <c r="C13" s="51">
        <v>525570000</v>
      </c>
      <c r="D13" s="51">
        <v>609255000</v>
      </c>
      <c r="E13" s="51">
        <f t="shared" si="0"/>
        <v>83685000</v>
      </c>
      <c r="F13" s="70">
        <f t="shared" si="1"/>
        <v>0.15922712483589246</v>
      </c>
    </row>
    <row r="14" spans="1:8" ht="23.1" customHeight="1" x14ac:dyDescent="0.2">
      <c r="A14" s="25">
        <v>3</v>
      </c>
      <c r="B14" s="48" t="s">
        <v>73</v>
      </c>
      <c r="C14" s="51">
        <v>7535000</v>
      </c>
      <c r="D14" s="51">
        <v>9520000</v>
      </c>
      <c r="E14" s="51">
        <f t="shared" si="0"/>
        <v>1985000</v>
      </c>
      <c r="F14" s="70">
        <f t="shared" si="1"/>
        <v>0.26343729263437293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330980000</v>
      </c>
      <c r="D16" s="27">
        <f>D12-D13-D14-D15</f>
        <v>337751000</v>
      </c>
      <c r="E16" s="27">
        <f t="shared" si="0"/>
        <v>6771000</v>
      </c>
      <c r="F16" s="28">
        <f t="shared" si="1"/>
        <v>2.0457429451930631E-2</v>
      </c>
    </row>
    <row r="17" spans="1:7" ht="23.1" customHeight="1" x14ac:dyDescent="0.2">
      <c r="A17" s="25">
        <v>5</v>
      </c>
      <c r="B17" s="48" t="s">
        <v>76</v>
      </c>
      <c r="C17" s="51">
        <v>9513000</v>
      </c>
      <c r="D17" s="51">
        <v>9955000</v>
      </c>
      <c r="E17" s="51">
        <f t="shared" si="0"/>
        <v>442000</v>
      </c>
      <c r="F17" s="70">
        <f t="shared" si="1"/>
        <v>4.646273520445706E-2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340493000</v>
      </c>
      <c r="D19" s="27">
        <f>SUM(D16:D18)</f>
        <v>347706000</v>
      </c>
      <c r="E19" s="27">
        <f t="shared" si="0"/>
        <v>7213000</v>
      </c>
      <c r="F19" s="28">
        <f t="shared" si="1"/>
        <v>2.1183989098160608E-2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152978000</v>
      </c>
      <c r="D22" s="51">
        <v>159368000</v>
      </c>
      <c r="E22" s="51">
        <f t="shared" ref="E22:E31" si="2">D22-C22</f>
        <v>6390000</v>
      </c>
      <c r="F22" s="70">
        <f t="shared" ref="F22:F31" si="3">IF(C22=0,0,E22/C22)</f>
        <v>4.177071212854136E-2</v>
      </c>
    </row>
    <row r="23" spans="1:7" ht="23.1" customHeight="1" x14ac:dyDescent="0.2">
      <c r="A23" s="25">
        <v>2</v>
      </c>
      <c r="B23" s="48" t="s">
        <v>81</v>
      </c>
      <c r="C23" s="51">
        <v>34408000</v>
      </c>
      <c r="D23" s="51">
        <v>38415000</v>
      </c>
      <c r="E23" s="51">
        <f t="shared" si="2"/>
        <v>4007000</v>
      </c>
      <c r="F23" s="70">
        <f t="shared" si="3"/>
        <v>0.11645547547082075</v>
      </c>
    </row>
    <row r="24" spans="1:7" ht="23.1" customHeight="1" x14ac:dyDescent="0.2">
      <c r="A24" s="25">
        <v>3</v>
      </c>
      <c r="B24" s="48" t="s">
        <v>82</v>
      </c>
      <c r="C24" s="51">
        <v>2397000</v>
      </c>
      <c r="D24" s="51">
        <v>2502000</v>
      </c>
      <c r="E24" s="51">
        <f t="shared" si="2"/>
        <v>105000</v>
      </c>
      <c r="F24" s="70">
        <f t="shared" si="3"/>
        <v>4.3804755944931162E-2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31774000</v>
      </c>
      <c r="D25" s="51">
        <v>31651000</v>
      </c>
      <c r="E25" s="51">
        <f t="shared" si="2"/>
        <v>-123000</v>
      </c>
      <c r="F25" s="70">
        <f t="shared" si="3"/>
        <v>-3.8710895700887517E-3</v>
      </c>
    </row>
    <row r="26" spans="1:7" ht="23.1" customHeight="1" x14ac:dyDescent="0.2">
      <c r="A26" s="25">
        <v>5</v>
      </c>
      <c r="B26" s="48" t="s">
        <v>84</v>
      </c>
      <c r="C26" s="51">
        <v>21019000</v>
      </c>
      <c r="D26" s="51">
        <v>21932000</v>
      </c>
      <c r="E26" s="51">
        <f t="shared" si="2"/>
        <v>913000</v>
      </c>
      <c r="F26" s="70">
        <f t="shared" si="3"/>
        <v>4.3436890432465868E-2</v>
      </c>
    </row>
    <row r="27" spans="1:7" ht="23.1" customHeight="1" x14ac:dyDescent="0.2">
      <c r="A27" s="25">
        <v>6</v>
      </c>
      <c r="B27" s="48" t="s">
        <v>85</v>
      </c>
      <c r="C27" s="51">
        <v>17108000</v>
      </c>
      <c r="D27" s="51">
        <v>11895000</v>
      </c>
      <c r="E27" s="51">
        <f t="shared" si="2"/>
        <v>-5213000</v>
      </c>
      <c r="F27" s="70">
        <f t="shared" si="3"/>
        <v>-0.30471124620060791</v>
      </c>
    </row>
    <row r="28" spans="1:7" ht="23.1" customHeight="1" x14ac:dyDescent="0.2">
      <c r="A28" s="25">
        <v>7</v>
      </c>
      <c r="B28" s="48" t="s">
        <v>86</v>
      </c>
      <c r="C28" s="51">
        <v>4320000</v>
      </c>
      <c r="D28" s="51">
        <v>4085000</v>
      </c>
      <c r="E28" s="51">
        <f t="shared" si="2"/>
        <v>-235000</v>
      </c>
      <c r="F28" s="70">
        <f t="shared" si="3"/>
        <v>-5.4398148148148147E-2</v>
      </c>
    </row>
    <row r="29" spans="1:7" ht="23.1" customHeight="1" x14ac:dyDescent="0.2">
      <c r="A29" s="25">
        <v>8</v>
      </c>
      <c r="B29" s="48" t="s">
        <v>87</v>
      </c>
      <c r="C29" s="51">
        <v>3933000</v>
      </c>
      <c r="D29" s="51">
        <v>4222000</v>
      </c>
      <c r="E29" s="51">
        <f t="shared" si="2"/>
        <v>289000</v>
      </c>
      <c r="F29" s="70">
        <f t="shared" si="3"/>
        <v>7.3480803457920157E-2</v>
      </c>
    </row>
    <row r="30" spans="1:7" ht="23.1" customHeight="1" x14ac:dyDescent="0.2">
      <c r="A30" s="25">
        <v>9</v>
      </c>
      <c r="B30" s="48" t="s">
        <v>88</v>
      </c>
      <c r="C30" s="51">
        <v>53227000</v>
      </c>
      <c r="D30" s="51">
        <v>54259000</v>
      </c>
      <c r="E30" s="51">
        <f t="shared" si="2"/>
        <v>1032000</v>
      </c>
      <c r="F30" s="70">
        <f t="shared" si="3"/>
        <v>1.93886561331655E-2</v>
      </c>
    </row>
    <row r="31" spans="1:7" ht="23.1" customHeight="1" x14ac:dyDescent="0.25">
      <c r="A31" s="29"/>
      <c r="B31" s="71" t="s">
        <v>89</v>
      </c>
      <c r="C31" s="27">
        <f>SUM(C22:C30)</f>
        <v>321164000</v>
      </c>
      <c r="D31" s="27">
        <f>SUM(D22:D30)</f>
        <v>328329000</v>
      </c>
      <c r="E31" s="27">
        <f t="shared" si="2"/>
        <v>7165000</v>
      </c>
      <c r="F31" s="28">
        <f t="shared" si="3"/>
        <v>2.2309474287280018E-2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19329000</v>
      </c>
      <c r="D33" s="27">
        <f>+D19-D31</f>
        <v>19377000</v>
      </c>
      <c r="E33" s="27">
        <f>D33-C33</f>
        <v>48000</v>
      </c>
      <c r="F33" s="28">
        <f>IF(C33=0,0,E33/C33)</f>
        <v>2.4833152258264784E-3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-1380000</v>
      </c>
      <c r="D36" s="51">
        <v>3254000</v>
      </c>
      <c r="E36" s="51">
        <f>D36-C36</f>
        <v>4634000</v>
      </c>
      <c r="F36" s="70">
        <f>IF(C36=0,0,E36/C36)</f>
        <v>-3.3579710144927537</v>
      </c>
    </row>
    <row r="37" spans="1:6" ht="23.1" customHeight="1" x14ac:dyDescent="0.2">
      <c r="A37" s="44">
        <v>2</v>
      </c>
      <c r="B37" s="48" t="s">
        <v>93</v>
      </c>
      <c r="C37" s="51">
        <v>387000</v>
      </c>
      <c r="D37" s="51">
        <v>491000</v>
      </c>
      <c r="E37" s="51">
        <f>D37-C37</f>
        <v>104000</v>
      </c>
      <c r="F37" s="70">
        <f>IF(C37=0,0,E37/C37)</f>
        <v>0.26873385012919898</v>
      </c>
    </row>
    <row r="38" spans="1:6" ht="23.1" customHeight="1" x14ac:dyDescent="0.2">
      <c r="A38" s="44">
        <v>3</v>
      </c>
      <c r="B38" s="48" t="s">
        <v>94</v>
      </c>
      <c r="C38" s="51">
        <v>-1246000</v>
      </c>
      <c r="D38" s="51">
        <v>-930000</v>
      </c>
      <c r="E38" s="51">
        <f>D38-C38</f>
        <v>316000</v>
      </c>
      <c r="F38" s="70">
        <f>IF(C38=0,0,E38/C38)</f>
        <v>-0.2536115569823435</v>
      </c>
    </row>
    <row r="39" spans="1:6" ht="23.1" customHeight="1" x14ac:dyDescent="0.25">
      <c r="A39" s="20"/>
      <c r="B39" s="71" t="s">
        <v>95</v>
      </c>
      <c r="C39" s="27">
        <f>SUM(C36:C38)</f>
        <v>-2239000</v>
      </c>
      <c r="D39" s="27">
        <f>SUM(D36:D38)</f>
        <v>2815000</v>
      </c>
      <c r="E39" s="27">
        <f>D39-C39</f>
        <v>5054000</v>
      </c>
      <c r="F39" s="28">
        <f>IF(C39=0,0,E39/C39)</f>
        <v>-2.2572577043322912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17090000</v>
      </c>
      <c r="D41" s="27">
        <f>D33+D39</f>
        <v>22192000</v>
      </c>
      <c r="E41" s="27">
        <f>D41-C41</f>
        <v>5102000</v>
      </c>
      <c r="F41" s="28">
        <f>IF(C41=0,0,E41/C41)</f>
        <v>0.29853715623171445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17090000</v>
      </c>
      <c r="D48" s="27">
        <f>D41+D46</f>
        <v>22192000</v>
      </c>
      <c r="E48" s="27">
        <f>D48-C48</f>
        <v>5102000</v>
      </c>
      <c r="F48" s="28">
        <f>IF(C48=0,0,E48/C48)</f>
        <v>0.29853715623171445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FILING&amp;R&amp;8MIDDLESEX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2007-12-14T18:49:33Z</cp:lastPrinted>
  <dcterms:created xsi:type="dcterms:W3CDTF">2006-08-03T13:49:12Z</dcterms:created>
  <dcterms:modified xsi:type="dcterms:W3CDTF">2011-08-08T18:01:44Z</dcterms:modified>
</cp:coreProperties>
</file>