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C88" i="22" s="1"/>
  <c r="E86" i="22"/>
  <c r="E88" i="22"/>
  <c r="D86" i="22"/>
  <c r="D88" i="22" s="1"/>
  <c r="C86" i="22"/>
  <c r="E83" i="22"/>
  <c r="D83" i="22"/>
  <c r="D102" i="22"/>
  <c r="C83" i="22"/>
  <c r="C101" i="22" s="1"/>
  <c r="E76" i="22"/>
  <c r="D76" i="22"/>
  <c r="C76" i="22"/>
  <c r="E75" i="22"/>
  <c r="D75" i="22"/>
  <c r="D77" i="22"/>
  <c r="C75" i="22"/>
  <c r="C77" i="22" s="1"/>
  <c r="C109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34" i="22" s="1"/>
  <c r="C12" i="22"/>
  <c r="C33" i="22" s="1"/>
  <c r="D21" i="21"/>
  <c r="E21" i="21"/>
  <c r="F21" i="21" s="1"/>
  <c r="C21" i="21"/>
  <c r="D19" i="21"/>
  <c r="C19" i="21"/>
  <c r="F17" i="21"/>
  <c r="E17" i="21"/>
  <c r="F15" i="21"/>
  <c r="E15" i="21"/>
  <c r="D45" i="20"/>
  <c r="C45" i="20"/>
  <c r="D44" i="20"/>
  <c r="E44" i="20" s="1"/>
  <c r="F44" i="20" s="1"/>
  <c r="C44" i="20"/>
  <c r="D43" i="20"/>
  <c r="C43" i="20"/>
  <c r="C46" i="20" s="1"/>
  <c r="D36" i="20"/>
  <c r="D40" i="20"/>
  <c r="E40" i="20" s="1"/>
  <c r="C36" i="20"/>
  <c r="C40" i="20"/>
  <c r="E35" i="20"/>
  <c r="F35" i="20" s="1"/>
  <c r="E34" i="20"/>
  <c r="F34" i="20" s="1"/>
  <c r="F33" i="20"/>
  <c r="E33" i="20"/>
  <c r="E30" i="20"/>
  <c r="F30" i="20" s="1"/>
  <c r="E29" i="20"/>
  <c r="F29" i="20" s="1"/>
  <c r="F28" i="20"/>
  <c r="E28" i="20"/>
  <c r="E27" i="20"/>
  <c r="F27" i="20" s="1"/>
  <c r="D25" i="20"/>
  <c r="D39" i="20"/>
  <c r="C25" i="20"/>
  <c r="C39" i="20"/>
  <c r="F24" i="20"/>
  <c r="E24" i="20"/>
  <c r="E23" i="20"/>
  <c r="F23" i="20" s="1"/>
  <c r="E22" i="20"/>
  <c r="D19" i="20"/>
  <c r="D20" i="20" s="1"/>
  <c r="C19" i="20"/>
  <c r="C20" i="20" s="1"/>
  <c r="E18" i="20"/>
  <c r="F18" i="20" s="1"/>
  <c r="D16" i="20"/>
  <c r="E16" i="20"/>
  <c r="F16" i="20" s="1"/>
  <c r="C16" i="20"/>
  <c r="F15" i="20"/>
  <c r="E15" i="20"/>
  <c r="F13" i="20"/>
  <c r="E13" i="20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48" i="19"/>
  <c r="C49" i="19" s="1"/>
  <c r="C36" i="19"/>
  <c r="C32" i="19"/>
  <c r="C33" i="19" s="1"/>
  <c r="C21" i="19"/>
  <c r="C37" i="19" s="1"/>
  <c r="E328" i="18"/>
  <c r="E325" i="18"/>
  <c r="D324" i="18"/>
  <c r="E324" i="18" s="1"/>
  <c r="C324" i="18"/>
  <c r="C326" i="18" s="1"/>
  <c r="C330" i="18" s="1"/>
  <c r="E318" i="18"/>
  <c r="E315" i="18"/>
  <c r="D314" i="18"/>
  <c r="D316" i="18" s="1"/>
  <c r="D320" i="18" s="1"/>
  <c r="E320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C292" i="18"/>
  <c r="D291" i="18"/>
  <c r="E291" i="18"/>
  <c r="C291" i="18"/>
  <c r="D290" i="18"/>
  <c r="E290" i="18" s="1"/>
  <c r="C290" i="18"/>
  <c r="D288" i="18"/>
  <c r="C288" i="18"/>
  <c r="E288" i="18" s="1"/>
  <c r="D287" i="18"/>
  <c r="E287" i="18" s="1"/>
  <c r="C287" i="18"/>
  <c r="D282" i="18"/>
  <c r="E282" i="18"/>
  <c r="C282" i="18"/>
  <c r="D281" i="18"/>
  <c r="C281" i="18"/>
  <c r="E281" i="18" s="1"/>
  <c r="D280" i="18"/>
  <c r="E280" i="18" s="1"/>
  <c r="C280" i="18"/>
  <c r="D279" i="18"/>
  <c r="E279" i="18" s="1"/>
  <c r="C279" i="18"/>
  <c r="D278" i="18"/>
  <c r="C278" i="18"/>
  <c r="E278" i="18" s="1"/>
  <c r="D277" i="18"/>
  <c r="E277" i="18" s="1"/>
  <c r="C277" i="18"/>
  <c r="D276" i="18"/>
  <c r="C276" i="18"/>
  <c r="E276" i="18" s="1"/>
  <c r="E270" i="18"/>
  <c r="D265" i="18"/>
  <c r="D302" i="18" s="1"/>
  <c r="C265" i="18"/>
  <c r="C302" i="18"/>
  <c r="D262" i="18"/>
  <c r="C262" i="18"/>
  <c r="E262" i="18"/>
  <c r="D251" i="18"/>
  <c r="C251" i="18"/>
  <c r="D233" i="18"/>
  <c r="C233" i="18"/>
  <c r="D232" i="18"/>
  <c r="E232" i="18" s="1"/>
  <c r="C232" i="18"/>
  <c r="D231" i="18"/>
  <c r="C231" i="18"/>
  <c r="E231" i="18" s="1"/>
  <c r="D230" i="18"/>
  <c r="E230" i="18" s="1"/>
  <c r="C230" i="18"/>
  <c r="D228" i="18"/>
  <c r="C228" i="18"/>
  <c r="E228" i="18" s="1"/>
  <c r="D227" i="18"/>
  <c r="C227" i="18"/>
  <c r="D221" i="18"/>
  <c r="D245" i="18"/>
  <c r="C221" i="18"/>
  <c r="C245" i="18"/>
  <c r="D220" i="18"/>
  <c r="D244" i="18"/>
  <c r="E244" i="18" s="1"/>
  <c r="C220" i="18"/>
  <c r="C244" i="18" s="1"/>
  <c r="D219" i="18"/>
  <c r="D243" i="18"/>
  <c r="C219" i="18"/>
  <c r="C243" i="18"/>
  <c r="D218" i="18"/>
  <c r="D217" i="18" s="1"/>
  <c r="C218" i="18"/>
  <c r="D216" i="18"/>
  <c r="D240" i="18" s="1"/>
  <c r="E240" i="18"/>
  <c r="C216" i="18"/>
  <c r="C240" i="18" s="1"/>
  <c r="D215" i="18"/>
  <c r="D239" i="18" s="1"/>
  <c r="C215" i="18"/>
  <c r="C239" i="18" s="1"/>
  <c r="D210" i="18"/>
  <c r="E209" i="18"/>
  <c r="E208" i="18"/>
  <c r="E207" i="18"/>
  <c r="E206" i="18"/>
  <c r="D205" i="18"/>
  <c r="D229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 s="1"/>
  <c r="C179" i="18"/>
  <c r="D178" i="18"/>
  <c r="C178" i="18"/>
  <c r="E178" i="18"/>
  <c r="D177" i="18"/>
  <c r="E177" i="18" s="1"/>
  <c r="C177" i="18"/>
  <c r="D176" i="18"/>
  <c r="E176" i="18" s="1"/>
  <c r="C176" i="18"/>
  <c r="D174" i="18"/>
  <c r="C174" i="18"/>
  <c r="E174" i="18" s="1"/>
  <c r="D173" i="18"/>
  <c r="E173" i="18" s="1"/>
  <c r="C173" i="18"/>
  <c r="D167" i="18"/>
  <c r="C167" i="18"/>
  <c r="E167" i="18"/>
  <c r="D166" i="18"/>
  <c r="E166" i="18"/>
  <c r="C166" i="18"/>
  <c r="D165" i="18"/>
  <c r="C165" i="18"/>
  <c r="E165" i="18"/>
  <c r="D164" i="18"/>
  <c r="C164" i="18"/>
  <c r="E164" i="18" s="1"/>
  <c r="D162" i="18"/>
  <c r="E162" i="18"/>
  <c r="C162" i="18"/>
  <c r="D161" i="18"/>
  <c r="E161" i="18" s="1"/>
  <c r="C161" i="18"/>
  <c r="E155" i="18"/>
  <c r="E154" i="18"/>
  <c r="E153" i="18"/>
  <c r="E152" i="18"/>
  <c r="D151" i="18"/>
  <c r="D156" i="18" s="1"/>
  <c r="C151" i="18"/>
  <c r="C156" i="18" s="1"/>
  <c r="C157" i="18" s="1"/>
  <c r="E150" i="18"/>
  <c r="E149" i="18"/>
  <c r="E143" i="18"/>
  <c r="E142" i="18"/>
  <c r="E141" i="18"/>
  <c r="E140" i="18"/>
  <c r="D139" i="18"/>
  <c r="C139" i="18"/>
  <c r="E138" i="18"/>
  <c r="E137" i="18"/>
  <c r="D75" i="18"/>
  <c r="E75" i="18"/>
  <c r="C75" i="18"/>
  <c r="D74" i="18"/>
  <c r="E74" i="18" s="1"/>
  <c r="C74" i="18"/>
  <c r="D73" i="18"/>
  <c r="E73" i="18"/>
  <c r="C73" i="18"/>
  <c r="D72" i="18"/>
  <c r="C72" i="18"/>
  <c r="D71" i="18"/>
  <c r="D70" i="18"/>
  <c r="C70" i="18"/>
  <c r="D69" i="18"/>
  <c r="C69" i="18"/>
  <c r="D65" i="18"/>
  <c r="E64" i="18"/>
  <c r="E63" i="18"/>
  <c r="E62" i="18"/>
  <c r="E61" i="18"/>
  <c r="D60" i="18"/>
  <c r="D289" i="18" s="1"/>
  <c r="C60" i="18"/>
  <c r="E59" i="18"/>
  <c r="E58" i="18"/>
  <c r="D55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 s="1"/>
  <c r="D41" i="18"/>
  <c r="E41" i="18"/>
  <c r="C41" i="18"/>
  <c r="D40" i="18"/>
  <c r="E40" i="18" s="1"/>
  <c r="C40" i="18"/>
  <c r="D39" i="18"/>
  <c r="E39" i="18" s="1"/>
  <c r="C39" i="18"/>
  <c r="D38" i="18"/>
  <c r="E38" i="18" s="1"/>
  <c r="C38" i="18"/>
  <c r="D37" i="18"/>
  <c r="C37" i="18"/>
  <c r="C43" i="18" s="1"/>
  <c r="D36" i="18"/>
  <c r="E36" i="18" s="1"/>
  <c r="C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E335" i="17"/>
  <c r="F335" i="17" s="1"/>
  <c r="F334" i="17"/>
  <c r="E334" i="17"/>
  <c r="F333" i="17"/>
  <c r="E333" i="17"/>
  <c r="F332" i="17"/>
  <c r="E332" i="17"/>
  <c r="E331" i="17"/>
  <c r="F331" i="17" s="1"/>
  <c r="F330" i="17"/>
  <c r="E330" i="17"/>
  <c r="F329" i="17"/>
  <c r="E329" i="17"/>
  <c r="F316" i="17"/>
  <c r="E316" i="17"/>
  <c r="F311" i="17"/>
  <c r="D311" i="17"/>
  <c r="E311" i="17" s="1"/>
  <c r="C311" i="17"/>
  <c r="F308" i="17"/>
  <c r="E308" i="17"/>
  <c r="D307" i="17"/>
  <c r="C307" i="17"/>
  <c r="E307" i="17" s="1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 s="1"/>
  <c r="E248" i="17"/>
  <c r="F248" i="17" s="1"/>
  <c r="F245" i="17"/>
  <c r="E245" i="17"/>
  <c r="E244" i="17"/>
  <c r="F244" i="17"/>
  <c r="E243" i="17"/>
  <c r="F243" i="17" s="1"/>
  <c r="D238" i="17"/>
  <c r="C238" i="17"/>
  <c r="D237" i="17"/>
  <c r="D239" i="17"/>
  <c r="C237" i="17"/>
  <c r="C239" i="17" s="1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 s="1"/>
  <c r="C226" i="17"/>
  <c r="C227" i="17"/>
  <c r="E225" i="17"/>
  <c r="F225" i="17" s="1"/>
  <c r="E224" i="17"/>
  <c r="F224" i="17"/>
  <c r="D223" i="17"/>
  <c r="C223" i="17"/>
  <c r="E223" i="17"/>
  <c r="E222" i="17"/>
  <c r="F222" i="17"/>
  <c r="E221" i="17"/>
  <c r="F221" i="17" s="1"/>
  <c r="D204" i="17"/>
  <c r="C204" i="17"/>
  <c r="C285" i="17"/>
  <c r="D203" i="17"/>
  <c r="C203" i="17"/>
  <c r="C283" i="17"/>
  <c r="D198" i="17"/>
  <c r="C198" i="17"/>
  <c r="C290" i="17"/>
  <c r="D191" i="17"/>
  <c r="D280" i="17"/>
  <c r="C191" i="17"/>
  <c r="D189" i="17"/>
  <c r="D278" i="17"/>
  <c r="C189" i="17"/>
  <c r="D188" i="17"/>
  <c r="D277" i="17"/>
  <c r="C188" i="17"/>
  <c r="D180" i="17"/>
  <c r="C180" i="17"/>
  <c r="F180" i="17"/>
  <c r="D179" i="17"/>
  <c r="D181" i="17" s="1"/>
  <c r="C179" i="17"/>
  <c r="F179" i="17"/>
  <c r="D171" i="17"/>
  <c r="D172" i="17"/>
  <c r="D173" i="17" s="1"/>
  <c r="C171" i="17"/>
  <c r="F171" i="17"/>
  <c r="D170" i="17"/>
  <c r="E170" i="17" s="1"/>
  <c r="C170" i="17"/>
  <c r="F170" i="17" s="1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D158" i="17"/>
  <c r="D159" i="17"/>
  <c r="C158" i="17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C144" i="17"/>
  <c r="D136" i="17"/>
  <c r="D137" i="17" s="1"/>
  <c r="C136" i="17"/>
  <c r="C137" i="17" s="1"/>
  <c r="D135" i="17"/>
  <c r="C135" i="17"/>
  <c r="E134" i="17"/>
  <c r="F134" i="17" s="1"/>
  <c r="E133" i="17"/>
  <c r="F133" i="17" s="1"/>
  <c r="D130" i="17"/>
  <c r="C130" i="17"/>
  <c r="D129" i="17"/>
  <c r="E129" i="17" s="1"/>
  <c r="F129" i="17"/>
  <c r="C129" i="17"/>
  <c r="E128" i="17"/>
  <c r="F128" i="17"/>
  <c r="D123" i="17"/>
  <c r="C123" i="17"/>
  <c r="C124" i="17" s="1"/>
  <c r="C193" i="17"/>
  <c r="C266" i="17" s="1"/>
  <c r="C265" i="17" s="1"/>
  <c r="E122" i="17"/>
  <c r="F122" i="17"/>
  <c r="E121" i="17"/>
  <c r="F121" i="17" s="1"/>
  <c r="D120" i="17"/>
  <c r="C120" i="17"/>
  <c r="E119" i="17"/>
  <c r="F119" i="17" s="1"/>
  <c r="E118" i="17"/>
  <c r="F118" i="17" s="1"/>
  <c r="D110" i="17"/>
  <c r="E110" i="17" s="1"/>
  <c r="F110" i="17" s="1"/>
  <c r="C110" i="17"/>
  <c r="C111" i="17" s="1"/>
  <c r="D109" i="17"/>
  <c r="D111" i="17"/>
  <c r="E111" i="17" s="1"/>
  <c r="C109" i="17"/>
  <c r="D101" i="17"/>
  <c r="D102" i="17"/>
  <c r="C101" i="17"/>
  <c r="D100" i="17"/>
  <c r="E100" i="17" s="1"/>
  <c r="C100" i="17"/>
  <c r="F100" i="17" s="1"/>
  <c r="E99" i="17"/>
  <c r="F99" i="17"/>
  <c r="E98" i="17"/>
  <c r="F98" i="17" s="1"/>
  <c r="D95" i="17"/>
  <c r="E95" i="17" s="1"/>
  <c r="C95" i="17"/>
  <c r="D94" i="17"/>
  <c r="C94" i="17"/>
  <c r="F93" i="17"/>
  <c r="E93" i="17"/>
  <c r="D88" i="17"/>
  <c r="D89" i="17"/>
  <c r="C88" i="17"/>
  <c r="C89" i="17"/>
  <c r="E87" i="17"/>
  <c r="F87" i="17" s="1"/>
  <c r="F86" i="17"/>
  <c r="E86" i="17"/>
  <c r="D85" i="17"/>
  <c r="E85" i="17" s="1"/>
  <c r="F85" i="17" s="1"/>
  <c r="C85" i="17"/>
  <c r="E84" i="17"/>
  <c r="F84" i="17" s="1"/>
  <c r="F83" i="17"/>
  <c r="E83" i="17"/>
  <c r="D76" i="17"/>
  <c r="D77" i="17" s="1"/>
  <c r="C76" i="17"/>
  <c r="C77" i="17" s="1"/>
  <c r="E77" i="17" s="1"/>
  <c r="E74" i="17"/>
  <c r="F74" i="17" s="1"/>
  <c r="E73" i="17"/>
  <c r="F73" i="17"/>
  <c r="D67" i="17"/>
  <c r="C67" i="17"/>
  <c r="D66" i="17"/>
  <c r="D68" i="17" s="1"/>
  <c r="E68" i="17" s="1"/>
  <c r="C66" i="17"/>
  <c r="C68" i="17" s="1"/>
  <c r="D59" i="17"/>
  <c r="D60" i="17" s="1"/>
  <c r="C59" i="17"/>
  <c r="C60" i="17"/>
  <c r="D58" i="17"/>
  <c r="C58" i="17"/>
  <c r="E57" i="17"/>
  <c r="F57" i="17" s="1"/>
  <c r="E56" i="17"/>
  <c r="F56" i="17" s="1"/>
  <c r="D53" i="17"/>
  <c r="C53" i="17"/>
  <c r="D52" i="17"/>
  <c r="C52" i="17"/>
  <c r="E51" i="17"/>
  <c r="F51" i="17" s="1"/>
  <c r="D47" i="17"/>
  <c r="D48" i="17" s="1"/>
  <c r="C47" i="17"/>
  <c r="C48" i="17" s="1"/>
  <c r="E46" i="17"/>
  <c r="F46" i="17"/>
  <c r="E45" i="17"/>
  <c r="F45" i="17" s="1"/>
  <c r="D44" i="17"/>
  <c r="C44" i="17"/>
  <c r="E44" i="17"/>
  <c r="E43" i="17"/>
  <c r="F43" i="17" s="1"/>
  <c r="E42" i="17"/>
  <c r="F42" i="17" s="1"/>
  <c r="D36" i="17"/>
  <c r="C36" i="17"/>
  <c r="E36" i="17" s="1"/>
  <c r="D35" i="17"/>
  <c r="D37" i="17" s="1"/>
  <c r="C35" i="17"/>
  <c r="D30" i="17"/>
  <c r="D31" i="17" s="1"/>
  <c r="C30" i="17"/>
  <c r="C31" i="17"/>
  <c r="D29" i="17"/>
  <c r="C29" i="17"/>
  <c r="E29" i="17" s="1"/>
  <c r="E28" i="17"/>
  <c r="F28" i="17"/>
  <c r="E27" i="17"/>
  <c r="F27" i="17" s="1"/>
  <c r="D24" i="17"/>
  <c r="C24" i="17"/>
  <c r="E24" i="17"/>
  <c r="D23" i="17"/>
  <c r="E23" i="17" s="1"/>
  <c r="F23" i="17" s="1"/>
  <c r="C23" i="17"/>
  <c r="E22" i="17"/>
  <c r="F22" i="17" s="1"/>
  <c r="D20" i="17"/>
  <c r="C20" i="17"/>
  <c r="E19" i="17"/>
  <c r="F19" i="17"/>
  <c r="E18" i="17"/>
  <c r="F18" i="17"/>
  <c r="D17" i="17"/>
  <c r="C17" i="17"/>
  <c r="E16" i="17"/>
  <c r="F16" i="17" s="1"/>
  <c r="E15" i="17"/>
  <c r="F15" i="17"/>
  <c r="D23" i="16"/>
  <c r="E23" i="16" s="1"/>
  <c r="F23" i="16" s="1"/>
  <c r="C23" i="16"/>
  <c r="F22" i="16"/>
  <c r="E22" i="16"/>
  <c r="F21" i="16"/>
  <c r="E21" i="16"/>
  <c r="E20" i="16"/>
  <c r="F20" i="16" s="1"/>
  <c r="D17" i="16"/>
  <c r="E17" i="16" s="1"/>
  <c r="F17" i="16" s="1"/>
  <c r="C17" i="16"/>
  <c r="E16" i="16"/>
  <c r="F16" i="16" s="1"/>
  <c r="D13" i="16"/>
  <c r="E13" i="16" s="1"/>
  <c r="F13" i="16" s="1"/>
  <c r="C13" i="16"/>
  <c r="F12" i="16"/>
  <c r="E12" i="16"/>
  <c r="D107" i="15"/>
  <c r="C107" i="15"/>
  <c r="F106" i="15"/>
  <c r="E106" i="15"/>
  <c r="E105" i="15"/>
  <c r="F105" i="15" s="1"/>
  <c r="E104" i="15"/>
  <c r="F104" i="15" s="1"/>
  <c r="D100" i="15"/>
  <c r="E100" i="15"/>
  <c r="F100" i="15" s="1"/>
  <c r="C100" i="15"/>
  <c r="E99" i="15"/>
  <c r="F99" i="15" s="1"/>
  <c r="E98" i="15"/>
  <c r="F98" i="15" s="1"/>
  <c r="E97" i="15"/>
  <c r="F97" i="15" s="1"/>
  <c r="F96" i="15"/>
  <c r="E96" i="15"/>
  <c r="E95" i="15"/>
  <c r="F95" i="15" s="1"/>
  <c r="D92" i="15"/>
  <c r="C92" i="15"/>
  <c r="E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3" i="15"/>
  <c r="E73" i="15"/>
  <c r="D70" i="15"/>
  <c r="C70" i="15"/>
  <c r="F69" i="15"/>
  <c r="E69" i="15"/>
  <c r="F68" i="15"/>
  <c r="E68" i="15"/>
  <c r="D65" i="15"/>
  <c r="C65" i="15"/>
  <c r="E64" i="15"/>
  <c r="F64" i="15" s="1"/>
  <c r="F63" i="15"/>
  <c r="E63" i="15"/>
  <c r="D60" i="15"/>
  <c r="C60" i="15"/>
  <c r="F60" i="15" s="1"/>
  <c r="F59" i="15"/>
  <c r="E59" i="15"/>
  <c r="F58" i="15"/>
  <c r="E58" i="15"/>
  <c r="E60" i="15" s="1"/>
  <c r="D55" i="15"/>
  <c r="E55" i="15" s="1"/>
  <c r="C55" i="15"/>
  <c r="F55" i="15" s="1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C45" i="15"/>
  <c r="E44" i="15"/>
  <c r="F44" i="15" s="1"/>
  <c r="F43" i="15"/>
  <c r="E43" i="15"/>
  <c r="D37" i="15"/>
  <c r="C37" i="15"/>
  <c r="F36" i="15"/>
  <c r="E36" i="15"/>
  <c r="F35" i="15"/>
  <c r="E35" i="15"/>
  <c r="E34" i="15"/>
  <c r="F34" i="15" s="1"/>
  <c r="E33" i="15"/>
  <c r="F33" i="15" s="1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E20" i="15"/>
  <c r="F20" i="15" s="1"/>
  <c r="E19" i="15"/>
  <c r="F19" i="15" s="1"/>
  <c r="D16" i="15"/>
  <c r="E16" i="15" s="1"/>
  <c r="F16" i="15" s="1"/>
  <c r="C16" i="15"/>
  <c r="F15" i="15"/>
  <c r="E15" i="15"/>
  <c r="E14" i="15"/>
  <c r="F14" i="15" s="1"/>
  <c r="E13" i="15"/>
  <c r="F13" i="15" s="1"/>
  <c r="F12" i="15"/>
  <c r="E12" i="15"/>
  <c r="I37" i="14"/>
  <c r="H37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I31" i="14" s="1"/>
  <c r="G33" i="14"/>
  <c r="F17" i="14"/>
  <c r="F33" i="14"/>
  <c r="E17" i="14"/>
  <c r="D17" i="14"/>
  <c r="D33" i="14" s="1"/>
  <c r="D36" i="14" s="1"/>
  <c r="D38" i="14"/>
  <c r="D40" i="14" s="1"/>
  <c r="C17" i="14"/>
  <c r="C33" i="14"/>
  <c r="C36" i="14" s="1"/>
  <c r="C38" i="14"/>
  <c r="C40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 s="1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9" i="13"/>
  <c r="E61" i="13" s="1"/>
  <c r="E57" i="13" s="1"/>
  <c r="E58" i="13"/>
  <c r="D58" i="13"/>
  <c r="C58" i="13"/>
  <c r="E55" i="13"/>
  <c r="E50" i="13" s="1"/>
  <c r="D55" i="13"/>
  <c r="D50" i="13" s="1"/>
  <c r="C55" i="13"/>
  <c r="C50" i="13" s="1"/>
  <c r="E54" i="13"/>
  <c r="D54" i="13"/>
  <c r="C54" i="13"/>
  <c r="E48" i="13"/>
  <c r="E42" i="13"/>
  <c r="E46" i="13"/>
  <c r="D46" i="13"/>
  <c r="D59" i="13"/>
  <c r="D61" i="13"/>
  <c r="D57" i="13" s="1"/>
  <c r="C46" i="13"/>
  <c r="C48" i="13" s="1"/>
  <c r="C42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C25" i="13"/>
  <c r="C15" i="13"/>
  <c r="C24" i="13"/>
  <c r="E13" i="13"/>
  <c r="D13" i="13"/>
  <c r="D25" i="13" s="1"/>
  <c r="D27" i="13" s="1"/>
  <c r="C13" i="13"/>
  <c r="D47" i="12"/>
  <c r="E47" i="12" s="1"/>
  <c r="F47" i="12" s="1"/>
  <c r="C47" i="12"/>
  <c r="E46" i="12"/>
  <c r="F46" i="12" s="1"/>
  <c r="F45" i="12"/>
  <c r="E45" i="12"/>
  <c r="D40" i="12"/>
  <c r="C40" i="12"/>
  <c r="E39" i="12"/>
  <c r="F39" i="12" s="1"/>
  <c r="F38" i="12"/>
  <c r="E38" i="12"/>
  <c r="F37" i="12"/>
  <c r="E37" i="12"/>
  <c r="D32" i="12"/>
  <c r="E32" i="12" s="1"/>
  <c r="C32" i="12"/>
  <c r="F31" i="12"/>
  <c r="E31" i="12"/>
  <c r="F30" i="12"/>
  <c r="E30" i="12"/>
  <c r="F29" i="12"/>
  <c r="E29" i="12"/>
  <c r="E28" i="12"/>
  <c r="F28" i="12" s="1"/>
  <c r="F27" i="12"/>
  <c r="E27" i="12"/>
  <c r="F26" i="12"/>
  <c r="E26" i="12"/>
  <c r="F25" i="12"/>
  <c r="E25" i="12"/>
  <c r="E24" i="12"/>
  <c r="F24" i="12" s="1"/>
  <c r="F23" i="12"/>
  <c r="E23" i="12"/>
  <c r="F19" i="12"/>
  <c r="E19" i="12"/>
  <c r="F18" i="12"/>
  <c r="E18" i="12"/>
  <c r="F16" i="12"/>
  <c r="E16" i="12"/>
  <c r="D15" i="12"/>
  <c r="D17" i="12" s="1"/>
  <c r="C15" i="12"/>
  <c r="C17" i="12" s="1"/>
  <c r="F14" i="12"/>
  <c r="E14" i="12"/>
  <c r="F13" i="12"/>
  <c r="E13" i="12"/>
  <c r="F12" i="12"/>
  <c r="E12" i="12"/>
  <c r="F11" i="12"/>
  <c r="E11" i="12"/>
  <c r="D73" i="11"/>
  <c r="E73" i="11" s="1"/>
  <c r="F73" i="11" s="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 s="1"/>
  <c r="E65" i="11" s="1"/>
  <c r="F65" i="11" s="1"/>
  <c r="C61" i="11"/>
  <c r="C65" i="11" s="1"/>
  <c r="F60" i="11"/>
  <c r="E60" i="11"/>
  <c r="E59" i="11"/>
  <c r="F59" i="11" s="1"/>
  <c r="D56" i="11"/>
  <c r="D75" i="11"/>
  <c r="E75" i="11" s="1"/>
  <c r="C56" i="11"/>
  <c r="C75" i="11" s="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 s="1"/>
  <c r="A55" i="11" s="1"/>
  <c r="E50" i="11"/>
  <c r="F50" i="11"/>
  <c r="A50" i="11"/>
  <c r="E49" i="11"/>
  <c r="F49" i="11" s="1"/>
  <c r="F40" i="11"/>
  <c r="E40" i="11"/>
  <c r="D38" i="11"/>
  <c r="D41" i="11" s="1"/>
  <c r="C38" i="11"/>
  <c r="C41" i="11" s="1"/>
  <c r="F37" i="11"/>
  <c r="E37" i="11"/>
  <c r="E36" i="11"/>
  <c r="F36" i="11" s="1"/>
  <c r="F33" i="11"/>
  <c r="E33" i="11"/>
  <c r="F32" i="11"/>
  <c r="E32" i="11"/>
  <c r="F31" i="11"/>
  <c r="E31" i="11"/>
  <c r="D29" i="11"/>
  <c r="E29" i="11"/>
  <c r="F29" i="11" s="1"/>
  <c r="C29" i="11"/>
  <c r="F28" i="11"/>
  <c r="E28" i="11"/>
  <c r="E27" i="11"/>
  <c r="F27" i="11" s="1"/>
  <c r="F26" i="11"/>
  <c r="E26" i="11"/>
  <c r="F25" i="11"/>
  <c r="E25" i="11"/>
  <c r="D22" i="11"/>
  <c r="C22" i="11"/>
  <c r="C43" i="11" s="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 s="1"/>
  <c r="F120" i="10" s="1"/>
  <c r="C120" i="10"/>
  <c r="D119" i="10"/>
  <c r="E119" i="10" s="1"/>
  <c r="F119" i="10" s="1"/>
  <c r="C119" i="10"/>
  <c r="D118" i="10"/>
  <c r="E118" i="10" s="1"/>
  <c r="F118" i="10" s="1"/>
  <c r="C118" i="10"/>
  <c r="D117" i="10"/>
  <c r="F117" i="10"/>
  <c r="C117" i="10"/>
  <c r="E117" i="10" s="1"/>
  <c r="D116" i="10"/>
  <c r="E116" i="10" s="1"/>
  <c r="F116" i="10" s="1"/>
  <c r="C116" i="10"/>
  <c r="D115" i="10"/>
  <c r="E115" i="10" s="1"/>
  <c r="C115" i="10"/>
  <c r="F115" i="10" s="1"/>
  <c r="D114" i="10"/>
  <c r="E114" i="10" s="1"/>
  <c r="F114" i="10" s="1"/>
  <c r="C114" i="10"/>
  <c r="D113" i="10"/>
  <c r="D122" i="10" s="1"/>
  <c r="C113" i="10"/>
  <c r="D112" i="10"/>
  <c r="C112" i="10"/>
  <c r="C121" i="10"/>
  <c r="D108" i="10"/>
  <c r="E108" i="10" s="1"/>
  <c r="F108" i="10" s="1"/>
  <c r="C108" i="10"/>
  <c r="D107" i="10"/>
  <c r="E107" i="10" s="1"/>
  <c r="F107" i="10" s="1"/>
  <c r="C107" i="10"/>
  <c r="E106" i="10"/>
  <c r="F106" i="10" s="1"/>
  <c r="F105" i="10"/>
  <c r="E105" i="10"/>
  <c r="F104" i="10"/>
  <c r="E104" i="10"/>
  <c r="F103" i="10"/>
  <c r="E103" i="10"/>
  <c r="E102" i="10"/>
  <c r="F102" i="10" s="1"/>
  <c r="F101" i="10"/>
  <c r="E101" i="10"/>
  <c r="F100" i="10"/>
  <c r="E100" i="10"/>
  <c r="F99" i="10"/>
  <c r="E99" i="10"/>
  <c r="E98" i="10"/>
  <c r="F98" i="10" s="1"/>
  <c r="D96" i="10"/>
  <c r="E96" i="10" s="1"/>
  <c r="F96" i="10" s="1"/>
  <c r="C96" i="10"/>
  <c r="D95" i="10"/>
  <c r="E95" i="10"/>
  <c r="F95" i="10" s="1"/>
  <c r="C95" i="10"/>
  <c r="F94" i="10"/>
  <c r="E94" i="10"/>
  <c r="F93" i="10"/>
  <c r="E93" i="10"/>
  <c r="E92" i="10"/>
  <c r="F92" i="10" s="1"/>
  <c r="F91" i="10"/>
  <c r="E91" i="10"/>
  <c r="F90" i="10"/>
  <c r="E90" i="10"/>
  <c r="F89" i="10"/>
  <c r="E89" i="10"/>
  <c r="E88" i="10"/>
  <c r="F88" i="10" s="1"/>
  <c r="F87" i="10"/>
  <c r="E87" i="10"/>
  <c r="F86" i="10"/>
  <c r="E86" i="10"/>
  <c r="D84" i="10"/>
  <c r="E84" i="10"/>
  <c r="C84" i="10"/>
  <c r="F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 s="1"/>
  <c r="C60" i="10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D47" i="10"/>
  <c r="E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/>
  <c r="F35" i="10" s="1"/>
  <c r="C35" i="10"/>
  <c r="F34" i="10"/>
  <c r="E34" i="10"/>
  <c r="F33" i="10"/>
  <c r="E33" i="10"/>
  <c r="E32" i="10"/>
  <c r="F32" i="10" s="1"/>
  <c r="F31" i="10"/>
  <c r="E31" i="10"/>
  <c r="F30" i="10"/>
  <c r="E30" i="10"/>
  <c r="F29" i="10"/>
  <c r="E29" i="10"/>
  <c r="E28" i="10"/>
  <c r="F28" i="10" s="1"/>
  <c r="F27" i="10"/>
  <c r="E27" i="10"/>
  <c r="F26" i="10"/>
  <c r="E26" i="10"/>
  <c r="D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C205" i="9"/>
  <c r="D204" i="9"/>
  <c r="E204" i="9" s="1"/>
  <c r="C204" i="9"/>
  <c r="F204" i="9" s="1"/>
  <c r="D203" i="9"/>
  <c r="C203" i="9"/>
  <c r="D202" i="9"/>
  <c r="E202" i="9" s="1"/>
  <c r="F202" i="9" s="1"/>
  <c r="C202" i="9"/>
  <c r="D201" i="9"/>
  <c r="C201" i="9"/>
  <c r="D200" i="9"/>
  <c r="C200" i="9"/>
  <c r="D199" i="9"/>
  <c r="D208" i="9"/>
  <c r="C199" i="9"/>
  <c r="C208" i="9"/>
  <c r="D198" i="9"/>
  <c r="D207" i="9"/>
  <c r="C198" i="9"/>
  <c r="D193" i="9"/>
  <c r="F193" i="9"/>
  <c r="C193" i="9"/>
  <c r="E193" i="9" s="1"/>
  <c r="D192" i="9"/>
  <c r="E192" i="9" s="1"/>
  <c r="C192" i="9"/>
  <c r="E191" i="9"/>
  <c r="F191" i="9" s="1"/>
  <c r="E190" i="9"/>
  <c r="F190" i="9" s="1"/>
  <c r="E189" i="9"/>
  <c r="F189" i="9" s="1"/>
  <c r="E188" i="9"/>
  <c r="F188" i="9" s="1"/>
  <c r="E187" i="9"/>
  <c r="F187" i="9" s="1"/>
  <c r="F186" i="9"/>
  <c r="E186" i="9"/>
  <c r="E185" i="9"/>
  <c r="F185" i="9" s="1"/>
  <c r="E184" i="9"/>
  <c r="F184" i="9" s="1"/>
  <c r="E183" i="9"/>
  <c r="F183" i="9" s="1"/>
  <c r="F180" i="9"/>
  <c r="D180" i="9"/>
  <c r="E180" i="9"/>
  <c r="C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 s="1"/>
  <c r="D140" i="9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 s="1"/>
  <c r="C128" i="9"/>
  <c r="D127" i="9"/>
  <c r="C127" i="9"/>
  <c r="F126" i="9"/>
  <c r="E126" i="9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F118" i="9"/>
  <c r="E118" i="9"/>
  <c r="D115" i="9"/>
  <c r="C115" i="9"/>
  <c r="D114" i="9"/>
  <c r="F114" i="9"/>
  <c r="C114" i="9"/>
  <c r="E114" i="9" s="1"/>
  <c r="E113" i="9"/>
  <c r="F113" i="9" s="1"/>
  <c r="E112" i="9"/>
  <c r="F112" i="9" s="1"/>
  <c r="E111" i="9"/>
  <c r="F111" i="9" s="1"/>
  <c r="F110" i="9"/>
  <c r="E110" i="9"/>
  <c r="F109" i="9"/>
  <c r="E109" i="9"/>
  <c r="E108" i="9"/>
  <c r="F108" i="9" s="1"/>
  <c r="E107" i="9"/>
  <c r="F107" i="9" s="1"/>
  <c r="F106" i="9"/>
  <c r="E106" i="9"/>
  <c r="F105" i="9"/>
  <c r="E105" i="9"/>
  <c r="D102" i="9"/>
  <c r="E102" i="9" s="1"/>
  <c r="C102" i="9"/>
  <c r="F102" i="9" s="1"/>
  <c r="D101" i="9"/>
  <c r="E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E89" i="9" s="1"/>
  <c r="D88" i="9"/>
  <c r="E88" i="9" s="1"/>
  <c r="F88" i="9"/>
  <c r="C88" i="9"/>
  <c r="E87" i="9"/>
  <c r="F87" i="9" s="1"/>
  <c r="F86" i="9"/>
  <c r="E86" i="9"/>
  <c r="E85" i="9"/>
  <c r="F85" i="9" s="1"/>
  <c r="F84" i="9"/>
  <c r="E84" i="9"/>
  <c r="E83" i="9"/>
  <c r="F83" i="9" s="1"/>
  <c r="F82" i="9"/>
  <c r="E82" i="9"/>
  <c r="E81" i="9"/>
  <c r="F81" i="9" s="1"/>
  <c r="F80" i="9"/>
  <c r="E80" i="9"/>
  <c r="E79" i="9"/>
  <c r="F79" i="9" s="1"/>
  <c r="D76" i="9"/>
  <c r="C76" i="9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E63" i="9" s="1"/>
  <c r="C63" i="9"/>
  <c r="F63" i="9" s="1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C50" i="9"/>
  <c r="D49" i="9"/>
  <c r="E49" i="9" s="1"/>
  <c r="C49" i="9"/>
  <c r="E48" i="9"/>
  <c r="F48" i="9" s="1"/>
  <c r="E47" i="9"/>
  <c r="F47" i="9" s="1"/>
  <c r="F46" i="9"/>
  <c r="E46" i="9"/>
  <c r="E45" i="9"/>
  <c r="F45" i="9" s="1"/>
  <c r="F44" i="9"/>
  <c r="E44" i="9"/>
  <c r="E43" i="9"/>
  <c r="F43" i="9" s="1"/>
  <c r="F42" i="9"/>
  <c r="E42" i="9"/>
  <c r="E41" i="9"/>
  <c r="F41" i="9" s="1"/>
  <c r="F40" i="9"/>
  <c r="E40" i="9"/>
  <c r="D37" i="9"/>
  <c r="E37" i="9" s="1"/>
  <c r="C37" i="9"/>
  <c r="F37" i="9" s="1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C23" i="9"/>
  <c r="F22" i="9"/>
  <c r="E22" i="9"/>
  <c r="E21" i="9"/>
  <c r="F21" i="9" s="1"/>
  <c r="E20" i="9"/>
  <c r="F20" i="9" s="1"/>
  <c r="E19" i="9"/>
  <c r="F19" i="9" s="1"/>
  <c r="F18" i="9"/>
  <c r="E18" i="9"/>
  <c r="E17" i="9"/>
  <c r="F17" i="9" s="1"/>
  <c r="E16" i="9"/>
  <c r="F16" i="9" s="1"/>
  <c r="E15" i="9"/>
  <c r="F15" i="9" s="1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E166" i="8" s="1"/>
  <c r="D162" i="8"/>
  <c r="C162" i="8"/>
  <c r="E161" i="8"/>
  <c r="D161" i="8"/>
  <c r="C161" i="8"/>
  <c r="E160" i="8"/>
  <c r="C160" i="8"/>
  <c r="C166" i="8" s="1"/>
  <c r="E147" i="8"/>
  <c r="E143" i="8" s="1"/>
  <c r="E149" i="8" s="1"/>
  <c r="E137" i="8" s="1"/>
  <c r="D147" i="8"/>
  <c r="D143" i="8" s="1"/>
  <c r="C147" i="8"/>
  <c r="C143" i="8" s="1"/>
  <c r="C149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E107" i="8"/>
  <c r="D107" i="8"/>
  <c r="D109" i="8"/>
  <c r="D106" i="8" s="1"/>
  <c r="C107" i="8"/>
  <c r="C109" i="8" s="1"/>
  <c r="C106" i="8"/>
  <c r="E102" i="8"/>
  <c r="E104" i="8" s="1"/>
  <c r="D102" i="8"/>
  <c r="D104" i="8"/>
  <c r="C102" i="8"/>
  <c r="C104" i="8" s="1"/>
  <c r="E100" i="8"/>
  <c r="D100" i="8"/>
  <c r="C100" i="8"/>
  <c r="E95" i="8"/>
  <c r="E94" i="8"/>
  <c r="D95" i="8"/>
  <c r="D94" i="8" s="1"/>
  <c r="C95" i="8"/>
  <c r="C94" i="8"/>
  <c r="E89" i="8"/>
  <c r="D89" i="8"/>
  <c r="C89" i="8"/>
  <c r="E87" i="8"/>
  <c r="D87" i="8"/>
  <c r="C87" i="8"/>
  <c r="E84" i="8"/>
  <c r="E79" i="8" s="1"/>
  <c r="D84" i="8"/>
  <c r="C84" i="8"/>
  <c r="E83" i="8"/>
  <c r="D83" i="8"/>
  <c r="C83" i="8"/>
  <c r="D79" i="8"/>
  <c r="E75" i="8"/>
  <c r="D75" i="8"/>
  <c r="D88" i="8"/>
  <c r="D90" i="8" s="1"/>
  <c r="D86" i="8" s="1"/>
  <c r="C75" i="8"/>
  <c r="C77" i="8" s="1"/>
  <c r="C71" i="8" s="1"/>
  <c r="C88" i="8"/>
  <c r="C90" i="8"/>
  <c r="C86" i="8"/>
  <c r="E74" i="8"/>
  <c r="D74" i="8"/>
  <c r="C74" i="8"/>
  <c r="E67" i="8"/>
  <c r="D67" i="8"/>
  <c r="C67" i="8"/>
  <c r="D53" i="8"/>
  <c r="D43" i="8"/>
  <c r="E38" i="8"/>
  <c r="E57" i="8"/>
  <c r="E62" i="8" s="1"/>
  <c r="D38" i="8"/>
  <c r="D57" i="8"/>
  <c r="D62" i="8" s="1"/>
  <c r="C38" i="8"/>
  <c r="C57" i="8"/>
  <c r="C62" i="8" s="1"/>
  <c r="E33" i="8"/>
  <c r="E34" i="8" s="1"/>
  <c r="D33" i="8"/>
  <c r="D34" i="8"/>
  <c r="E26" i="8"/>
  <c r="E27" i="8" s="1"/>
  <c r="E20" i="8" s="1"/>
  <c r="D26" i="8"/>
  <c r="C26" i="8"/>
  <c r="C25" i="8"/>
  <c r="C27" i="8" s="1"/>
  <c r="E15" i="8"/>
  <c r="E24" i="8"/>
  <c r="C24" i="8"/>
  <c r="C20" i="8" s="1"/>
  <c r="E13" i="8"/>
  <c r="E25" i="8" s="1"/>
  <c r="D13" i="8"/>
  <c r="D25" i="8"/>
  <c r="D27" i="8" s="1"/>
  <c r="C13" i="8"/>
  <c r="C15" i="8" s="1"/>
  <c r="F186" i="7"/>
  <c r="E186" i="7"/>
  <c r="D183" i="7"/>
  <c r="C183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E173" i="7"/>
  <c r="F173" i="7" s="1"/>
  <c r="F172" i="7"/>
  <c r="E172" i="7"/>
  <c r="F171" i="7"/>
  <c r="E171" i="7"/>
  <c r="E170" i="7"/>
  <c r="F170" i="7" s="1"/>
  <c r="D167" i="7"/>
  <c r="E167" i="7" s="1"/>
  <c r="C167" i="7"/>
  <c r="F166" i="7"/>
  <c r="E166" i="7"/>
  <c r="F165" i="7"/>
  <c r="E165" i="7"/>
  <c r="E164" i="7"/>
  <c r="F164" i="7" s="1"/>
  <c r="E163" i="7"/>
  <c r="F163" i="7" s="1"/>
  <c r="F162" i="7"/>
  <c r="E162" i="7"/>
  <c r="F161" i="7"/>
  <c r="E161" i="7"/>
  <c r="E160" i="7"/>
  <c r="F160" i="7" s="1"/>
  <c r="F159" i="7"/>
  <c r="E159" i="7"/>
  <c r="F158" i="7"/>
  <c r="E158" i="7"/>
  <c r="F157" i="7"/>
  <c r="E157" i="7"/>
  <c r="E156" i="7"/>
  <c r="F156" i="7" s="1"/>
  <c r="F155" i="7"/>
  <c r="E155" i="7"/>
  <c r="F154" i="7"/>
  <c r="E154" i="7"/>
  <c r="F153" i="7"/>
  <c r="E153" i="7"/>
  <c r="E152" i="7"/>
  <c r="F152" i="7" s="1"/>
  <c r="E151" i="7"/>
  <c r="F151" i="7" s="1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F144" i="7"/>
  <c r="E144" i="7"/>
  <c r="F143" i="7"/>
  <c r="E143" i="7"/>
  <c r="F142" i="7"/>
  <c r="E142" i="7"/>
  <c r="E141" i="7"/>
  <c r="F141" i="7" s="1"/>
  <c r="F140" i="7"/>
  <c r="E140" i="7"/>
  <c r="E139" i="7"/>
  <c r="F139" i="7" s="1"/>
  <c r="F138" i="7"/>
  <c r="E138" i="7"/>
  <c r="F137" i="7"/>
  <c r="E137" i="7"/>
  <c r="F136" i="7"/>
  <c r="E136" i="7"/>
  <c r="E135" i="7"/>
  <c r="F135" i="7" s="1"/>
  <c r="F134" i="7"/>
  <c r="E134" i="7"/>
  <c r="F133" i="7"/>
  <c r="E133" i="7"/>
  <c r="D130" i="7"/>
  <c r="E130" i="7"/>
  <c r="C130" i="7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D121" i="7"/>
  <c r="E121" i="7"/>
  <c r="C121" i="7"/>
  <c r="F120" i="7"/>
  <c r="E120" i="7"/>
  <c r="E119" i="7"/>
  <c r="F119" i="7" s="1"/>
  <c r="F118" i="7"/>
  <c r="E118" i="7"/>
  <c r="F117" i="7"/>
  <c r="E117" i="7"/>
  <c r="F116" i="7"/>
  <c r="E116" i="7"/>
  <c r="E115" i="7"/>
  <c r="F115" i="7" s="1"/>
  <c r="F114" i="7"/>
  <c r="E114" i="7"/>
  <c r="E113" i="7"/>
  <c r="F113" i="7" s="1"/>
  <c r="F112" i="7"/>
  <c r="E112" i="7"/>
  <c r="F111" i="7"/>
  <c r="E111" i="7"/>
  <c r="E110" i="7"/>
  <c r="F110" i="7" s="1"/>
  <c r="E109" i="7"/>
  <c r="F109" i="7" s="1"/>
  <c r="F108" i="7"/>
  <c r="E108" i="7"/>
  <c r="F107" i="7"/>
  <c r="E107" i="7"/>
  <c r="E106" i="7"/>
  <c r="F106" i="7" s="1"/>
  <c r="E105" i="7"/>
  <c r="F105" i="7" s="1"/>
  <c r="F104" i="7"/>
  <c r="E104" i="7"/>
  <c r="E103" i="7"/>
  <c r="F103" i="7" s="1"/>
  <c r="F93" i="7"/>
  <c r="E93" i="7"/>
  <c r="D90" i="7"/>
  <c r="D95" i="7"/>
  <c r="E95" i="7" s="1"/>
  <c r="F95" i="7" s="1"/>
  <c r="C90" i="7"/>
  <c r="F89" i="7"/>
  <c r="E89" i="7"/>
  <c r="F88" i="7"/>
  <c r="E88" i="7"/>
  <c r="F87" i="7"/>
  <c r="E87" i="7"/>
  <c r="E86" i="7"/>
  <c r="F86" i="7" s="1"/>
  <c r="F85" i="7"/>
  <c r="E85" i="7"/>
  <c r="F84" i="7"/>
  <c r="E84" i="7"/>
  <c r="E83" i="7"/>
  <c r="F83" i="7" s="1"/>
  <c r="E82" i="7"/>
  <c r="F82" i="7" s="1"/>
  <c r="F81" i="7"/>
  <c r="E81" i="7"/>
  <c r="F80" i="7"/>
  <c r="E80" i="7"/>
  <c r="F79" i="7"/>
  <c r="E79" i="7"/>
  <c r="F78" i="7"/>
  <c r="E78" i="7"/>
  <c r="F77" i="7"/>
  <c r="E77" i="7"/>
  <c r="F76" i="7"/>
  <c r="E76" i="7"/>
  <c r="E75" i="7"/>
  <c r="F75" i="7" s="1"/>
  <c r="E74" i="7"/>
  <c r="F74" i="7" s="1"/>
  <c r="E73" i="7"/>
  <c r="F73" i="7" s="1"/>
  <c r="F72" i="7"/>
  <c r="E72" i="7"/>
  <c r="F71" i="7"/>
  <c r="E71" i="7"/>
  <c r="E70" i="7"/>
  <c r="F70" i="7" s="1"/>
  <c r="E69" i="7"/>
  <c r="F69" i="7" s="1"/>
  <c r="F68" i="7"/>
  <c r="E68" i="7"/>
  <c r="F67" i="7"/>
  <c r="E67" i="7"/>
  <c r="E66" i="7"/>
  <c r="F66" i="7" s="1"/>
  <c r="E65" i="7"/>
  <c r="F65" i="7" s="1"/>
  <c r="F64" i="7"/>
  <c r="E64" i="7"/>
  <c r="E63" i="7"/>
  <c r="F63" i="7" s="1"/>
  <c r="E62" i="7"/>
  <c r="F62" i="7" s="1"/>
  <c r="D59" i="7"/>
  <c r="E59" i="7"/>
  <c r="F59" i="7"/>
  <c r="C59" i="7"/>
  <c r="F58" i="7"/>
  <c r="E58" i="7"/>
  <c r="E57" i="7"/>
  <c r="F57" i="7" s="1"/>
  <c r="F56" i="7"/>
  <c r="E56" i="7"/>
  <c r="F55" i="7"/>
  <c r="E55" i="7"/>
  <c r="F54" i="7"/>
  <c r="E54" i="7"/>
  <c r="E53" i="7"/>
  <c r="F53" i="7" s="1"/>
  <c r="F50" i="7"/>
  <c r="E50" i="7"/>
  <c r="F47" i="7"/>
  <c r="E47" i="7"/>
  <c r="F44" i="7"/>
  <c r="E44" i="7"/>
  <c r="D41" i="7"/>
  <c r="C41" i="7"/>
  <c r="C95" i="7" s="1"/>
  <c r="F40" i="7"/>
  <c r="E40" i="7"/>
  <c r="E39" i="7"/>
  <c r="F39" i="7" s="1"/>
  <c r="E38" i="7"/>
  <c r="F38" i="7" s="1"/>
  <c r="D35" i="7"/>
  <c r="E35" i="7"/>
  <c r="F35" i="7" s="1"/>
  <c r="C35" i="7"/>
  <c r="E34" i="7"/>
  <c r="F34" i="7" s="1"/>
  <c r="E33" i="7"/>
  <c r="F33" i="7" s="1"/>
  <c r="D30" i="7"/>
  <c r="E30" i="7" s="1"/>
  <c r="F30" i="7"/>
  <c r="C30" i="7"/>
  <c r="E29" i="7"/>
  <c r="F29" i="7" s="1"/>
  <c r="E28" i="7"/>
  <c r="F28" i="7" s="1"/>
  <c r="E27" i="7"/>
  <c r="F27" i="7" s="1"/>
  <c r="D24" i="7"/>
  <c r="C24" i="7"/>
  <c r="E23" i="7"/>
  <c r="F23" i="7" s="1"/>
  <c r="E22" i="7"/>
  <c r="F22" i="7" s="1"/>
  <c r="F21" i="7"/>
  <c r="E21" i="7"/>
  <c r="D18" i="7"/>
  <c r="E18" i="7"/>
  <c r="C18" i="7"/>
  <c r="E17" i="7"/>
  <c r="F17" i="7" s="1"/>
  <c r="F16" i="7"/>
  <c r="E16" i="7"/>
  <c r="F15" i="7"/>
  <c r="E15" i="7"/>
  <c r="D179" i="6"/>
  <c r="C179" i="6"/>
  <c r="E179" i="6" s="1"/>
  <c r="F178" i="6"/>
  <c r="E178" i="6"/>
  <c r="F177" i="6"/>
  <c r="E177" i="6"/>
  <c r="E176" i="6"/>
  <c r="F176" i="6" s="1"/>
  <c r="F175" i="6"/>
  <c r="E175" i="6"/>
  <c r="F174" i="6"/>
  <c r="E174" i="6"/>
  <c r="F173" i="6"/>
  <c r="E173" i="6"/>
  <c r="E172" i="6"/>
  <c r="F172" i="6" s="1"/>
  <c r="F171" i="6"/>
  <c r="E171" i="6"/>
  <c r="F170" i="6"/>
  <c r="E170" i="6"/>
  <c r="E169" i="6"/>
  <c r="F169" i="6" s="1"/>
  <c r="E168" i="6"/>
  <c r="F168" i="6" s="1"/>
  <c r="D166" i="6"/>
  <c r="E166" i="6"/>
  <c r="F166" i="6" s="1"/>
  <c r="C166" i="6"/>
  <c r="F165" i="6"/>
  <c r="E165" i="6"/>
  <c r="F164" i="6"/>
  <c r="E164" i="6"/>
  <c r="E163" i="6"/>
  <c r="F163" i="6" s="1"/>
  <c r="F162" i="6"/>
  <c r="E162" i="6"/>
  <c r="E161" i="6"/>
  <c r="F161" i="6" s="1"/>
  <c r="E160" i="6"/>
  <c r="F160" i="6" s="1"/>
  <c r="F159" i="6"/>
  <c r="E159" i="6"/>
  <c r="F158" i="6"/>
  <c r="E158" i="6"/>
  <c r="E157" i="6"/>
  <c r="F157" i="6" s="1"/>
  <c r="E156" i="6"/>
  <c r="F156" i="6" s="1"/>
  <c r="F155" i="6"/>
  <c r="E155" i="6"/>
  <c r="D153" i="6"/>
  <c r="C153" i="6"/>
  <c r="F152" i="6"/>
  <c r="E152" i="6"/>
  <c r="F151" i="6"/>
  <c r="E151" i="6"/>
  <c r="F150" i="6"/>
  <c r="E150" i="6"/>
  <c r="F149" i="6"/>
  <c r="E149" i="6"/>
  <c r="E148" i="6"/>
  <c r="F148" i="6" s="1"/>
  <c r="E147" i="6"/>
  <c r="F147" i="6" s="1"/>
  <c r="F146" i="6"/>
  <c r="E146" i="6"/>
  <c r="E145" i="6"/>
  <c r="F145" i="6" s="1"/>
  <c r="E144" i="6"/>
  <c r="F144" i="6" s="1"/>
  <c r="E143" i="6"/>
  <c r="F143" i="6" s="1"/>
  <c r="F142" i="6"/>
  <c r="E142" i="6"/>
  <c r="D137" i="6"/>
  <c r="C137" i="6"/>
  <c r="F136" i="6"/>
  <c r="E136" i="6"/>
  <c r="F135" i="6"/>
  <c r="E135" i="6"/>
  <c r="F134" i="6"/>
  <c r="E134" i="6"/>
  <c r="E133" i="6"/>
  <c r="F133" i="6" s="1"/>
  <c r="F132" i="6"/>
  <c r="E132" i="6"/>
  <c r="F131" i="6"/>
  <c r="E131" i="6"/>
  <c r="E130" i="6"/>
  <c r="F130" i="6" s="1"/>
  <c r="E129" i="6"/>
  <c r="F129" i="6" s="1"/>
  <c r="E128" i="6"/>
  <c r="F128" i="6" s="1"/>
  <c r="F127" i="6"/>
  <c r="E127" i="6"/>
  <c r="E126" i="6"/>
  <c r="F126" i="6" s="1"/>
  <c r="D124" i="6"/>
  <c r="C124" i="6"/>
  <c r="F123" i="6"/>
  <c r="E123" i="6"/>
  <c r="F122" i="6"/>
  <c r="E122" i="6"/>
  <c r="E121" i="6"/>
  <c r="F121" i="6" s="1"/>
  <c r="F120" i="6"/>
  <c r="E120" i="6"/>
  <c r="F119" i="6"/>
  <c r="E119" i="6"/>
  <c r="E118" i="6"/>
  <c r="F118" i="6" s="1"/>
  <c r="E117" i="6"/>
  <c r="F117" i="6" s="1"/>
  <c r="F116" i="6"/>
  <c r="E116" i="6"/>
  <c r="F115" i="6"/>
  <c r="E115" i="6"/>
  <c r="F114" i="6"/>
  <c r="E114" i="6"/>
  <c r="E113" i="6"/>
  <c r="F113" i="6" s="1"/>
  <c r="D111" i="6"/>
  <c r="E111" i="6"/>
  <c r="F111" i="6" s="1"/>
  <c r="C111" i="6"/>
  <c r="F110" i="6"/>
  <c r="E110" i="6"/>
  <c r="F109" i="6"/>
  <c r="E109" i="6"/>
  <c r="E108" i="6"/>
  <c r="F108" i="6" s="1"/>
  <c r="F107" i="6"/>
  <c r="E107" i="6"/>
  <c r="F106" i="6"/>
  <c r="E106" i="6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F94" i="6"/>
  <c r="D94" i="6"/>
  <c r="E94" i="6"/>
  <c r="C94" i="6"/>
  <c r="D93" i="6"/>
  <c r="E93" i="6" s="1"/>
  <c r="C93" i="6"/>
  <c r="F93" i="6" s="1"/>
  <c r="D92" i="6"/>
  <c r="C92" i="6"/>
  <c r="D91" i="6"/>
  <c r="C91" i="6"/>
  <c r="E91" i="6" s="1"/>
  <c r="F91" i="6" s="1"/>
  <c r="D90" i="6"/>
  <c r="C90" i="6"/>
  <c r="D89" i="6"/>
  <c r="C89" i="6"/>
  <c r="D88" i="6"/>
  <c r="C88" i="6"/>
  <c r="D87" i="6"/>
  <c r="E87" i="6"/>
  <c r="F87" i="6"/>
  <c r="C87" i="6"/>
  <c r="D86" i="6"/>
  <c r="E86" i="6" s="1"/>
  <c r="F86" i="6" s="1"/>
  <c r="C86" i="6"/>
  <c r="D85" i="6"/>
  <c r="C85" i="6"/>
  <c r="D84" i="6"/>
  <c r="C84" i="6"/>
  <c r="D81" i="6"/>
  <c r="F81" i="6"/>
  <c r="C81" i="6"/>
  <c r="E81" i="6" s="1"/>
  <c r="F80" i="6"/>
  <c r="E80" i="6"/>
  <c r="F79" i="6"/>
  <c r="E79" i="6"/>
  <c r="E78" i="6"/>
  <c r="F78" i="6" s="1"/>
  <c r="F77" i="6"/>
  <c r="E77" i="6"/>
  <c r="E76" i="6"/>
  <c r="F76" i="6" s="1"/>
  <c r="E75" i="6"/>
  <c r="F75" i="6" s="1"/>
  <c r="F74" i="6"/>
  <c r="E74" i="6"/>
  <c r="E73" i="6"/>
  <c r="F73" i="6" s="1"/>
  <c r="E72" i="6"/>
  <c r="F72" i="6" s="1"/>
  <c r="F71" i="6"/>
  <c r="E71" i="6"/>
  <c r="F70" i="6"/>
  <c r="E70" i="6"/>
  <c r="D68" i="6"/>
  <c r="C68" i="6"/>
  <c r="F67" i="6"/>
  <c r="E67" i="6"/>
  <c r="F66" i="6"/>
  <c r="E66" i="6"/>
  <c r="F65" i="6"/>
  <c r="E65" i="6"/>
  <c r="E64" i="6"/>
  <c r="F64" i="6" s="1"/>
  <c r="F63" i="6"/>
  <c r="E63" i="6"/>
  <c r="F62" i="6"/>
  <c r="E62" i="6"/>
  <c r="F61" i="6"/>
  <c r="E61" i="6"/>
  <c r="E60" i="6"/>
  <c r="F60" i="6" s="1"/>
  <c r="E59" i="6"/>
  <c r="F59" i="6" s="1"/>
  <c r="F58" i="6"/>
  <c r="E58" i="6"/>
  <c r="E57" i="6"/>
  <c r="F57" i="6" s="1"/>
  <c r="D51" i="6"/>
  <c r="E51" i="6" s="1"/>
  <c r="C51" i="6"/>
  <c r="F51" i="6" s="1"/>
  <c r="F50" i="6"/>
  <c r="D50" i="6"/>
  <c r="E50" i="6"/>
  <c r="C50" i="6"/>
  <c r="D49" i="6"/>
  <c r="E49" i="6" s="1"/>
  <c r="C49" i="6"/>
  <c r="D48" i="6"/>
  <c r="E48" i="6" s="1"/>
  <c r="F48" i="6" s="1"/>
  <c r="C48" i="6"/>
  <c r="D47" i="6"/>
  <c r="E47" i="6" s="1"/>
  <c r="C47" i="6"/>
  <c r="D46" i="6"/>
  <c r="E46" i="6" s="1"/>
  <c r="F46" i="6" s="1"/>
  <c r="C46" i="6"/>
  <c r="D45" i="6"/>
  <c r="E45" i="6" s="1"/>
  <c r="C45" i="6"/>
  <c r="F45" i="6" s="1"/>
  <c r="D44" i="6"/>
  <c r="E44" i="6"/>
  <c r="F44" i="6" s="1"/>
  <c r="C44" i="6"/>
  <c r="D43" i="6"/>
  <c r="E43" i="6" s="1"/>
  <c r="C43" i="6"/>
  <c r="D42" i="6"/>
  <c r="E42" i="6"/>
  <c r="F42" i="6"/>
  <c r="C42" i="6"/>
  <c r="D41" i="6"/>
  <c r="C41" i="6"/>
  <c r="C52" i="6"/>
  <c r="D38" i="6"/>
  <c r="E38" i="6" s="1"/>
  <c r="C38" i="6"/>
  <c r="F37" i="6"/>
  <c r="E37" i="6"/>
  <c r="F36" i="6"/>
  <c r="E36" i="6"/>
  <c r="F35" i="6"/>
  <c r="E35" i="6"/>
  <c r="E34" i="6"/>
  <c r="F34" i="6" s="1"/>
  <c r="F33" i="6"/>
  <c r="E33" i="6"/>
  <c r="E32" i="6"/>
  <c r="F32" i="6" s="1"/>
  <c r="F31" i="6"/>
  <c r="E31" i="6"/>
  <c r="E30" i="6"/>
  <c r="F30" i="6" s="1"/>
  <c r="F29" i="6"/>
  <c r="E29" i="6"/>
  <c r="E28" i="6"/>
  <c r="F28" i="6" s="1"/>
  <c r="E27" i="6"/>
  <c r="F27" i="6" s="1"/>
  <c r="D25" i="6"/>
  <c r="E25" i="6"/>
  <c r="F25" i="6" s="1"/>
  <c r="C25" i="6"/>
  <c r="F24" i="6"/>
  <c r="E24" i="6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E48" i="5"/>
  <c r="F48" i="5"/>
  <c r="C48" i="5"/>
  <c r="E47" i="5"/>
  <c r="F47" i="5" s="1"/>
  <c r="F46" i="5"/>
  <c r="E46" i="5"/>
  <c r="D41" i="5"/>
  <c r="C41" i="5"/>
  <c r="E41" i="5" s="1"/>
  <c r="E40" i="5"/>
  <c r="F40" i="5" s="1"/>
  <c r="F39" i="5"/>
  <c r="E39" i="5"/>
  <c r="E38" i="5"/>
  <c r="F38" i="5" s="1"/>
  <c r="D33" i="5"/>
  <c r="C33" i="5"/>
  <c r="E33" i="5" s="1"/>
  <c r="F32" i="5"/>
  <c r="E32" i="5"/>
  <c r="F31" i="5"/>
  <c r="E31" i="5"/>
  <c r="E30" i="5"/>
  <c r="F30" i="5" s="1"/>
  <c r="E29" i="5"/>
  <c r="F29" i="5" s="1"/>
  <c r="F28" i="5"/>
  <c r="E28" i="5"/>
  <c r="F27" i="5"/>
  <c r="E27" i="5"/>
  <c r="E26" i="5"/>
  <c r="F26" i="5" s="1"/>
  <c r="E25" i="5"/>
  <c r="F25" i="5" s="1"/>
  <c r="F24" i="5"/>
  <c r="E24" i="5"/>
  <c r="E20" i="5"/>
  <c r="F20" i="5" s="1"/>
  <c r="F19" i="5"/>
  <c r="E19" i="5"/>
  <c r="F17" i="5"/>
  <c r="E17" i="5"/>
  <c r="D16" i="5"/>
  <c r="D18" i="5" s="1"/>
  <c r="C16" i="5"/>
  <c r="F15" i="5"/>
  <c r="E15" i="5"/>
  <c r="E14" i="5"/>
  <c r="F14" i="5" s="1"/>
  <c r="F13" i="5"/>
  <c r="E13" i="5"/>
  <c r="E12" i="5"/>
  <c r="F12" i="5" s="1"/>
  <c r="D73" i="4"/>
  <c r="E73" i="4"/>
  <c r="C73" i="4"/>
  <c r="E72" i="4"/>
  <c r="F72" i="4" s="1"/>
  <c r="E71" i="4"/>
  <c r="F71" i="4" s="1"/>
  <c r="F70" i="4"/>
  <c r="E70" i="4"/>
  <c r="F67" i="4"/>
  <c r="E67" i="4"/>
  <c r="F64" i="4"/>
  <c r="E64" i="4"/>
  <c r="E63" i="4"/>
  <c r="F63" i="4" s="1"/>
  <c r="D61" i="4"/>
  <c r="E61" i="4" s="1"/>
  <c r="F61" i="4" s="1"/>
  <c r="D65" i="4"/>
  <c r="D75" i="4" s="1"/>
  <c r="E75" i="4" s="1"/>
  <c r="C61" i="4"/>
  <c r="C65" i="4"/>
  <c r="F60" i="4"/>
  <c r="E60" i="4"/>
  <c r="E59" i="4"/>
  <c r="F59" i="4" s="1"/>
  <c r="D56" i="4"/>
  <c r="E56" i="4" s="1"/>
  <c r="C56" i="4"/>
  <c r="C75" i="4"/>
  <c r="E55" i="4"/>
  <c r="F55" i="4" s="1"/>
  <c r="F54" i="4"/>
  <c r="E54" i="4"/>
  <c r="F53" i="4"/>
  <c r="E53" i="4"/>
  <c r="F52" i="4"/>
  <c r="E52" i="4"/>
  <c r="E51" i="4"/>
  <c r="F51" i="4" s="1"/>
  <c r="A55" i="4"/>
  <c r="E50" i="4"/>
  <c r="F50" i="4" s="1"/>
  <c r="A50" i="4"/>
  <c r="A51" i="4" s="1"/>
  <c r="A52" i="4" s="1"/>
  <c r="A53" i="4" s="1"/>
  <c r="A54" i="4" s="1"/>
  <c r="E49" i="4"/>
  <c r="F49" i="4" s="1"/>
  <c r="F40" i="4"/>
  <c r="E40" i="4"/>
  <c r="D38" i="4"/>
  <c r="D41" i="4"/>
  <c r="E41" i="4" s="1"/>
  <c r="C38" i="4"/>
  <c r="C41" i="4"/>
  <c r="E37" i="4"/>
  <c r="F37" i="4" s="1"/>
  <c r="F36" i="4"/>
  <c r="E36" i="4"/>
  <c r="E33" i="4"/>
  <c r="F33" i="4" s="1"/>
  <c r="E32" i="4"/>
  <c r="F32" i="4" s="1"/>
  <c r="F31" i="4"/>
  <c r="E31" i="4"/>
  <c r="D29" i="4"/>
  <c r="C29" i="4"/>
  <c r="E28" i="4"/>
  <c r="F28" i="4" s="1"/>
  <c r="E27" i="4"/>
  <c r="F27" i="4" s="1"/>
  <c r="F26" i="4"/>
  <c r="E26" i="4"/>
  <c r="F25" i="4"/>
  <c r="E25" i="4"/>
  <c r="D22" i="4"/>
  <c r="C22" i="4"/>
  <c r="E22" i="4" s="1"/>
  <c r="C43" i="4"/>
  <c r="F21" i="4"/>
  <c r="E21" i="4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F13" i="4"/>
  <c r="E13" i="4"/>
  <c r="D108" i="22"/>
  <c r="D109" i="22"/>
  <c r="C108" i="22"/>
  <c r="C103" i="22"/>
  <c r="D22" i="22"/>
  <c r="C23" i="22"/>
  <c r="E23" i="22"/>
  <c r="E54" i="22" s="1"/>
  <c r="D33" i="22"/>
  <c r="C34" i="22"/>
  <c r="E34" i="22"/>
  <c r="D101" i="22"/>
  <c r="D103" i="22"/>
  <c r="C102" i="22"/>
  <c r="E102" i="22"/>
  <c r="C22" i="22"/>
  <c r="E22" i="22"/>
  <c r="D23" i="22"/>
  <c r="C41" i="20"/>
  <c r="F40" i="20"/>
  <c r="D41" i="20"/>
  <c r="E39" i="20"/>
  <c r="E19" i="20"/>
  <c r="F19" i="20"/>
  <c r="E43" i="20"/>
  <c r="C38" i="19"/>
  <c r="C127" i="19" s="1"/>
  <c r="C129" i="19"/>
  <c r="C133" i="19"/>
  <c r="C22" i="19"/>
  <c r="D192" i="17"/>
  <c r="E230" i="17"/>
  <c r="F230" i="17" s="1"/>
  <c r="E238" i="17"/>
  <c r="E294" i="17"/>
  <c r="E295" i="17"/>
  <c r="E296" i="17"/>
  <c r="F296" i="17" s="1"/>
  <c r="E297" i="17"/>
  <c r="E298" i="17"/>
  <c r="E299" i="17"/>
  <c r="D283" i="18"/>
  <c r="C33" i="18"/>
  <c r="E33" i="18" s="1"/>
  <c r="E32" i="18"/>
  <c r="D43" i="18"/>
  <c r="D44" i="18" s="1"/>
  <c r="E54" i="18"/>
  <c r="C289" i="18"/>
  <c r="E289" i="18" s="1"/>
  <c r="C71" i="18"/>
  <c r="C76" i="18" s="1"/>
  <c r="C77" i="18" s="1"/>
  <c r="C65" i="18"/>
  <c r="C294" i="18" s="1"/>
  <c r="E294" i="18" s="1"/>
  <c r="E60" i="18"/>
  <c r="E70" i="18"/>
  <c r="E17" i="17"/>
  <c r="F17" i="17" s="1"/>
  <c r="E52" i="17"/>
  <c r="E53" i="17"/>
  <c r="E67" i="17"/>
  <c r="C44" i="18"/>
  <c r="D66" i="18"/>
  <c r="E65" i="18"/>
  <c r="E69" i="18"/>
  <c r="D157" i="18"/>
  <c r="E157" i="18" s="1"/>
  <c r="E156" i="18"/>
  <c r="C283" i="18"/>
  <c r="D294" i="18"/>
  <c r="C144" i="18"/>
  <c r="E151" i="18"/>
  <c r="D163" i="18"/>
  <c r="C175" i="18"/>
  <c r="C261" i="18"/>
  <c r="C189" i="18"/>
  <c r="E189" i="18"/>
  <c r="E188" i="18"/>
  <c r="E260" i="18"/>
  <c r="E229" i="18"/>
  <c r="D241" i="18"/>
  <c r="E243" i="18"/>
  <c r="E245" i="18"/>
  <c r="D252" i="18"/>
  <c r="D253" i="18"/>
  <c r="E253" i="18" s="1"/>
  <c r="E302" i="18"/>
  <c r="C303" i="18"/>
  <c r="C306" i="18" s="1"/>
  <c r="C310" i="18" s="1"/>
  <c r="E139" i="18"/>
  <c r="E261" i="18"/>
  <c r="D234" i="18"/>
  <c r="E234" i="18" s="1"/>
  <c r="C253" i="18"/>
  <c r="E316" i="18"/>
  <c r="E195" i="18"/>
  <c r="C210" i="18"/>
  <c r="E210" i="18"/>
  <c r="D211" i="18"/>
  <c r="E211" i="18" s="1"/>
  <c r="E215" i="18"/>
  <c r="E219" i="18"/>
  <c r="E221" i="18"/>
  <c r="D222" i="18"/>
  <c r="C252" i="18"/>
  <c r="C254" i="18"/>
  <c r="E265" i="18"/>
  <c r="D303" i="18"/>
  <c r="D306" i="18" s="1"/>
  <c r="D310" i="18" s="1"/>
  <c r="E314" i="18"/>
  <c r="D326" i="18"/>
  <c r="E205" i="18"/>
  <c r="E216" i="18"/>
  <c r="E220" i="18"/>
  <c r="D223" i="18"/>
  <c r="D247" i="18" s="1"/>
  <c r="E233" i="18"/>
  <c r="E251" i="18"/>
  <c r="E31" i="17"/>
  <c r="F31" i="17" s="1"/>
  <c r="D32" i="17"/>
  <c r="D90" i="17"/>
  <c r="E48" i="17"/>
  <c r="F48" i="17"/>
  <c r="C61" i="17"/>
  <c r="F68" i="17"/>
  <c r="F111" i="17"/>
  <c r="C194" i="17"/>
  <c r="C138" i="17"/>
  <c r="C32" i="17"/>
  <c r="C125" i="17"/>
  <c r="C90" i="17"/>
  <c r="E60" i="17"/>
  <c r="F60" i="17" s="1"/>
  <c r="D61" i="17"/>
  <c r="D103" i="17"/>
  <c r="D207" i="17"/>
  <c r="D138" i="17"/>
  <c r="E137" i="17"/>
  <c r="F137" i="17" s="1"/>
  <c r="D21" i="17"/>
  <c r="F24" i="17"/>
  <c r="F29" i="17"/>
  <c r="F36" i="17"/>
  <c r="F44" i="17"/>
  <c r="F52" i="17"/>
  <c r="F53" i="17"/>
  <c r="F67" i="17"/>
  <c r="E88" i="17"/>
  <c r="F88" i="17"/>
  <c r="E109" i="17"/>
  <c r="F109" i="17"/>
  <c r="E123" i="17"/>
  <c r="F123" i="17"/>
  <c r="E136" i="17"/>
  <c r="F136" i="17" s="1"/>
  <c r="E144" i="17"/>
  <c r="F144" i="17"/>
  <c r="E158" i="17"/>
  <c r="C172" i="17"/>
  <c r="F172" i="17" s="1"/>
  <c r="E179" i="17"/>
  <c r="C181" i="17"/>
  <c r="F181" i="17"/>
  <c r="C277" i="17"/>
  <c r="E277" i="17" s="1"/>
  <c r="C261" i="17"/>
  <c r="E261" i="17" s="1"/>
  <c r="C254" i="17"/>
  <c r="C214" i="17"/>
  <c r="C206" i="17"/>
  <c r="E188" i="17"/>
  <c r="F188" i="17" s="1"/>
  <c r="C190" i="17"/>
  <c r="C280" i="17"/>
  <c r="C264" i="17"/>
  <c r="C200" i="17"/>
  <c r="E191" i="17"/>
  <c r="F191" i="17"/>
  <c r="C286" i="17"/>
  <c r="E239" i="17"/>
  <c r="F239" i="17" s="1"/>
  <c r="C282" i="17"/>
  <c r="E20" i="17"/>
  <c r="F20" i="17"/>
  <c r="C21" i="17"/>
  <c r="E30" i="17"/>
  <c r="F30" i="17" s="1"/>
  <c r="C304" i="17"/>
  <c r="E35" i="17"/>
  <c r="F35" i="17"/>
  <c r="C37" i="17"/>
  <c r="E47" i="17"/>
  <c r="F47" i="17"/>
  <c r="E59" i="17"/>
  <c r="F59" i="17" s="1"/>
  <c r="E66" i="17"/>
  <c r="F66" i="17"/>
  <c r="E76" i="17"/>
  <c r="F76" i="17"/>
  <c r="D124" i="17"/>
  <c r="E124" i="17" s="1"/>
  <c r="F124" i="17" s="1"/>
  <c r="E171" i="17"/>
  <c r="E180" i="17"/>
  <c r="C278" i="17"/>
  <c r="C262" i="17"/>
  <c r="C255" i="17"/>
  <c r="C215" i="17"/>
  <c r="E189" i="17"/>
  <c r="F189" i="17" s="1"/>
  <c r="C192" i="17"/>
  <c r="D279" i="17"/>
  <c r="D190" i="17"/>
  <c r="E190" i="17" s="1"/>
  <c r="F190" i="17" s="1"/>
  <c r="D290" i="17"/>
  <c r="E290" i="17" s="1"/>
  <c r="F290" i="17" s="1"/>
  <c r="D274" i="17"/>
  <c r="D199" i="17"/>
  <c r="E199" i="17" s="1"/>
  <c r="D200" i="17"/>
  <c r="E200" i="17" s="1"/>
  <c r="F200" i="17" s="1"/>
  <c r="D283" i="17"/>
  <c r="D284" i="17"/>
  <c r="D267" i="17"/>
  <c r="D285" i="17"/>
  <c r="E285" i="17" s="1"/>
  <c r="F285" i="17"/>
  <c r="D269" i="17"/>
  <c r="D270" i="17" s="1"/>
  <c r="E270" i="17" s="1"/>
  <c r="D205" i="17"/>
  <c r="E205" i="17" s="1"/>
  <c r="F205" i="17" s="1"/>
  <c r="D206" i="17"/>
  <c r="D214" i="17"/>
  <c r="D215" i="17"/>
  <c r="F223" i="17"/>
  <c r="F238" i="17"/>
  <c r="E306" i="17"/>
  <c r="D261" i="17"/>
  <c r="D262" i="17"/>
  <c r="D263" i="17" s="1"/>
  <c r="D264" i="17"/>
  <c r="D300" i="17" s="1"/>
  <c r="E280" i="17"/>
  <c r="E198" i="17"/>
  <c r="F198" i="17"/>
  <c r="C199" i="17"/>
  <c r="E203" i="17"/>
  <c r="F203" i="17"/>
  <c r="E204" i="17"/>
  <c r="F204" i="17"/>
  <c r="C205" i="17"/>
  <c r="E226" i="17"/>
  <c r="F226" i="17"/>
  <c r="E237" i="17"/>
  <c r="F237" i="17" s="1"/>
  <c r="E250" i="17"/>
  <c r="C267" i="17"/>
  <c r="C269" i="17"/>
  <c r="C274" i="17"/>
  <c r="C300" i="17" s="1"/>
  <c r="F294" i="17"/>
  <c r="F295" i="17"/>
  <c r="F297" i="17"/>
  <c r="F298" i="17"/>
  <c r="F299" i="17"/>
  <c r="G36" i="14"/>
  <c r="G38" i="14"/>
  <c r="G40" i="14" s="1"/>
  <c r="I33" i="14"/>
  <c r="I36" i="14" s="1"/>
  <c r="I38" i="14" s="1"/>
  <c r="I40" i="14" s="1"/>
  <c r="H33" i="14"/>
  <c r="H36" i="14" s="1"/>
  <c r="H38" i="14" s="1"/>
  <c r="H40" i="14" s="1"/>
  <c r="F36" i="14"/>
  <c r="F38" i="14"/>
  <c r="F40" i="14" s="1"/>
  <c r="I17" i="14"/>
  <c r="D31" i="14"/>
  <c r="F31" i="14"/>
  <c r="H31" i="14"/>
  <c r="H17" i="14"/>
  <c r="D21" i="13"/>
  <c r="D15" i="13"/>
  <c r="C17" i="13"/>
  <c r="C28" i="13" s="1"/>
  <c r="C70" i="13" s="1"/>
  <c r="C72" i="13" s="1"/>
  <c r="C69" i="13" s="1"/>
  <c r="D48" i="13"/>
  <c r="D42" i="13" s="1"/>
  <c r="C20" i="12"/>
  <c r="E15" i="12"/>
  <c r="F15" i="12" s="1"/>
  <c r="E41" i="11"/>
  <c r="F75" i="11"/>
  <c r="F41" i="11"/>
  <c r="E22" i="11"/>
  <c r="F22" i="11"/>
  <c r="E38" i="11"/>
  <c r="F38" i="11" s="1"/>
  <c r="E56" i="11"/>
  <c r="F56" i="11" s="1"/>
  <c r="E61" i="11"/>
  <c r="F61" i="11"/>
  <c r="E112" i="10"/>
  <c r="F112" i="10" s="1"/>
  <c r="E113" i="10"/>
  <c r="F113" i="10" s="1"/>
  <c r="F206" i="9"/>
  <c r="E198" i="9"/>
  <c r="F198" i="9"/>
  <c r="E199" i="9"/>
  <c r="F199" i="9"/>
  <c r="D21" i="8"/>
  <c r="C21" i="8"/>
  <c r="E153" i="8"/>
  <c r="E156" i="8"/>
  <c r="E154" i="8"/>
  <c r="D156" i="8"/>
  <c r="D154" i="8"/>
  <c r="D152" i="8"/>
  <c r="D157" i="8"/>
  <c r="D155" i="8"/>
  <c r="D153" i="8"/>
  <c r="D158" i="8" s="1"/>
  <c r="E140" i="8"/>
  <c r="E135" i="8"/>
  <c r="C157" i="8"/>
  <c r="C155" i="8"/>
  <c r="C153" i="8"/>
  <c r="C156" i="8"/>
  <c r="C154" i="8"/>
  <c r="C152" i="8"/>
  <c r="D15" i="8"/>
  <c r="C17" i="8"/>
  <c r="C112" i="8" s="1"/>
  <c r="C111" i="8" s="1"/>
  <c r="E17" i="8"/>
  <c r="C43" i="8"/>
  <c r="E43" i="8"/>
  <c r="D49" i="8"/>
  <c r="C53" i="8"/>
  <c r="E53" i="8"/>
  <c r="D77" i="8"/>
  <c r="D71" i="8"/>
  <c r="C49" i="8"/>
  <c r="E49" i="8"/>
  <c r="E90" i="7"/>
  <c r="F90" i="7" s="1"/>
  <c r="E183" i="7"/>
  <c r="F183" i="7"/>
  <c r="E41" i="6"/>
  <c r="F41" i="6" s="1"/>
  <c r="E84" i="6"/>
  <c r="F84" i="6" s="1"/>
  <c r="F73" i="4"/>
  <c r="F22" i="4"/>
  <c r="E38" i="4"/>
  <c r="F38" i="4" s="1"/>
  <c r="F56" i="4"/>
  <c r="D54" i="22"/>
  <c r="D46" i="22"/>
  <c r="D40" i="22"/>
  <c r="D36" i="22"/>
  <c r="D30" i="22"/>
  <c r="D48" i="22" s="1"/>
  <c r="D111" i="22"/>
  <c r="C53" i="22"/>
  <c r="C45" i="22"/>
  <c r="C39" i="22"/>
  <c r="C35" i="22"/>
  <c r="C29" i="22"/>
  <c r="C55" i="22" s="1"/>
  <c r="C54" i="22"/>
  <c r="C46" i="22"/>
  <c r="C40" i="22"/>
  <c r="C30" i="22"/>
  <c r="E30" i="22"/>
  <c r="E48" i="22" s="1"/>
  <c r="D110" i="22"/>
  <c r="D53" i="22"/>
  <c r="D45" i="22"/>
  <c r="D39" i="22"/>
  <c r="D35" i="22"/>
  <c r="D29" i="22"/>
  <c r="F43" i="20"/>
  <c r="C259" i="18"/>
  <c r="C263" i="18" s="1"/>
  <c r="C264" i="18" s="1"/>
  <c r="C266" i="18" s="1"/>
  <c r="E326" i="18"/>
  <c r="D330" i="18"/>
  <c r="E330" i="18" s="1"/>
  <c r="E303" i="18"/>
  <c r="D246" i="18"/>
  <c r="C211" i="18"/>
  <c r="C235" i="18"/>
  <c r="C234" i="18"/>
  <c r="E71" i="18"/>
  <c r="C258" i="18"/>
  <c r="C100" i="18"/>
  <c r="C98" i="18"/>
  <c r="C96" i="18"/>
  <c r="C102" i="18" s="1"/>
  <c r="C89" i="18"/>
  <c r="C87" i="18"/>
  <c r="C85" i="18"/>
  <c r="C83" i="18"/>
  <c r="C101" i="18"/>
  <c r="C99" i="18"/>
  <c r="C97" i="18"/>
  <c r="C95" i="18"/>
  <c r="C103" i="18"/>
  <c r="C88" i="18"/>
  <c r="C86" i="18"/>
  <c r="C84" i="18"/>
  <c r="C90" i="18"/>
  <c r="D99" i="18"/>
  <c r="E99" i="18"/>
  <c r="D97" i="18"/>
  <c r="E97" i="18" s="1"/>
  <c r="D95" i="18"/>
  <c r="D84" i="18"/>
  <c r="E84" i="18" s="1"/>
  <c r="D100" i="18"/>
  <c r="E100" i="18" s="1"/>
  <c r="D98" i="18"/>
  <c r="D87" i="18"/>
  <c r="E87" i="18" s="1"/>
  <c r="D295" i="18"/>
  <c r="E43" i="18"/>
  <c r="E283" i="18"/>
  <c r="E252" i="18"/>
  <c r="C180" i="18"/>
  <c r="E264" i="17"/>
  <c r="F264" i="17" s="1"/>
  <c r="D255" i="17"/>
  <c r="E255" i="17"/>
  <c r="F255" i="17" s="1"/>
  <c r="C270" i="17"/>
  <c r="D286" i="17"/>
  <c r="E286" i="17"/>
  <c r="E283" i="17"/>
  <c r="F283" i="17" s="1"/>
  <c r="E274" i="17"/>
  <c r="F274" i="17" s="1"/>
  <c r="D287" i="17"/>
  <c r="C196" i="17"/>
  <c r="C49" i="17"/>
  <c r="C126" i="17"/>
  <c r="C271" i="17"/>
  <c r="C268" i="17"/>
  <c r="E172" i="17"/>
  <c r="D161" i="17"/>
  <c r="D126" i="17"/>
  <c r="D91" i="17"/>
  <c r="E21" i="17"/>
  <c r="F21" i="17"/>
  <c r="D49" i="17"/>
  <c r="E181" i="17"/>
  <c r="C62" i="17"/>
  <c r="C140" i="17"/>
  <c r="E90" i="17"/>
  <c r="F90" i="17"/>
  <c r="E37" i="17"/>
  <c r="F37" i="17" s="1"/>
  <c r="D271" i="17"/>
  <c r="D268" i="17"/>
  <c r="E268" i="17"/>
  <c r="F268" i="17" s="1"/>
  <c r="F261" i="17"/>
  <c r="E267" i="17"/>
  <c r="F267" i="17" s="1"/>
  <c r="D288" i="17"/>
  <c r="F280" i="17"/>
  <c r="C281" i="17"/>
  <c r="F277" i="17"/>
  <c r="C287" i="17"/>
  <c r="C284" i="17"/>
  <c r="D208" i="17"/>
  <c r="D209" i="17" s="1"/>
  <c r="D174" i="17"/>
  <c r="D139" i="17"/>
  <c r="E61" i="17"/>
  <c r="F61" i="17" s="1"/>
  <c r="D125" i="17"/>
  <c r="E125" i="17" s="1"/>
  <c r="F125" i="17" s="1"/>
  <c r="D175" i="17"/>
  <c r="D140" i="17"/>
  <c r="E32" i="17"/>
  <c r="F32" i="17"/>
  <c r="D62" i="17"/>
  <c r="E62" i="17" s="1"/>
  <c r="F62" i="17" s="1"/>
  <c r="D24" i="13"/>
  <c r="D20" i="13" s="1"/>
  <c r="D17" i="13"/>
  <c r="D28" i="13" s="1"/>
  <c r="D22" i="13" s="1"/>
  <c r="C34" i="12"/>
  <c r="D24" i="8"/>
  <c r="D20" i="8"/>
  <c r="D17" i="8"/>
  <c r="C28" i="8"/>
  <c r="C22" i="8" s="1"/>
  <c r="C158" i="8"/>
  <c r="D112" i="22"/>
  <c r="D55" i="22"/>
  <c r="D47" i="22"/>
  <c r="D37" i="22"/>
  <c r="C48" i="22"/>
  <c r="C38" i="22"/>
  <c r="C47" i="22"/>
  <c r="C37" i="22"/>
  <c r="C112" i="22"/>
  <c r="D56" i="22"/>
  <c r="D38" i="22"/>
  <c r="D113" i="22"/>
  <c r="C127" i="18"/>
  <c r="C125" i="18"/>
  <c r="C123" i="18"/>
  <c r="C114" i="18"/>
  <c r="C112" i="18"/>
  <c r="C110" i="18"/>
  <c r="C122" i="18"/>
  <c r="C109" i="18"/>
  <c r="D141" i="17"/>
  <c r="D63" i="17"/>
  <c r="E63" i="17" s="1"/>
  <c r="F63" i="17" s="1"/>
  <c r="E284" i="17"/>
  <c r="F284" i="17"/>
  <c r="D92" i="17"/>
  <c r="D162" i="17"/>
  <c r="D291" i="17"/>
  <c r="D289" i="17"/>
  <c r="E287" i="17"/>
  <c r="F287" i="17"/>
  <c r="C141" i="17"/>
  <c r="C63" i="17"/>
  <c r="D127" i="17"/>
  <c r="D148" i="17" s="1"/>
  <c r="D28" i="8"/>
  <c r="D99" i="8" s="1"/>
  <c r="D101" i="8" s="1"/>
  <c r="D98" i="8" s="1"/>
  <c r="D112" i="8"/>
  <c r="D111" i="8" s="1"/>
  <c r="D322" i="17"/>
  <c r="D305" i="17"/>
  <c r="D309" i="17"/>
  <c r="C135" i="8" l="1"/>
  <c r="C139" i="8"/>
  <c r="C138" i="8"/>
  <c r="C136" i="8"/>
  <c r="C137" i="8"/>
  <c r="C140" i="8"/>
  <c r="E110" i="22"/>
  <c r="F75" i="4"/>
  <c r="E89" i="6"/>
  <c r="F89" i="6" s="1"/>
  <c r="F76" i="9"/>
  <c r="E76" i="9"/>
  <c r="E215" i="17"/>
  <c r="F215" i="17" s="1"/>
  <c r="E101" i="22"/>
  <c r="E103" i="22" s="1"/>
  <c r="E77" i="22"/>
  <c r="D70" i="13"/>
  <c r="D72" i="13" s="1"/>
  <c r="D69" i="13" s="1"/>
  <c r="D183" i="17"/>
  <c r="C127" i="17"/>
  <c r="E126" i="17"/>
  <c r="F126" i="17" s="1"/>
  <c r="F270" i="17"/>
  <c r="E35" i="22"/>
  <c r="E300" i="17"/>
  <c r="F300" i="17" s="1"/>
  <c r="D216" i="17"/>
  <c r="E216" i="17" s="1"/>
  <c r="E214" i="17"/>
  <c r="D21" i="5"/>
  <c r="E85" i="6"/>
  <c r="F85" i="6"/>
  <c r="F92" i="6"/>
  <c r="C207" i="9"/>
  <c r="F200" i="9"/>
  <c r="E200" i="9"/>
  <c r="C99" i="8"/>
  <c r="C101" i="8" s="1"/>
  <c r="E49" i="17"/>
  <c r="D50" i="17"/>
  <c r="C173" i="17"/>
  <c r="F49" i="17"/>
  <c r="C50" i="17"/>
  <c r="C113" i="22"/>
  <c r="C56" i="22"/>
  <c r="E16" i="5"/>
  <c r="E206" i="17"/>
  <c r="E310" i="18"/>
  <c r="D258" i="18"/>
  <c r="D88" i="18"/>
  <c r="E88" i="18" s="1"/>
  <c r="D83" i="18"/>
  <c r="D101" i="18"/>
  <c r="E101" i="18" s="1"/>
  <c r="D96" i="18"/>
  <c r="E44" i="18"/>
  <c r="D86" i="18"/>
  <c r="E86" i="18" s="1"/>
  <c r="D89" i="18"/>
  <c r="E89" i="18" s="1"/>
  <c r="D85" i="18"/>
  <c r="E65" i="4"/>
  <c r="F65" i="4" s="1"/>
  <c r="D52" i="6"/>
  <c r="E52" i="6" s="1"/>
  <c r="F52" i="6" s="1"/>
  <c r="F47" i="6"/>
  <c r="C98" i="8"/>
  <c r="D160" i="17"/>
  <c r="E58" i="17"/>
  <c r="F58" i="17"/>
  <c r="D235" i="18"/>
  <c r="E235" i="18" s="1"/>
  <c r="F43" i="4"/>
  <c r="E269" i="17"/>
  <c r="F269" i="17" s="1"/>
  <c r="F199" i="17"/>
  <c r="F214" i="17"/>
  <c r="F41" i="5"/>
  <c r="E112" i="8"/>
  <c r="E111" i="8" s="1"/>
  <c r="E28" i="8"/>
  <c r="E99" i="8" s="1"/>
  <c r="E101" i="8" s="1"/>
  <c r="E98" i="8" s="1"/>
  <c r="C263" i="17"/>
  <c r="E263" i="17" s="1"/>
  <c r="C272" i="17"/>
  <c r="D105" i="17"/>
  <c r="D104" i="17"/>
  <c r="E138" i="17"/>
  <c r="F138" i="17"/>
  <c r="C139" i="17"/>
  <c r="E139" i="17" s="1"/>
  <c r="C145" i="18"/>
  <c r="C168" i="18"/>
  <c r="E192" i="17"/>
  <c r="F192" i="17" s="1"/>
  <c r="D193" i="17"/>
  <c r="E41" i="20"/>
  <c r="F41" i="20" s="1"/>
  <c r="F39" i="20"/>
  <c r="C111" i="22"/>
  <c r="C36" i="22"/>
  <c r="F24" i="10"/>
  <c r="E24" i="10"/>
  <c r="E130" i="17"/>
  <c r="F130" i="17"/>
  <c r="C60" i="19"/>
  <c r="C64" i="19"/>
  <c r="E21" i="8"/>
  <c r="F36" i="9"/>
  <c r="E36" i="9"/>
  <c r="F286" i="17"/>
  <c r="F22" i="20"/>
  <c r="E25" i="20"/>
  <c r="E306" i="18"/>
  <c r="E98" i="18"/>
  <c r="C267" i="18"/>
  <c r="E46" i="22"/>
  <c r="E40" i="22"/>
  <c r="E36" i="22"/>
  <c r="E111" i="22"/>
  <c r="E138" i="8"/>
  <c r="E136" i="8"/>
  <c r="E141" i="8" s="1"/>
  <c r="E139" i="8"/>
  <c r="C322" i="17"/>
  <c r="E271" i="17"/>
  <c r="F271" i="17" s="1"/>
  <c r="D304" i="17"/>
  <c r="C216" i="17"/>
  <c r="D254" i="17"/>
  <c r="C91" i="18"/>
  <c r="C105" i="18" s="1"/>
  <c r="E262" i="17"/>
  <c r="F262" i="17" s="1"/>
  <c r="E278" i="17"/>
  <c r="F278" i="17" s="1"/>
  <c r="C279" i="17"/>
  <c r="E279" i="17" s="1"/>
  <c r="C288" i="17"/>
  <c r="C91" i="17"/>
  <c r="C207" i="17"/>
  <c r="D254" i="18"/>
  <c r="E254" i="18" s="1"/>
  <c r="C126" i="18"/>
  <c r="C128" i="18" s="1"/>
  <c r="C113" i="18"/>
  <c r="C121" i="18"/>
  <c r="C124" i="18"/>
  <c r="C111" i="18"/>
  <c r="C116" i="18" s="1"/>
  <c r="C117" i="18" s="1"/>
  <c r="C115" i="18"/>
  <c r="E29" i="4"/>
  <c r="F29" i="4" s="1"/>
  <c r="D43" i="4"/>
  <c r="E43" i="4" s="1"/>
  <c r="F41" i="4"/>
  <c r="E124" i="6"/>
  <c r="F124" i="6" s="1"/>
  <c r="E203" i="9"/>
  <c r="F203" i="9" s="1"/>
  <c r="C102" i="17"/>
  <c r="E101" i="17"/>
  <c r="F101" i="17" s="1"/>
  <c r="E21" i="18"/>
  <c r="D22" i="18"/>
  <c r="E53" i="22"/>
  <c r="E45" i="22"/>
  <c r="E39" i="22"/>
  <c r="F206" i="17"/>
  <c r="E77" i="8"/>
  <c r="E71" i="8" s="1"/>
  <c r="E88" i="8"/>
  <c r="E90" i="8" s="1"/>
  <c r="E86" i="8" s="1"/>
  <c r="D20" i="12"/>
  <c r="E17" i="12"/>
  <c r="F17" i="12" s="1"/>
  <c r="F141" i="17"/>
  <c r="E38" i="22"/>
  <c r="E56" i="22"/>
  <c r="F33" i="5"/>
  <c r="E157" i="8"/>
  <c r="E155" i="8"/>
  <c r="E152" i="8"/>
  <c r="D22" i="8"/>
  <c r="E141" i="17"/>
  <c r="D176" i="17"/>
  <c r="E95" i="18"/>
  <c r="E113" i="22"/>
  <c r="C42" i="12"/>
  <c r="E140" i="17"/>
  <c r="F140" i="17" s="1"/>
  <c r="D272" i="17"/>
  <c r="E272" i="17" s="1"/>
  <c r="E29" i="22"/>
  <c r="C195" i="17"/>
  <c r="C18" i="5"/>
  <c r="E18" i="5" s="1"/>
  <c r="F16" i="5"/>
  <c r="F68" i="6"/>
  <c r="E68" i="6"/>
  <c r="F59" i="10"/>
  <c r="E59" i="10"/>
  <c r="E229" i="17"/>
  <c r="F229" i="17" s="1"/>
  <c r="C242" i="18"/>
  <c r="C217" i="18"/>
  <c r="C222" i="18"/>
  <c r="E218" i="18"/>
  <c r="F49" i="6"/>
  <c r="D175" i="18"/>
  <c r="E175" i="18" s="1"/>
  <c r="D144" i="18"/>
  <c r="F38" i="6"/>
  <c r="F137" i="6"/>
  <c r="F167" i="7"/>
  <c r="F127" i="9"/>
  <c r="E127" i="9"/>
  <c r="E70" i="15"/>
  <c r="F70" i="15"/>
  <c r="E55" i="18"/>
  <c r="E72" i="18"/>
  <c r="D210" i="17"/>
  <c r="C110" i="22"/>
  <c r="C66" i="18"/>
  <c r="E137" i="6"/>
  <c r="E23" i="15"/>
  <c r="F23" i="15"/>
  <c r="E50" i="15"/>
  <c r="E107" i="15"/>
  <c r="F107" i="15" s="1"/>
  <c r="F250" i="17"/>
  <c r="F307" i="17"/>
  <c r="F43" i="6"/>
  <c r="C79" i="8"/>
  <c r="E115" i="9"/>
  <c r="F115" i="9" s="1"/>
  <c r="E94" i="17"/>
  <c r="F94" i="17" s="1"/>
  <c r="F158" i="17"/>
  <c r="C159" i="17"/>
  <c r="E227" i="17"/>
  <c r="F227" i="17"/>
  <c r="D95" i="6"/>
  <c r="E153" i="6"/>
  <c r="F153" i="6" s="1"/>
  <c r="E24" i="7"/>
  <c r="F24" i="7" s="1"/>
  <c r="E41" i="7"/>
  <c r="F41" i="7" s="1"/>
  <c r="F121" i="7"/>
  <c r="D188" i="7"/>
  <c r="D149" i="8"/>
  <c r="E24" i="9"/>
  <c r="F24" i="9" s="1"/>
  <c r="F50" i="9"/>
  <c r="E15" i="13"/>
  <c r="E25" i="13"/>
  <c r="E27" i="13" s="1"/>
  <c r="C284" i="18"/>
  <c r="C65" i="19"/>
  <c r="C114" i="19" s="1"/>
  <c r="C116" i="19" s="1"/>
  <c r="C119" i="19" s="1"/>
  <c r="C123" i="19" s="1"/>
  <c r="E92" i="6"/>
  <c r="E109" i="8"/>
  <c r="E106" i="8" s="1"/>
  <c r="F23" i="9"/>
  <c r="E141" i="9"/>
  <c r="E207" i="9"/>
  <c r="D43" i="11"/>
  <c r="E43" i="11" s="1"/>
  <c r="F43" i="11" s="1"/>
  <c r="F120" i="17"/>
  <c r="C146" i="17"/>
  <c r="E155" i="17"/>
  <c r="D242" i="18"/>
  <c r="F25" i="20"/>
  <c r="E90" i="6"/>
  <c r="F90" i="6" s="1"/>
  <c r="F179" i="6"/>
  <c r="E75" i="9"/>
  <c r="F201" i="9"/>
  <c r="E201" i="9"/>
  <c r="F74" i="15"/>
  <c r="E75" i="15"/>
  <c r="F75" i="15" s="1"/>
  <c r="E135" i="17"/>
  <c r="F135" i="17"/>
  <c r="E145" i="17"/>
  <c r="F145" i="17" s="1"/>
  <c r="C95" i="6"/>
  <c r="E88" i="6"/>
  <c r="F88" i="6" s="1"/>
  <c r="F18" i="7"/>
  <c r="F130" i="7"/>
  <c r="C188" i="7"/>
  <c r="F49" i="9"/>
  <c r="F192" i="9"/>
  <c r="F32" i="12"/>
  <c r="E33" i="14"/>
  <c r="E36" i="14" s="1"/>
  <c r="E38" i="14" s="1"/>
  <c r="E40" i="14" s="1"/>
  <c r="E31" i="14"/>
  <c r="E37" i="18"/>
  <c r="E301" i="18"/>
  <c r="E167" i="9"/>
  <c r="E205" i="9"/>
  <c r="F205" i="9" s="1"/>
  <c r="E40" i="12"/>
  <c r="F40" i="12" s="1"/>
  <c r="C59" i="13"/>
  <c r="C61" i="13" s="1"/>
  <c r="C57" i="13" s="1"/>
  <c r="E227" i="18"/>
  <c r="D46" i="20"/>
  <c r="E45" i="15"/>
  <c r="F45" i="15"/>
  <c r="E65" i="15"/>
  <c r="F65" i="15"/>
  <c r="E239" i="18"/>
  <c r="E292" i="18"/>
  <c r="E20" i="20"/>
  <c r="F20" i="20" s="1"/>
  <c r="F89" i="9"/>
  <c r="E140" i="9"/>
  <c r="E179" i="9"/>
  <c r="E208" i="9"/>
  <c r="F208" i="9" s="1"/>
  <c r="F92" i="15"/>
  <c r="E120" i="17"/>
  <c r="C163" i="18"/>
  <c r="E163" i="18" s="1"/>
  <c r="E36" i="20"/>
  <c r="F36" i="20" s="1"/>
  <c r="E19" i="21"/>
  <c r="F19" i="21" s="1"/>
  <c r="E36" i="10"/>
  <c r="F36" i="10" s="1"/>
  <c r="C122" i="10"/>
  <c r="E122" i="10" s="1"/>
  <c r="C27" i="13"/>
  <c r="E37" i="15"/>
  <c r="F37" i="15" s="1"/>
  <c r="E89" i="17"/>
  <c r="F89" i="17" s="1"/>
  <c r="F95" i="17"/>
  <c r="D146" i="17"/>
  <c r="E146" i="17" s="1"/>
  <c r="D76" i="18"/>
  <c r="E45" i="20"/>
  <c r="E46" i="20" s="1"/>
  <c r="F46" i="20" s="1"/>
  <c r="D121" i="10"/>
  <c r="E121" i="10" s="1"/>
  <c r="F121" i="10" s="1"/>
  <c r="E21" i="13" l="1"/>
  <c r="D34" i="12"/>
  <c r="E20" i="12"/>
  <c r="F20" i="12" s="1"/>
  <c r="D90" i="18"/>
  <c r="E90" i="18" s="1"/>
  <c r="E85" i="18"/>
  <c r="C70" i="17"/>
  <c r="C223" i="18"/>
  <c r="E222" i="18"/>
  <c r="C246" i="18"/>
  <c r="E246" i="18" s="1"/>
  <c r="C49" i="12"/>
  <c r="E158" i="8"/>
  <c r="C92" i="17"/>
  <c r="E91" i="17"/>
  <c r="F91" i="17" s="1"/>
  <c r="E83" i="18"/>
  <c r="C22" i="13"/>
  <c r="C20" i="13"/>
  <c r="C21" i="13"/>
  <c r="D211" i="17"/>
  <c r="E217" i="18"/>
  <c r="C241" i="18"/>
  <c r="E241" i="18" s="1"/>
  <c r="C289" i="17"/>
  <c r="E288" i="17"/>
  <c r="F288" i="17" s="1"/>
  <c r="C291" i="17"/>
  <c r="F45" i="20"/>
  <c r="C148" i="17"/>
  <c r="E127" i="17"/>
  <c r="F127" i="17" s="1"/>
  <c r="F18" i="5"/>
  <c r="C21" i="5"/>
  <c r="F279" i="17"/>
  <c r="E24" i="13"/>
  <c r="E20" i="13" s="1"/>
  <c r="E17" i="13"/>
  <c r="E28" i="13" s="1"/>
  <c r="E70" i="13" s="1"/>
  <c r="E72" i="13" s="1"/>
  <c r="E69" i="13" s="1"/>
  <c r="F216" i="17"/>
  <c r="E193" i="17"/>
  <c r="F193" i="17" s="1"/>
  <c r="D282" i="17"/>
  <c r="D194" i="17"/>
  <c r="D266" i="17"/>
  <c r="E95" i="6"/>
  <c r="F95" i="6" s="1"/>
  <c r="D168" i="18"/>
  <c r="E168" i="18" s="1"/>
  <c r="D145" i="18"/>
  <c r="D180" i="18"/>
  <c r="E180" i="18" s="1"/>
  <c r="E144" i="18"/>
  <c r="D323" i="17"/>
  <c r="C174" i="17"/>
  <c r="E173" i="17"/>
  <c r="F173" i="17"/>
  <c r="C175" i="17"/>
  <c r="E112" i="22"/>
  <c r="E47" i="22"/>
  <c r="E55" i="22"/>
  <c r="E37" i="22"/>
  <c r="D70" i="17"/>
  <c r="E70" i="17" s="1"/>
  <c r="E50" i="17"/>
  <c r="F50" i="17" s="1"/>
  <c r="E109" i="22"/>
  <c r="E108" i="22"/>
  <c r="E254" i="17"/>
  <c r="F254" i="17" s="1"/>
  <c r="C268" i="18"/>
  <c r="C271" i="18" s="1"/>
  <c r="C269" i="18"/>
  <c r="D106" i="17"/>
  <c r="E242" i="18"/>
  <c r="E304" i="17"/>
  <c r="F304" i="17" s="1"/>
  <c r="D310" i="17"/>
  <c r="D140" i="8"/>
  <c r="D138" i="8"/>
  <c r="D136" i="8"/>
  <c r="D137" i="8"/>
  <c r="D139" i="8"/>
  <c r="D135" i="8"/>
  <c r="D141" i="8" s="1"/>
  <c r="F102" i="17"/>
  <c r="E102" i="17"/>
  <c r="C103" i="17"/>
  <c r="C208" i="17"/>
  <c r="E207" i="17"/>
  <c r="F207" i="17"/>
  <c r="E22" i="8"/>
  <c r="C181" i="18"/>
  <c r="C169" i="18"/>
  <c r="F272" i="17"/>
  <c r="E96" i="18"/>
  <c r="D102" i="18"/>
  <c r="C141" i="8"/>
  <c r="F122" i="10"/>
  <c r="C129" i="18"/>
  <c r="C131" i="18" s="1"/>
  <c r="E258" i="18"/>
  <c r="D77" i="18"/>
  <c r="E76" i="18"/>
  <c r="D259" i="18"/>
  <c r="D284" i="18"/>
  <c r="E284" i="18" s="1"/>
  <c r="E22" i="18"/>
  <c r="F207" i="9"/>
  <c r="F146" i="17"/>
  <c r="E188" i="7"/>
  <c r="F188" i="7" s="1"/>
  <c r="C160" i="17"/>
  <c r="F159" i="17"/>
  <c r="E159" i="17"/>
  <c r="C295" i="18"/>
  <c r="E295" i="18" s="1"/>
  <c r="E66" i="18"/>
  <c r="C161" i="17"/>
  <c r="D273" i="17"/>
  <c r="E322" i="17"/>
  <c r="F322" i="17"/>
  <c r="F139" i="17"/>
  <c r="F263" i="17"/>
  <c r="D35" i="5"/>
  <c r="C273" i="17"/>
  <c r="C162" i="17" l="1"/>
  <c r="E161" i="17"/>
  <c r="F161" i="17" s="1"/>
  <c r="D265" i="17"/>
  <c r="E265" i="17" s="1"/>
  <c r="F265" i="17" s="1"/>
  <c r="E266" i="17"/>
  <c r="F266" i="17" s="1"/>
  <c r="D43" i="5"/>
  <c r="D196" i="17"/>
  <c r="E194" i="17"/>
  <c r="F194" i="17" s="1"/>
  <c r="D195" i="17"/>
  <c r="E195" i="17" s="1"/>
  <c r="F195" i="17" s="1"/>
  <c r="E282" i="17"/>
  <c r="F282" i="17" s="1"/>
  <c r="D281" i="17"/>
  <c r="E281" i="17" s="1"/>
  <c r="F281" i="17" s="1"/>
  <c r="E148" i="17"/>
  <c r="F148" i="17" s="1"/>
  <c r="E34" i="12"/>
  <c r="F34" i="12" s="1"/>
  <c r="D42" i="12"/>
  <c r="C176" i="17"/>
  <c r="E175" i="17"/>
  <c r="F175" i="17" s="1"/>
  <c r="D169" i="18"/>
  <c r="E169" i="18" s="1"/>
  <c r="D181" i="18"/>
  <c r="E181" i="18" s="1"/>
  <c r="E145" i="18"/>
  <c r="C247" i="18"/>
  <c r="E247" i="18" s="1"/>
  <c r="E223" i="18"/>
  <c r="D91" i="18"/>
  <c r="D113" i="18"/>
  <c r="E113" i="18" s="1"/>
  <c r="D112" i="18"/>
  <c r="E112" i="18" s="1"/>
  <c r="D111" i="18"/>
  <c r="E111" i="18" s="1"/>
  <c r="D110" i="18"/>
  <c r="D109" i="18"/>
  <c r="E77" i="18"/>
  <c r="D122" i="18"/>
  <c r="D121" i="18"/>
  <c r="D114" i="18"/>
  <c r="E114" i="18" s="1"/>
  <c r="D124" i="18"/>
  <c r="E124" i="18" s="1"/>
  <c r="D115" i="18"/>
  <c r="E115" i="18" s="1"/>
  <c r="D126" i="18"/>
  <c r="E126" i="18" s="1"/>
  <c r="D127" i="18"/>
  <c r="E127" i="18" s="1"/>
  <c r="D125" i="18"/>
  <c r="E125" i="18" s="1"/>
  <c r="D123" i="18"/>
  <c r="E123" i="18" s="1"/>
  <c r="E208" i="17"/>
  <c r="C209" i="17"/>
  <c r="C210" i="17"/>
  <c r="F208" i="17"/>
  <c r="D324" i="17"/>
  <c r="D113" i="17"/>
  <c r="E92" i="17"/>
  <c r="F92" i="17" s="1"/>
  <c r="F273" i="17"/>
  <c r="C35" i="5"/>
  <c r="F21" i="5"/>
  <c r="E21" i="5"/>
  <c r="D263" i="18"/>
  <c r="E259" i="18"/>
  <c r="F160" i="17"/>
  <c r="E102" i="18"/>
  <c r="D103" i="18"/>
  <c r="E103" i="18" s="1"/>
  <c r="C105" i="17"/>
  <c r="E103" i="17"/>
  <c r="F103" i="17" s="1"/>
  <c r="C104" i="17"/>
  <c r="E22" i="13"/>
  <c r="E289" i="17"/>
  <c r="F289" i="17" s="1"/>
  <c r="E273" i="17"/>
  <c r="D312" i="17"/>
  <c r="E160" i="17"/>
  <c r="E174" i="17"/>
  <c r="F174" i="17" s="1"/>
  <c r="E291" i="17"/>
  <c r="F291" i="17"/>
  <c r="C305" i="17"/>
  <c r="F70" i="17"/>
  <c r="D49" i="12" l="1"/>
  <c r="E49" i="12" s="1"/>
  <c r="F49" i="12" s="1"/>
  <c r="E42" i="12"/>
  <c r="F42" i="12" s="1"/>
  <c r="E196" i="17"/>
  <c r="F196" i="17" s="1"/>
  <c r="D197" i="17"/>
  <c r="E197" i="17" s="1"/>
  <c r="F305" i="17"/>
  <c r="C309" i="17"/>
  <c r="E305" i="17"/>
  <c r="C106" i="17"/>
  <c r="E105" i="17"/>
  <c r="F105" i="17" s="1"/>
  <c r="F35" i="5"/>
  <c r="C43" i="5"/>
  <c r="E43" i="5" s="1"/>
  <c r="D325" i="17"/>
  <c r="E109" i="18"/>
  <c r="E35" i="5"/>
  <c r="E209" i="17"/>
  <c r="F209" i="17" s="1"/>
  <c r="E110" i="18"/>
  <c r="D116" i="18"/>
  <c r="E116" i="18" s="1"/>
  <c r="D50" i="5"/>
  <c r="E210" i="17"/>
  <c r="F210" i="17" s="1"/>
  <c r="E104" i="17"/>
  <c r="F104" i="17" s="1"/>
  <c r="E263" i="18"/>
  <c r="D264" i="18"/>
  <c r="E121" i="18"/>
  <c r="E91" i="18"/>
  <c r="D105" i="18"/>
  <c r="E105" i="18" s="1"/>
  <c r="F176" i="17"/>
  <c r="C211" i="17"/>
  <c r="E176" i="17"/>
  <c r="C183" i="17"/>
  <c r="C323" i="17"/>
  <c r="F162" i="17"/>
  <c r="E162" i="17"/>
  <c r="C197" i="17"/>
  <c r="D313" i="17"/>
  <c r="E122" i="18"/>
  <c r="D128" i="18"/>
  <c r="E128" i="18" s="1"/>
  <c r="D129" i="18" l="1"/>
  <c r="E129" i="18" s="1"/>
  <c r="D117" i="18"/>
  <c r="F323" i="17"/>
  <c r="E323" i="17"/>
  <c r="E309" i="17"/>
  <c r="F309" i="17" s="1"/>
  <c r="C310" i="17"/>
  <c r="F183" i="17"/>
  <c r="E183" i="17"/>
  <c r="D314" i="17"/>
  <c r="D251" i="17"/>
  <c r="D315" i="17"/>
  <c r="D256" i="17"/>
  <c r="F197" i="17"/>
  <c r="C324" i="17"/>
  <c r="E106" i="17"/>
  <c r="F106" i="17" s="1"/>
  <c r="C113" i="17"/>
  <c r="D266" i="18"/>
  <c r="E264" i="18"/>
  <c r="C50" i="5"/>
  <c r="F43" i="5"/>
  <c r="E211" i="17"/>
  <c r="F211" i="17" s="1"/>
  <c r="D257" i="17" l="1"/>
  <c r="D318" i="17"/>
  <c r="E117" i="18"/>
  <c r="D131" i="18"/>
  <c r="E131" i="18" s="1"/>
  <c r="F50" i="5"/>
  <c r="E113" i="17"/>
  <c r="F113" i="17" s="1"/>
  <c r="C325" i="17"/>
  <c r="E324" i="17"/>
  <c r="F324" i="17" s="1"/>
  <c r="E50" i="5"/>
  <c r="F310" i="17"/>
  <c r="C312" i="17"/>
  <c r="E310" i="17"/>
  <c r="E266" i="18"/>
  <c r="D267" i="18"/>
  <c r="E325" i="17" l="1"/>
  <c r="F325" i="17" s="1"/>
  <c r="E267" i="18"/>
  <c r="D268" i="18"/>
  <c r="D269" i="18"/>
  <c r="E269" i="18" s="1"/>
  <c r="F312" i="17"/>
  <c r="C313" i="17"/>
  <c r="E312" i="17"/>
  <c r="D271" i="18" l="1"/>
  <c r="E271" i="18" s="1"/>
  <c r="E268" i="18"/>
  <c r="C314" i="17"/>
  <c r="C251" i="17"/>
  <c r="C315" i="17"/>
  <c r="C256" i="17"/>
  <c r="E313" i="17"/>
  <c r="F313" i="17" s="1"/>
  <c r="C318" i="17" l="1"/>
  <c r="E314" i="17"/>
  <c r="F314" i="17" s="1"/>
  <c r="E315" i="17"/>
  <c r="F315" i="17" s="1"/>
  <c r="C257" i="17"/>
  <c r="E256" i="17"/>
  <c r="F256" i="17" s="1"/>
  <c r="F251" i="17"/>
  <c r="E251" i="17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<sst xmlns="http://schemas.openxmlformats.org/spreadsheetml/2006/main" count="2335" uniqueCount="1010">
  <si>
    <t>MIDSTATE MEDICAL CENTER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</si>
  <si>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</si>
  <si>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</si>
  <si>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</si>
  <si>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</si>
  <si>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</si>
  <si>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</si>
  <si>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</si>
  <si>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</si>
  <si>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</si>
  <si>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</si>
  <si>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</si>
  <si>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</si>
  <si>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</si>
  <si>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</si>
  <si>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</si>
  <si>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</si>
  <si>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</si>
  <si>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</si>
  <si>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</si>
  <si>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</si>
  <si>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</si>
  <si>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</si>
  <si>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</si>
  <si>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</si>
  <si>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</si>
  <si>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</si>
  <si>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</si>
  <si>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</si>
  <si>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</si>
  <si>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</si>
  <si>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</si>
  <si>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</si>
  <si>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</si>
  <si>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</si>
  <si>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</si>
  <si>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</si>
  <si>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</si>
  <si>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</si>
  <si>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</si>
  <si>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</si>
  <si>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</si>
  <si>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</si>
  <si>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</si>
  <si>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</si>
  <si>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</si>
  <si>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</si>
  <si>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</si>
  <si>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</si>
  <si>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</si>
  <si>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</si>
  <si>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</si>
  <si>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</si>
  <si>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</si>
  <si>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</si>
  <si>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</si>
  <si>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</si>
  <si>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</si>
  <si>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</si>
  <si>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</si>
  <si>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</si>
  <si>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</si>
  <si>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</si>
  <si>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</si>
  <si>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</si>
  <si>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</si>
  <si>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</si>
  <si>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</si>
  <si>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</si>
  <si>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</si>
  <si>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</si>
  <si>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</si>
  <si>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</si>
  <si>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</si>
  <si>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</si>
  <si>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</si>
  <si>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</si>
  <si>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</si>
  <si>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</si>
  <si>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</si>
  <si>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</si>
  <si>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</si>
  <si>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</si>
  <si>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</si>
  <si>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</si>
  <si>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</si>
  <si>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</si>
  <si>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</si>
  <si>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</si>
  <si>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</si>
  <si>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</si>
  <si>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</si>
  <si>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</si>
  <si>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</si>
  <si>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</si>
  <si>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</si>
  <si>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</si>
  <si>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</si>
  <si>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</si>
  <si>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</si>
  <si>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</si>
  <si>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</si>
  <si>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</si>
  <si>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</si>
  <si>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</si>
  <si>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</si>
  <si>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</si>
  <si>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</si>
  <si>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</si>
  <si>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</si>
  <si>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</si>
  <si>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</si>
  <si>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</si>
  <si>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</si>
  <si>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</si>
  <si>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</si>
  <si>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</si>
  <si>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</si>
  <si>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</si>
  <si>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</si>
  <si>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</si>
  <si>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</si>
  <si>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</si>
  <si>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</si>
  <si>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</si>
  <si>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</si>
  <si>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</si>
  <si>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</si>
  <si>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</si>
  <si>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</si>
  <si>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</si>
  <si>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</si>
  <si>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</si>
  <si>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</si>
  <si>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</si>
  <si>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</si>
  <si>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</si>
  <si>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</si>
  <si>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</si>
  <si>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</si>
  <si>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</si>
  <si>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</si>
  <si>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</si>
  <si>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</si>
  <si>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</si>
  <si>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</si>
  <si>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</si>
  <si>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</si>
  <si>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</si>
  <si>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</si>
  <si>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</si>
  <si>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</si>
  <si>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</si>
  <si>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</si>
  <si>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</si>
  <si>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</si>
  <si>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</si>
  <si>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</si>
  <si>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</si>
  <si>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</si>
  <si>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</si>
  <si>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</si>
  <si>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</si>
  <si>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</si>
  <si>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</si>
  <si>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</si>
  <si>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</si>
  <si>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</si>
  <si>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</si>
  <si>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</si>
  <si>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</si>
  <si>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</si>
  <si>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</si>
  <si>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</si>
  <si>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</si>
  <si>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</si>
  <si>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</si>
  <si>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</si>
  <si>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</si>
  <si>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</si>
  <si>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</si>
  <si>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</si>
  <si>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</si>
  <si>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</si>
  <si>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</si>
  <si>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</si>
  <si>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</si>
  <si>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</si>
  <si>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</si>
  <si>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</si>
  <si>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</si>
  <si>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</si>
  <si>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</si>
  <si>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</si>
  <si>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</si>
  <si>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</si>
  <si>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</si>
  <si>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</si>
  <si>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</si>
  <si>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</si>
  <si>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</si>
  <si>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</si>
  <si>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</si>
  <si>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</si>
  <si>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</si>
  <si>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</si>
  <si>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</si>
  <si>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</si>
  <si>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</si>
  <si>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</si>
  <si>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</si>
  <si>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</si>
  <si>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</si>
  <si>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</si>
  <si>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</si>
  <si>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</si>
  <si>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</si>
  <si>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</si>
  <si>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</si>
  <si>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</si>
  <si>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</si>
  <si>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</si>
  <si>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</si>
  <si>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</si>
  <si>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</si>
  <si>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</si>
  <si>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</si>
  <si>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</si>
  <si>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</si>
  <si>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</si>
  <si>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</si>
  <si>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</si>
  <si>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</si>
  <si>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</si>
  <si>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</si>
  <si>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</si>
  <si>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</si>
  <si>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</si>
  <si>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</si>
  <si>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</si>
  <si>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</si>
  <si>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</si>
  <si>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</si>
  <si>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</si>
  <si>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</si>
  <si>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</si>
  <si>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</si>
  <si>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</si>
  <si>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</si>
  <si>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</si>
  <si>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</si>
  <si>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</si>
  <si>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</si>
  <si>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</si>
  <si>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</si>
  <si>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</si>
  <si>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</si>
  <si>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</si>
  <si>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</si>
  <si>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</si>
  <si>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</si>
  <si>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</si>
  <si>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</si>
  <si>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</si>
  <si>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</si>
  <si>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</si>
  <si>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</si>
  <si>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</si>
  <si>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</si>
  <si>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</si>
  <si>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</si>
  <si>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</si>
  <si>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</si>
  <si>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</si>
  <si>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</si>
  <si>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</si>
  <si>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</si>
  <si>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</si>
  <si>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</si>
  <si>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</si>
  <si>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</si>
  <si>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</si>
  <si>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</si>
  <si>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</si>
  <si>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</si>
  <si>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</si>
  <si>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</si>
  <si>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</si>
  <si>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</si>
  <si>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</si>
  <si>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</si>
  <si>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</si>
  <si>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</si>
  <si>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</si>
  <si>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</si>
  <si>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</si>
  <si>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</si>
  <si>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</si>
  <si>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</si>
  <si>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</si>
  <si>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</si>
  <si>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</si>
  <si>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</si>
  <si>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</si>
  <si>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</si>
  <si>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</si>
  <si>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</si>
  <si>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</si>
  <si>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</si>
  <si>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</si>
  <si>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</si>
  <si>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</si>
  <si>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</si>
  <si>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</si>
  <si>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</si>
  <si>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</si>
  <si>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</si>
  <si>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</si>
  <si>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</si>
  <si>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</si>
  <si>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</si>
  <si>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</si>
  <si>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</si>
  <si>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</si>
  <si>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</si>
  <si>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</si>
  <si>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</si>
  <si>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</si>
  <si>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</si>
  <si>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</si>
  <si>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</si>
  <si>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</si>
  <si>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</si>
  <si>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</si>
  <si>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</si>
  <si>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</si>
  <si>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</si>
  <si>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</si>
  <si>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</si>
  <si>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</si>
  <si>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</si>
  <si>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</si>
  <si>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</si>
  <si>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</si>
  <si>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</si>
  <si>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</si>
  <si>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</si>
  <si>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</si>
  <si>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</si>
  <si>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</si>
  <si>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</si>
  <si>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</si>
  <si>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</si>
  <si>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</si>
  <si>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</si>
  <si>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</si>
  <si>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</si>
  <si>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</si>
  <si>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</si>
  <si>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</si>
  <si>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</si>
  <si>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</si>
  <si>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</si>
  <si>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</si>
  <si>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</si>
  <si>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</si>
  <si>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</si>
  <si>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</si>
  <si>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</si>
  <si>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</si>
  <si>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</si>
  <si>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</si>
  <si>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</si>
  <si>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</si>
  <si>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</si>
  <si>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</si>
  <si>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</si>
  <si>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</si>
  <si>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</si>
  <si>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</si>
  <si>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</si>
  <si>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</si>
  <si>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</si>
  <si>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</si>
  <si>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</si>
  <si>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</si>
  <si>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</si>
  <si>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</si>
  <si>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</si>
  <si>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</si>
  <si>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</si>
  <si>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</si>
  <si>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</si>
  <si>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</si>
  <si>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</si>
  <si>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</si>
  <si>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</si>
  <si>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</si>
  <si>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</si>
  <si>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</si>
  <si>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</si>
  <si>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</si>
  <si>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</si>
  <si>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</si>
  <si>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</si>
  <si>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</si>
  <si>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</si>
  <si>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</si>
  <si>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</si>
  <si>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</si>
  <si>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</si>
  <si>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</si>
  <si>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</si>
  <si>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</si>
  <si>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</si>
  <si>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</si>
  <si>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</si>
  <si>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</si>
  <si>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</si>
  <si>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</si>
  <si>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</si>
  <si>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</si>
  <si>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</si>
  <si>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</si>
  <si>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</si>
  <si>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</si>
  <si>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</si>
  <si>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</si>
  <si>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</si>
  <si>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</si>
  <si>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</si>
  <si>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</si>
  <si>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</si>
  <si>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</si>
  <si>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</si>
  <si>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</si>
  <si>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</si>
  <si>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</si>
  <si>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</si>
  <si>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</si>
  <si>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</si>
  <si>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</si>
  <si>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</si>
  <si>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</si>
  <si>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</si>
  <si>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</si>
  <si>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</si>
  <si>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</si>
  <si>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</si>
  <si>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</si>
  <si>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</si>
  <si>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</si>
  <si>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</si>
  <si>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</si>
  <si>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</si>
  <si>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</si>
  <si>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</si>
  <si>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</si>
  <si>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</si>
  <si>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</si>
  <si>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</si>
  <si>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</si>
  <si>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</si>
  <si>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</si>
  <si>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</si>
  <si>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</si>
  <si>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</si>
  <si>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</si>
  <si>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</si>
  <si>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</si>
  <si>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</si>
  <si>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</si>
  <si>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</si>
  <si>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</si>
  <si>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</si>
  <si>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</si>
  <si>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</si>
  <si>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</si>
  <si>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</si>
  <si>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</si>
  <si>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</si>
  <si>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</si>
  <si>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</si>
  <si>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</si>
  <si>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</si>
  <si>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</si>
  <si>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</si>
  <si>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</si>
  <si>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</si>
  <si>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</si>
  <si>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</si>
  <si>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</si>
  <si>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</si>
  <si>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</si>
  <si>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</si>
  <si>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</si>
  <si>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</si>
  <si>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</si>
  <si>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</si>
  <si>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</si>
  <si>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MIDSTATE MEDICAL CENTER AND SUBSIDIARIES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</si>
  <si>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</si>
  <si>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</si>
  <si>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</si>
  <si>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</si>
  <si>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</si>
  <si>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</si>
  <si>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</si>
  <si>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</si>
  <si>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</si>
  <si>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</si>
  <si>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</si>
  <si>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</si>
  <si>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</si>
  <si>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</si>
  <si>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</si>
  <si>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</si>
  <si>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</si>
  <si>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</si>
  <si>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</si>
  <si>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</si>
  <si>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</si>
  <si>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</si>
  <si>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</si>
  <si>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</si>
  <si>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</si>
  <si>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</si>
  <si>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</si>
  <si>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</si>
  <si>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</si>
  <si>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</si>
  <si>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</si>
  <si>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</si>
  <si>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</si>
  <si>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</si>
  <si>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</si>
  <si>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</si>
  <si>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</si>
  <si>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</si>
  <si>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</si>
  <si>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</si>
  <si>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</si>
  <si>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</si>
  <si>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</si>
  <si>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</si>
  <si>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</si>
  <si>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</si>
  <si>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</si>
  <si>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</si>
  <si>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</si>
  <si>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</si>
  <si>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</si>
  <si>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</si>
  <si>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</si>
  <si>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</si>
  <si>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</si>
  <si>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</si>
  <si>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</si>
  <si>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</si>
  <si>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</si>
  <si>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</si>
  <si>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</si>
  <si>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</si>
  <si>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</si>
  <si>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</si>
  <si>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</si>
  <si>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</si>
  <si>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</si>
  <si>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</si>
  <si>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</si>
  <si>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</si>
  <si>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</si>
  <si>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</si>
  <si>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</si>
  <si>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</si>
  <si>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</si>
  <si>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</si>
  <si>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</si>
  <si>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</si>
  <si>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</si>
  <si>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</si>
  <si>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</si>
  <si>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</si>
  <si>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</si>
  <si>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</si>
  <si>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</si>
  <si>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</si>
  <si>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</si>
  <si>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</si>
  <si>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</si>
  <si>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</si>
  <si>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</si>
  <si>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</si>
  <si>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</si>
  <si>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</si>
  <si>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</si>
  <si>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</si>
  <si>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</si>
  <si>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</si>
  <si>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</si>
  <si>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</si>
  <si>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</si>
  <si>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</si>
  <si>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</si>
  <si>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</si>
  <si>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</si>
  <si>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</si>
  <si>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</si>
  <si>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</si>
  <si>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</si>
  <si>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</si>
  <si>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</si>
  <si>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</si>
  <si>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</si>
  <si>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</si>
  <si>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</si>
  <si>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</si>
  <si>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</si>
  <si>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</si>
  <si>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</si>
  <si>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</si>
  <si>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Main hospital campus</t>
  </si>
  <si>
    <t>Total Outpatient Surgical Procedures(A)</t>
  </si>
  <si>
    <t>Total Outpatient Endoscopy Procedures(B)</t>
  </si>
  <si>
    <t>Outpatient Hospital Emergency Room Visits</t>
  </si>
  <si>
    <t>680 S. Main St Cheshire</t>
  </si>
  <si>
    <t>61 Pomeroy Ave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</si>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</sst>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46117517</v>
      </c>
      <c r="D13" s="22">
        <v>27158493</v>
      </c>
      <c r="E13" s="22">
        <f t="shared" ref="E13:E22" si="0">D13-C13</f>
        <v>-18959024</v>
      </c>
      <c r="F13" s="23">
        <f t="shared" ref="F13:F22" si="1">IF(C13=0,0,E13/C13)</f>
        <v>-0.41110244508610472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25147640</v>
      </c>
      <c r="D15" s="22">
        <v>27767137</v>
      </c>
      <c r="E15" s="22">
        <f t="shared" si="0"/>
        <v>2619497</v>
      </c>
      <c r="F15" s="23">
        <f t="shared" si="1"/>
        <v>0.10416472480121396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6319474</v>
      </c>
      <c r="D17" s="22">
        <v>2663150</v>
      </c>
      <c r="E17" s="22">
        <f t="shared" si="0"/>
        <v>-3656324</v>
      </c>
      <c r="F17" s="23">
        <f t="shared" si="1"/>
        <v>-0.57858043248536195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1517735</v>
      </c>
      <c r="E18" s="22">
        <f t="shared" si="0"/>
        <v>1517735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2649756</v>
      </c>
      <c r="D19" s="22">
        <v>2719853</v>
      </c>
      <c r="E19" s="22">
        <f t="shared" si="0"/>
        <v>70097</v>
      </c>
      <c r="F19" s="23">
        <f t="shared" si="1"/>
        <v>2.645413389006384E-2</v>
      </c>
    </row>
    <row r="20" spans="1:11" ht="24" customHeight="1" x14ac:dyDescent="0.2">
      <c r="A20" s="20">
        <v>8</v>
      </c>
      <c r="B20" s="21" t="s">
        <v>23</v>
      </c>
      <c r="C20" s="22">
        <v>2739748</v>
      </c>
      <c r="D20" s="22">
        <v>4878472</v>
      </c>
      <c r="E20" s="22">
        <f t="shared" si="0"/>
        <v>2138724</v>
      </c>
      <c r="F20" s="23">
        <f t="shared" si="1"/>
        <v>0.78062799936344507</v>
      </c>
    </row>
    <row r="21" spans="1:11" ht="24" customHeight="1" x14ac:dyDescent="0.2">
      <c r="A21" s="20">
        <v>9</v>
      </c>
      <c r="B21" s="21" t="s">
        <v>24</v>
      </c>
      <c r="C21" s="22">
        <v>8170030</v>
      </c>
      <c r="D21" s="22">
        <v>6718647</v>
      </c>
      <c r="E21" s="22">
        <f t="shared" si="0"/>
        <v>-1451383</v>
      </c>
      <c r="F21" s="23">
        <f t="shared" si="1"/>
        <v>-0.17764720570181505</v>
      </c>
    </row>
    <row r="22" spans="1:11" ht="24" customHeight="1" x14ac:dyDescent="0.25">
      <c r="A22" s="24"/>
      <c r="B22" s="25" t="s">
        <v>25</v>
      </c>
      <c r="C22" s="26">
        <f>SUM(C13:C21)</f>
        <v>91144165</v>
      </c>
      <c r="D22" s="26">
        <f>SUM(D13:D21)</f>
        <v>73423487</v>
      </c>
      <c r="E22" s="26">
        <f t="shared" si="0"/>
        <v>-17720678</v>
      </c>
      <c r="F22" s="27">
        <f t="shared" si="1"/>
        <v>-0.19442471166420802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13223292</v>
      </c>
      <c r="D25" s="22">
        <v>13953158</v>
      </c>
      <c r="E25" s="22">
        <f>D25-C25</f>
        <v>729866</v>
      </c>
      <c r="F25" s="23">
        <f>IF(C25=0,0,E25/C25)</f>
        <v>5.5195483847743816E-2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6312325</v>
      </c>
      <c r="D27" s="22">
        <v>6312325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65932</v>
      </c>
      <c r="D28" s="22">
        <v>62809</v>
      </c>
      <c r="E28" s="22">
        <f>D28-C28</f>
        <v>-3123</v>
      </c>
      <c r="F28" s="23">
        <f>IF(C28=0,0,E28/C28)</f>
        <v>-4.7366984165503855E-2</v>
      </c>
    </row>
    <row r="29" spans="1:11" ht="24" customHeight="1" x14ac:dyDescent="0.25">
      <c r="A29" s="24"/>
      <c r="B29" s="25" t="s">
        <v>32</v>
      </c>
      <c r="C29" s="26">
        <f>SUM(C25:C28)</f>
        <v>19601549</v>
      </c>
      <c r="D29" s="26">
        <f>SUM(D25:D28)</f>
        <v>20328292</v>
      </c>
      <c r="E29" s="26">
        <f>D29-C29</f>
        <v>726743</v>
      </c>
      <c r="F29" s="27">
        <f>IF(C29=0,0,E29/C29)</f>
        <v>3.7075794367067622E-2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38819627</v>
      </c>
      <c r="E31" s="22">
        <f>D31-C31</f>
        <v>38819627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14919838</v>
      </c>
      <c r="D32" s="22">
        <v>0</v>
      </c>
      <c r="E32" s="22">
        <f>D32-C32</f>
        <v>-14919838</v>
      </c>
      <c r="F32" s="23">
        <f>IF(C32=0,0,E32/C32)</f>
        <v>-1</v>
      </c>
    </row>
    <row r="33" spans="1:8" ht="24" customHeight="1" x14ac:dyDescent="0.2">
      <c r="A33" s="20">
        <v>7</v>
      </c>
      <c r="B33" s="21" t="s">
        <v>35</v>
      </c>
      <c r="C33" s="22">
        <v>38650167</v>
      </c>
      <c r="D33" s="22">
        <v>18517286</v>
      </c>
      <c r="E33" s="22">
        <f>D33-C33</f>
        <v>-20132881</v>
      </c>
      <c r="F33" s="23">
        <f>IF(C33=0,0,E33/C33)</f>
        <v>-0.52090023310895395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249735660</v>
      </c>
      <c r="D36" s="22">
        <v>252854982</v>
      </c>
      <c r="E36" s="22">
        <f>D36-C36</f>
        <v>3119322</v>
      </c>
      <c r="F36" s="23">
        <f>IF(C36=0,0,E36/C36)</f>
        <v>1.2490494949740057E-2</v>
      </c>
    </row>
    <row r="37" spans="1:8" ht="24" customHeight="1" x14ac:dyDescent="0.2">
      <c r="A37" s="20">
        <v>2</v>
      </c>
      <c r="B37" s="21" t="s">
        <v>39</v>
      </c>
      <c r="C37" s="22">
        <v>124211246</v>
      </c>
      <c r="D37" s="22">
        <v>132718605</v>
      </c>
      <c r="E37" s="22">
        <f>D37-C37</f>
        <v>8507359</v>
      </c>
      <c r="F37" s="23">
        <f>IF(C37=0,0,E37/C37)</f>
        <v>6.8491052734468177E-2</v>
      </c>
    </row>
    <row r="38" spans="1:8" ht="24" customHeight="1" x14ac:dyDescent="0.25">
      <c r="A38" s="24"/>
      <c r="B38" s="25" t="s">
        <v>40</v>
      </c>
      <c r="C38" s="26">
        <f>C36-C37</f>
        <v>125524414</v>
      </c>
      <c r="D38" s="26">
        <f>D36-D37</f>
        <v>120136377</v>
      </c>
      <c r="E38" s="26">
        <f>D38-C38</f>
        <v>-5388037</v>
      </c>
      <c r="F38" s="27">
        <f>IF(C38=0,0,E38/C38)</f>
        <v>-4.2924215523523573E-2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1581507</v>
      </c>
      <c r="D40" s="22">
        <v>1879662</v>
      </c>
      <c r="E40" s="22">
        <f>D40-C40</f>
        <v>298155</v>
      </c>
      <c r="F40" s="23">
        <f>IF(C40=0,0,E40/C40)</f>
        <v>0.18852588069480566</v>
      </c>
    </row>
    <row r="41" spans="1:8" ht="24" customHeight="1" x14ac:dyDescent="0.25">
      <c r="A41" s="24"/>
      <c r="B41" s="25" t="s">
        <v>42</v>
      </c>
      <c r="C41" s="26">
        <f>+C38+C40</f>
        <v>127105921</v>
      </c>
      <c r="D41" s="26">
        <f>+D38+D40</f>
        <v>122016039</v>
      </c>
      <c r="E41" s="26">
        <f>D41-C41</f>
        <v>-5089882</v>
      </c>
      <c r="F41" s="27">
        <f>IF(C41=0,0,E41/C41)</f>
        <v>-4.0044413037217994E-2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291421640</v>
      </c>
      <c r="D43" s="26">
        <f>D22+D29+D31+D32+D33+D41</f>
        <v>273104731</v>
      </c>
      <c r="E43" s="26">
        <f>D43-C43</f>
        <v>-18316909</v>
      </c>
      <c r="F43" s="27">
        <f>IF(C43=0,0,E43/C43)</f>
        <v>-6.285363365603186E-2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11318779</v>
      </c>
      <c r="D49" s="22">
        <v>12841942</v>
      </c>
      <c r="E49" s="22">
        <f t="shared" ref="E49:E56" si="2">D49-C49</f>
        <v>1523163</v>
      </c>
      <c r="F49" s="23">
        <f t="shared" ref="F49:F56" si="3">IF(C49=0,0,E49/C49)</f>
        <v>0.13456955030220133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10060359</v>
      </c>
      <c r="D50" s="22">
        <v>9070645</v>
      </c>
      <c r="E50" s="22">
        <f t="shared" si="2"/>
        <v>-989714</v>
      </c>
      <c r="F50" s="23">
        <f t="shared" si="3"/>
        <v>-9.8377602628295868E-2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3562417</v>
      </c>
      <c r="D51" s="22">
        <v>0</v>
      </c>
      <c r="E51" s="22">
        <f t="shared" si="2"/>
        <v>-3562417</v>
      </c>
      <c r="F51" s="23">
        <f t="shared" si="3"/>
        <v>-1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1445398</v>
      </c>
      <c r="E52" s="22">
        <f t="shared" si="2"/>
        <v>1445398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669578</v>
      </c>
      <c r="E53" s="22">
        <f t="shared" si="2"/>
        <v>669578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4665737</v>
      </c>
      <c r="D55" s="22">
        <v>6458439</v>
      </c>
      <c r="E55" s="22">
        <f t="shared" si="2"/>
        <v>1792702</v>
      </c>
      <c r="F55" s="23">
        <f t="shared" si="3"/>
        <v>0.38422697207322232</v>
      </c>
    </row>
    <row r="56" spans="1:6" ht="24" customHeight="1" x14ac:dyDescent="0.25">
      <c r="A56" s="24"/>
      <c r="B56" s="25" t="s">
        <v>54</v>
      </c>
      <c r="C56" s="26">
        <f>SUM(C49:C55)</f>
        <v>29607292</v>
      </c>
      <c r="D56" s="26">
        <f>SUM(D49:D55)</f>
        <v>30486002</v>
      </c>
      <c r="E56" s="26">
        <f t="shared" si="2"/>
        <v>878710</v>
      </c>
      <c r="F56" s="27">
        <f t="shared" si="3"/>
        <v>2.9678837226991241E-2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88731315</v>
      </c>
      <c r="D59" s="22">
        <v>87806192</v>
      </c>
      <c r="E59" s="22">
        <f>D59-C59</f>
        <v>-925123</v>
      </c>
      <c r="F59" s="23">
        <f>IF(C59=0,0,E59/C59)</f>
        <v>-1.0426116191335606E-2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88731315</v>
      </c>
      <c r="D61" s="26">
        <f>SUM(D59:D60)</f>
        <v>87806192</v>
      </c>
      <c r="E61" s="26">
        <f>D61-C61</f>
        <v>-925123</v>
      </c>
      <c r="F61" s="27">
        <f>IF(C61=0,0,E61/C61)</f>
        <v>-1.0426116191335606E-2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56785518</v>
      </c>
      <c r="D63" s="22">
        <v>18941059</v>
      </c>
      <c r="E63" s="22">
        <f>D63-C63</f>
        <v>-37844459</v>
      </c>
      <c r="F63" s="23">
        <f>IF(C63=0,0,E63/C63)</f>
        <v>-0.66644560678305342</v>
      </c>
    </row>
    <row r="64" spans="1:6" ht="24" customHeight="1" x14ac:dyDescent="0.2">
      <c r="A64" s="20">
        <v>4</v>
      </c>
      <c r="B64" s="21" t="s">
        <v>60</v>
      </c>
      <c r="C64" s="22">
        <v>26378887</v>
      </c>
      <c r="D64" s="22">
        <v>22285452</v>
      </c>
      <c r="E64" s="22">
        <f>D64-C64</f>
        <v>-4093435</v>
      </c>
      <c r="F64" s="23">
        <f>IF(C64=0,0,E64/C64)</f>
        <v>-0.15517845768094765</v>
      </c>
    </row>
    <row r="65" spans="1:6" ht="24" customHeight="1" x14ac:dyDescent="0.25">
      <c r="A65" s="24"/>
      <c r="B65" s="25" t="s">
        <v>61</v>
      </c>
      <c r="C65" s="26">
        <f>SUM(C61:C64)</f>
        <v>171895720</v>
      </c>
      <c r="D65" s="26">
        <f>SUM(D61:D64)</f>
        <v>129032703</v>
      </c>
      <c r="E65" s="26">
        <f>D65-C65</f>
        <v>-42863017</v>
      </c>
      <c r="F65" s="27">
        <f>IF(C65=0,0,E65/C65)</f>
        <v>-0.24935476578474439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73637750</v>
      </c>
      <c r="D70" s="22">
        <v>96806371</v>
      </c>
      <c r="E70" s="22">
        <f>D70-C70</f>
        <v>23168621</v>
      </c>
      <c r="F70" s="23">
        <f>IF(C70=0,0,E70/C70)</f>
        <v>0.31462967024386268</v>
      </c>
    </row>
    <row r="71" spans="1:6" ht="24" customHeight="1" x14ac:dyDescent="0.2">
      <c r="A71" s="20">
        <v>2</v>
      </c>
      <c r="B71" s="21" t="s">
        <v>65</v>
      </c>
      <c r="C71" s="22">
        <v>2279087</v>
      </c>
      <c r="D71" s="22">
        <v>2047687</v>
      </c>
      <c r="E71" s="22">
        <f>D71-C71</f>
        <v>-231400</v>
      </c>
      <c r="F71" s="23">
        <f>IF(C71=0,0,E71/C71)</f>
        <v>-0.10153188535584644</v>
      </c>
    </row>
    <row r="72" spans="1:6" ht="24" customHeight="1" x14ac:dyDescent="0.2">
      <c r="A72" s="20">
        <v>3</v>
      </c>
      <c r="B72" s="21" t="s">
        <v>66</v>
      </c>
      <c r="C72" s="22">
        <v>14001791</v>
      </c>
      <c r="D72" s="22">
        <v>14731968</v>
      </c>
      <c r="E72" s="22">
        <f>D72-C72</f>
        <v>730177</v>
      </c>
      <c r="F72" s="23">
        <f>IF(C72=0,0,E72/C72)</f>
        <v>5.2148828674845951E-2</v>
      </c>
    </row>
    <row r="73" spans="1:6" ht="24" customHeight="1" x14ac:dyDescent="0.25">
      <c r="A73" s="20"/>
      <c r="B73" s="25" t="s">
        <v>67</v>
      </c>
      <c r="C73" s="26">
        <f>SUM(C70:C72)</f>
        <v>89918628</v>
      </c>
      <c r="D73" s="26">
        <f>SUM(D70:D72)</f>
        <v>113586026</v>
      </c>
      <c r="E73" s="26">
        <f>D73-C73</f>
        <v>23667398</v>
      </c>
      <c r="F73" s="27">
        <f>IF(C73=0,0,E73/C73)</f>
        <v>0.26320906497817115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291421640</v>
      </c>
      <c r="D75" s="26">
        <f>D56+D65+D67+D73</f>
        <v>273104731</v>
      </c>
      <c r="E75" s="26">
        <f>D75-C75</f>
        <v>-18316909</v>
      </c>
      <c r="F75" s="27">
        <f>IF(C75=0,0,E75/C75)</f>
        <v>-6.285363365603186E-2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196755436</v>
      </c>
      <c r="D11" s="76">
        <v>218353748</v>
      </c>
      <c r="E11" s="76">
        <v>217746204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27400731</v>
      </c>
      <c r="D12" s="185">
        <v>42214373</v>
      </c>
      <c r="E12" s="185">
        <v>19139869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224156167</v>
      </c>
      <c r="D13" s="76">
        <f>+D11+D12</f>
        <v>260568121</v>
      </c>
      <c r="E13" s="76">
        <f>+E11+E12</f>
        <v>236886073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216717629</v>
      </c>
      <c r="D14" s="185">
        <v>244146156</v>
      </c>
      <c r="E14" s="185">
        <v>222912485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7438538</v>
      </c>
      <c r="D15" s="76">
        <f>+D13-D14</f>
        <v>16421965</v>
      </c>
      <c r="E15" s="76">
        <f>+E13-E14</f>
        <v>13973588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455490</v>
      </c>
      <c r="D16" s="185">
        <v>1222491</v>
      </c>
      <c r="E16" s="185">
        <v>4228077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7894028</v>
      </c>
      <c r="D17" s="76">
        <f>D15+D16</f>
        <v>17644456</v>
      </c>
      <c r="E17" s="76">
        <f>E15+E16</f>
        <v>18201665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3.3117328367334026E-2</v>
      </c>
      <c r="D20" s="189">
        <f>IF(+D27=0,0,+D24/+D27)</f>
        <v>6.2729388477841985E-2</v>
      </c>
      <c r="E20" s="189">
        <f>IF(+E27=0,0,+E24/+E27)</f>
        <v>5.7954242834773489E-2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2.0279000924693772E-3</v>
      </c>
      <c r="D21" s="189">
        <f>IF(+D27=0,0,+D26/+D27)</f>
        <v>4.6697281871971785E-3</v>
      </c>
      <c r="E21" s="189">
        <f>IF(+E27=0,0,+E26/+E27)</f>
        <v>1.7535582212823263E-2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3.5145228459803404E-2</v>
      </c>
      <c r="D22" s="189">
        <f>IF(+D27=0,0,+D28/+D27)</f>
        <v>6.7399116665039158E-2</v>
      </c>
      <c r="E22" s="189">
        <f>IF(+E27=0,0,+E28/+E27)</f>
        <v>7.5489825047596756E-2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7438538</v>
      </c>
      <c r="D24" s="76">
        <f>+D15</f>
        <v>16421965</v>
      </c>
      <c r="E24" s="76">
        <f>+E15</f>
        <v>13973588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224156167</v>
      </c>
      <c r="D25" s="76">
        <f>+D13</f>
        <v>260568121</v>
      </c>
      <c r="E25" s="76">
        <f>+E13</f>
        <v>236886073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455490</v>
      </c>
      <c r="D26" s="76">
        <f>+D16</f>
        <v>1222491</v>
      </c>
      <c r="E26" s="76">
        <f>+E16</f>
        <v>4228077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224611657</v>
      </c>
      <c r="D27" s="76">
        <f>SUM(D25:D26)</f>
        <v>261790612</v>
      </c>
      <c r="E27" s="76">
        <f>SUM(E25:E26)</f>
        <v>241114150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7894028</v>
      </c>
      <c r="D28" s="76">
        <f>+D17</f>
        <v>17644456</v>
      </c>
      <c r="E28" s="76">
        <f>+E17</f>
        <v>18201665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57976004</v>
      </c>
      <c r="D31" s="76">
        <v>74346080</v>
      </c>
      <c r="E31" s="76">
        <v>95882676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72403275</v>
      </c>
      <c r="D32" s="76">
        <v>90626958</v>
      </c>
      <c r="E32" s="76">
        <v>112662331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-4672423</v>
      </c>
      <c r="D33" s="76">
        <f>+D32-C32</f>
        <v>18223683</v>
      </c>
      <c r="E33" s="76">
        <f>+E32-D32</f>
        <v>22035373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0.93930000000000002</v>
      </c>
      <c r="D34" s="193">
        <f>IF(C32=0,0,+D33/C32)</f>
        <v>0.25169694326672376</v>
      </c>
      <c r="E34" s="193">
        <f>IF(D32=0,0,+E33/D32)</f>
        <v>0.24314369020308504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2.1681194947792033</v>
      </c>
      <c r="D38" s="338">
        <f>IF(+D40=0,0,+D39/+D40)</f>
        <v>3.1116944665202673</v>
      </c>
      <c r="E38" s="338">
        <f>IF(+E40=0,0,+E39/+E40)</f>
        <v>2.4368957312547885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56418567</v>
      </c>
      <c r="D39" s="341">
        <v>93915090</v>
      </c>
      <c r="E39" s="341">
        <v>75535375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26021890</v>
      </c>
      <c r="D40" s="341">
        <v>30181334</v>
      </c>
      <c r="E40" s="341">
        <v>30996556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37.469891613137797</v>
      </c>
      <c r="D42" s="343">
        <f>IF((D48/365)=0,0,+D45/(D48/365))</f>
        <v>75.82377578139608</v>
      </c>
      <c r="E42" s="343">
        <f>IF((E48/365)=0,0,+E45/(E48/365))</f>
        <v>49.570448578853323</v>
      </c>
    </row>
    <row r="43" spans="1:14" ht="24" customHeight="1" x14ac:dyDescent="0.2">
      <c r="A43" s="339">
        <v>5</v>
      </c>
      <c r="B43" s="344" t="s">
        <v>16</v>
      </c>
      <c r="C43" s="345">
        <v>20898243</v>
      </c>
      <c r="D43" s="345">
        <v>47972840</v>
      </c>
      <c r="E43" s="345">
        <v>28465876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20898243</v>
      </c>
      <c r="D45" s="341">
        <f>+D43+D44</f>
        <v>47972840</v>
      </c>
      <c r="E45" s="341">
        <f>+E43+E44</f>
        <v>28465876</v>
      </c>
    </row>
    <row r="46" spans="1:14" ht="24" customHeight="1" x14ac:dyDescent="0.2">
      <c r="A46" s="339">
        <v>8</v>
      </c>
      <c r="B46" s="340" t="s">
        <v>334</v>
      </c>
      <c r="C46" s="341">
        <f>+C14</f>
        <v>216717629</v>
      </c>
      <c r="D46" s="341">
        <f>+D14</f>
        <v>244146156</v>
      </c>
      <c r="E46" s="341">
        <f>+E14</f>
        <v>222912485</v>
      </c>
    </row>
    <row r="47" spans="1:14" ht="24" customHeight="1" x14ac:dyDescent="0.2">
      <c r="A47" s="339">
        <v>9</v>
      </c>
      <c r="B47" s="340" t="s">
        <v>356</v>
      </c>
      <c r="C47" s="341">
        <v>13144617</v>
      </c>
      <c r="D47" s="341">
        <v>13214810</v>
      </c>
      <c r="E47" s="341">
        <v>13310897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203573012</v>
      </c>
      <c r="D48" s="341">
        <f>+D46-D47</f>
        <v>230931346</v>
      </c>
      <c r="E48" s="341">
        <f>+E46-E47</f>
        <v>209601588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51.536793143544969</v>
      </c>
      <c r="D50" s="350">
        <f>IF((D55/365)=0,0,+D54/(D55/365))</f>
        <v>36.081846394502925</v>
      </c>
      <c r="E50" s="350">
        <f>IF((E55/365)=0,0,+E54/(E55/365))</f>
        <v>49.089160149032956</v>
      </c>
    </row>
    <row r="51" spans="1:5" ht="24" customHeight="1" x14ac:dyDescent="0.2">
      <c r="A51" s="339">
        <v>12</v>
      </c>
      <c r="B51" s="344" t="s">
        <v>359</v>
      </c>
      <c r="C51" s="351">
        <v>29581747</v>
      </c>
      <c r="D51" s="351">
        <v>25147640</v>
      </c>
      <c r="E51" s="351">
        <v>27767137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1517735</v>
      </c>
    </row>
    <row r="53" spans="1:5" ht="24" customHeight="1" x14ac:dyDescent="0.2">
      <c r="A53" s="339">
        <v>14</v>
      </c>
      <c r="B53" s="344" t="s">
        <v>49</v>
      </c>
      <c r="C53" s="341">
        <v>1800530</v>
      </c>
      <c r="D53" s="341">
        <v>3562417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27781217</v>
      </c>
      <c r="D54" s="352">
        <f>+D51+D52-D53</f>
        <v>21585223</v>
      </c>
      <c r="E54" s="352">
        <f>+E51+E52-E53</f>
        <v>29284872</v>
      </c>
    </row>
    <row r="55" spans="1:5" ht="24" customHeight="1" x14ac:dyDescent="0.2">
      <c r="A55" s="339">
        <v>16</v>
      </c>
      <c r="B55" s="340" t="s">
        <v>75</v>
      </c>
      <c r="C55" s="341">
        <f>+C11</f>
        <v>196755436</v>
      </c>
      <c r="D55" s="341">
        <f>+D11</f>
        <v>218353748</v>
      </c>
      <c r="E55" s="341">
        <f>+E11</f>
        <v>217746204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46.656429340447154</v>
      </c>
      <c r="D57" s="355">
        <f>IF((D61/365)=0,0,+D58/(D61/365))</f>
        <v>47.70329840800391</v>
      </c>
      <c r="E57" s="355">
        <f>IF((E61/365)=0,0,+E58/(E61/365))</f>
        <v>53.977372251588093</v>
      </c>
    </row>
    <row r="58" spans="1:5" ht="24" customHeight="1" x14ac:dyDescent="0.2">
      <c r="A58" s="339">
        <v>18</v>
      </c>
      <c r="B58" s="340" t="s">
        <v>54</v>
      </c>
      <c r="C58" s="353">
        <f>+C40</f>
        <v>26021890</v>
      </c>
      <c r="D58" s="353">
        <f>+D40</f>
        <v>30181334</v>
      </c>
      <c r="E58" s="353">
        <f>+E40</f>
        <v>30996556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216717629</v>
      </c>
      <c r="D59" s="353">
        <f t="shared" si="0"/>
        <v>244146156</v>
      </c>
      <c r="E59" s="353">
        <f t="shared" si="0"/>
        <v>222912485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13144617</v>
      </c>
      <c r="D60" s="356">
        <f t="shared" si="0"/>
        <v>13214810</v>
      </c>
      <c r="E60" s="356">
        <f t="shared" si="0"/>
        <v>13310897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203573012</v>
      </c>
      <c r="D61" s="353">
        <f>+D59-D60</f>
        <v>230931346</v>
      </c>
      <c r="E61" s="353">
        <f>+E59-E60</f>
        <v>209601588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29.270159118405221</v>
      </c>
      <c r="D65" s="357">
        <f>IF(D67=0,0,(D66/D67)*100)</f>
        <v>30.910467531960972</v>
      </c>
      <c r="E65" s="357">
        <f>IF(E67=0,0,(E66/E67)*100)</f>
        <v>41.252125496870768</v>
      </c>
    </row>
    <row r="66" spans="1:5" ht="24" customHeight="1" x14ac:dyDescent="0.2">
      <c r="A66" s="339">
        <v>2</v>
      </c>
      <c r="B66" s="340" t="s">
        <v>67</v>
      </c>
      <c r="C66" s="353">
        <f>+C32</f>
        <v>72403275</v>
      </c>
      <c r="D66" s="353">
        <f>+D32</f>
        <v>90626958</v>
      </c>
      <c r="E66" s="353">
        <f>+E32</f>
        <v>112662331</v>
      </c>
    </row>
    <row r="67" spans="1:5" ht="24" customHeight="1" x14ac:dyDescent="0.2">
      <c r="A67" s="339">
        <v>3</v>
      </c>
      <c r="B67" s="340" t="s">
        <v>43</v>
      </c>
      <c r="C67" s="353">
        <v>247362082</v>
      </c>
      <c r="D67" s="353">
        <v>293191806</v>
      </c>
      <c r="E67" s="353">
        <v>273106730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18.330092789960819</v>
      </c>
      <c r="D69" s="357">
        <f>IF(D75=0,0,(D72/D75)*100)</f>
        <v>25.951205577801908</v>
      </c>
      <c r="E69" s="357">
        <f>IF(E75=0,0,(E72/E75)*100)</f>
        <v>26.525112028553416</v>
      </c>
    </row>
    <row r="70" spans="1:5" ht="24" customHeight="1" x14ac:dyDescent="0.2">
      <c r="A70" s="339">
        <v>5</v>
      </c>
      <c r="B70" s="340" t="s">
        <v>366</v>
      </c>
      <c r="C70" s="353">
        <f>+C28</f>
        <v>7894028</v>
      </c>
      <c r="D70" s="353">
        <f>+D28</f>
        <v>17644456</v>
      </c>
      <c r="E70" s="353">
        <f>+E28</f>
        <v>18201665</v>
      </c>
    </row>
    <row r="71" spans="1:5" ht="24" customHeight="1" x14ac:dyDescent="0.2">
      <c r="A71" s="339">
        <v>6</v>
      </c>
      <c r="B71" s="340" t="s">
        <v>356</v>
      </c>
      <c r="C71" s="356">
        <f>+C47</f>
        <v>13144617</v>
      </c>
      <c r="D71" s="356">
        <f>+D47</f>
        <v>13214810</v>
      </c>
      <c r="E71" s="356">
        <f>+E47</f>
        <v>13310897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21038645</v>
      </c>
      <c r="D72" s="353">
        <f>+D70+D71</f>
        <v>30859266</v>
      </c>
      <c r="E72" s="353">
        <f>+E70+E71</f>
        <v>31512562</v>
      </c>
    </row>
    <row r="73" spans="1:5" ht="24" customHeight="1" x14ac:dyDescent="0.2">
      <c r="A73" s="339">
        <v>8</v>
      </c>
      <c r="B73" s="340" t="s">
        <v>54</v>
      </c>
      <c r="C73" s="341">
        <f>+C40</f>
        <v>26021890</v>
      </c>
      <c r="D73" s="341">
        <f>+D40</f>
        <v>30181334</v>
      </c>
      <c r="E73" s="341">
        <f>+E40</f>
        <v>30996556</v>
      </c>
    </row>
    <row r="74" spans="1:5" ht="24" customHeight="1" x14ac:dyDescent="0.2">
      <c r="A74" s="339">
        <v>9</v>
      </c>
      <c r="B74" s="340" t="s">
        <v>58</v>
      </c>
      <c r="C74" s="353">
        <v>88754643</v>
      </c>
      <c r="D74" s="353">
        <v>88731315</v>
      </c>
      <c r="E74" s="353">
        <v>87806192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114776533</v>
      </c>
      <c r="D75" s="341">
        <f>+D73+D74</f>
        <v>118912649</v>
      </c>
      <c r="E75" s="341">
        <f>+E73+E74</f>
        <v>118802748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55.073088621062972</v>
      </c>
      <c r="D77" s="359">
        <f>IF(D80=0,0,(D78/D80)*100)</f>
        <v>49.471548491103057</v>
      </c>
      <c r="E77" s="359">
        <f>IF(E80=0,0,(E78/E80)*100)</f>
        <v>43.800488319056456</v>
      </c>
    </row>
    <row r="78" spans="1:5" ht="24" customHeight="1" x14ac:dyDescent="0.2">
      <c r="A78" s="339">
        <v>12</v>
      </c>
      <c r="B78" s="340" t="s">
        <v>58</v>
      </c>
      <c r="C78" s="341">
        <f>+C74</f>
        <v>88754643</v>
      </c>
      <c r="D78" s="341">
        <f>+D74</f>
        <v>88731315</v>
      </c>
      <c r="E78" s="341">
        <f>+E74</f>
        <v>87806192</v>
      </c>
    </row>
    <row r="79" spans="1:5" ht="24" customHeight="1" x14ac:dyDescent="0.2">
      <c r="A79" s="339">
        <v>13</v>
      </c>
      <c r="B79" s="340" t="s">
        <v>67</v>
      </c>
      <c r="C79" s="341">
        <f>+C32</f>
        <v>72403275</v>
      </c>
      <c r="D79" s="341">
        <f>+D32</f>
        <v>90626958</v>
      </c>
      <c r="E79" s="341">
        <f>+E32</f>
        <v>112662331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161157918</v>
      </c>
      <c r="D80" s="341">
        <f>+D78+D79</f>
        <v>179358273</v>
      </c>
      <c r="E80" s="341">
        <f>+E78+E79</f>
        <v>200468523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33608</v>
      </c>
      <c r="D11" s="376">
        <v>7777</v>
      </c>
      <c r="E11" s="376">
        <v>7777</v>
      </c>
      <c r="F11" s="377">
        <v>106</v>
      </c>
      <c r="G11" s="377">
        <v>116</v>
      </c>
      <c r="H11" s="378">
        <f>IF(F11=0,0,$C11/(F11*365))</f>
        <v>0.86864822951667098</v>
      </c>
      <c r="I11" s="378">
        <f>IF(G11=0,0,$C11/(G11*365))</f>
        <v>0.79376476145488895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1673</v>
      </c>
      <c r="D13" s="376">
        <v>579</v>
      </c>
      <c r="E13" s="376">
        <v>0</v>
      </c>
      <c r="F13" s="377">
        <v>7</v>
      </c>
      <c r="G13" s="377">
        <v>9</v>
      </c>
      <c r="H13" s="378">
        <f>IF(F13=0,0,$C13/(F13*365))</f>
        <v>0.65479452054794518</v>
      </c>
      <c r="I13" s="378">
        <f>IF(G13=0,0,$C13/(G13*365))</f>
        <v>0.50928462709284628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2031</v>
      </c>
      <c r="D16" s="376">
        <v>196</v>
      </c>
      <c r="E16" s="376">
        <v>196</v>
      </c>
      <c r="F16" s="377">
        <v>6</v>
      </c>
      <c r="G16" s="377">
        <v>6</v>
      </c>
      <c r="H16" s="378">
        <f t="shared" si="0"/>
        <v>0.92739726027397262</v>
      </c>
      <c r="I16" s="378">
        <f t="shared" si="0"/>
        <v>0.92739726027397262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2031</v>
      </c>
      <c r="D17" s="381">
        <f>SUM(D15:D16)</f>
        <v>196</v>
      </c>
      <c r="E17" s="381">
        <f>SUM(E15:E16)</f>
        <v>196</v>
      </c>
      <c r="F17" s="381">
        <f>SUM(F15:F16)</f>
        <v>6</v>
      </c>
      <c r="G17" s="381">
        <f>SUM(G15:G16)</f>
        <v>6</v>
      </c>
      <c r="H17" s="382">
        <f t="shared" si="0"/>
        <v>0.92739726027397262</v>
      </c>
      <c r="I17" s="382">
        <f t="shared" si="0"/>
        <v>0.92739726027397262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2365</v>
      </c>
      <c r="D21" s="376">
        <v>949</v>
      </c>
      <c r="E21" s="376">
        <v>949</v>
      </c>
      <c r="F21" s="377">
        <v>10</v>
      </c>
      <c r="G21" s="377">
        <v>13</v>
      </c>
      <c r="H21" s="378">
        <f>IF(F21=0,0,$C21/(F21*365))</f>
        <v>0.647945205479452</v>
      </c>
      <c r="I21" s="378">
        <f>IF(G21=0,0,$C21/(G21*365))</f>
        <v>0.49841938883034775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2221</v>
      </c>
      <c r="D23" s="376">
        <v>925</v>
      </c>
      <c r="E23" s="376">
        <v>925</v>
      </c>
      <c r="F23" s="377">
        <v>10</v>
      </c>
      <c r="G23" s="377">
        <v>12</v>
      </c>
      <c r="H23" s="378">
        <f>IF(F23=0,0,$C23/(F23*365))</f>
        <v>0.60849315068493148</v>
      </c>
      <c r="I23" s="378">
        <f>IF(G23=0,0,$C23/(G23*365))</f>
        <v>0.50707762557077629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39677</v>
      </c>
      <c r="D31" s="384">
        <f>SUM(D10:D29)-D13-D17-D23</f>
        <v>8922</v>
      </c>
      <c r="E31" s="384">
        <f>SUM(E10:E29)-E17-E23</f>
        <v>8922</v>
      </c>
      <c r="F31" s="384">
        <f>SUM(F10:F29)-F17-F23</f>
        <v>129</v>
      </c>
      <c r="G31" s="384">
        <f>SUM(G10:G29)-G17-G23</f>
        <v>144</v>
      </c>
      <c r="H31" s="385">
        <f>IF(F31=0,0,$C31/(F31*365))</f>
        <v>0.84266751619411706</v>
      </c>
      <c r="I31" s="385">
        <f>IF(G31=0,0,$C31/(G31*365))</f>
        <v>0.75488964992389651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41898</v>
      </c>
      <c r="D33" s="384">
        <f>SUM(D10:D29)-D13-D17</f>
        <v>9847</v>
      </c>
      <c r="E33" s="384">
        <f>SUM(E10:E29)-E17</f>
        <v>9847</v>
      </c>
      <c r="F33" s="384">
        <f>SUM(F10:F29)-F17</f>
        <v>139</v>
      </c>
      <c r="G33" s="384">
        <f>SUM(G10:G29)-G17</f>
        <v>156</v>
      </c>
      <c r="H33" s="385">
        <f>IF(F33=0,0,$C33/(F33*365))</f>
        <v>0.82582043953877993</v>
      </c>
      <c r="I33" s="385">
        <f>IF(G33=0,0,$C33/(G33*365))</f>
        <v>0.73582718651211798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41898</v>
      </c>
      <c r="D36" s="384">
        <f t="shared" si="1"/>
        <v>9847</v>
      </c>
      <c r="E36" s="384">
        <f t="shared" si="1"/>
        <v>9847</v>
      </c>
      <c r="F36" s="384">
        <f t="shared" si="1"/>
        <v>139</v>
      </c>
      <c r="G36" s="384">
        <f t="shared" si="1"/>
        <v>156</v>
      </c>
      <c r="H36" s="387">
        <f t="shared" si="1"/>
        <v>0.82582043953877993</v>
      </c>
      <c r="I36" s="387">
        <f t="shared" si="1"/>
        <v>0.73582718651211798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42530</v>
      </c>
      <c r="D37" s="384">
        <v>10330</v>
      </c>
      <c r="E37" s="384">
        <v>10330</v>
      </c>
      <c r="F37" s="386">
        <v>144</v>
      </c>
      <c r="G37" s="386">
        <v>156</v>
      </c>
      <c r="H37" s="385">
        <f>IF(F37=0,0,$C37/(F37*365))</f>
        <v>0.80917047184170476</v>
      </c>
      <c r="I37" s="385">
        <f>IF(G37=0,0,$C37/(G37*365))</f>
        <v>0.7469265893923428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-632</v>
      </c>
      <c r="D38" s="384">
        <f t="shared" si="2"/>
        <v>-483</v>
      </c>
      <c r="E38" s="384">
        <f t="shared" si="2"/>
        <v>-483</v>
      </c>
      <c r="F38" s="384">
        <f t="shared" si="2"/>
        <v>-5</v>
      </c>
      <c r="G38" s="384">
        <f t="shared" si="2"/>
        <v>0</v>
      </c>
      <c r="H38" s="387">
        <f t="shared" si="2"/>
        <v>1.6649967697075163E-2</v>
      </c>
      <c r="I38" s="387">
        <f t="shared" si="2"/>
        <v>-1.1099402880224818E-2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-1.4860098753820833E-2</v>
      </c>
      <c r="D40" s="389">
        <f t="shared" si="3"/>
        <v>-4.6757018393030009E-2</v>
      </c>
      <c r="E40" s="389">
        <f t="shared" si="3"/>
        <v>-4.6757018393030009E-2</v>
      </c>
      <c r="F40" s="389">
        <f t="shared" si="3"/>
        <v>-3.4722222222222224E-2</v>
      </c>
      <c r="G40" s="389">
        <f t="shared" si="3"/>
        <v>0</v>
      </c>
      <c r="H40" s="389">
        <f t="shared" si="3"/>
        <v>2.0576588341365401E-2</v>
      </c>
      <c r="I40" s="389">
        <f t="shared" si="3"/>
        <v>-1.4860098753820859E-2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156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5389</v>
      </c>
      <c r="D12" s="409">
        <v>4903</v>
      </c>
      <c r="E12" s="409">
        <f>+D12-C12</f>
        <v>-486</v>
      </c>
      <c r="F12" s="410">
        <f>IF(C12=0,0,+E12/C12)</f>
        <v>-9.0183707552421596E-2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4293</v>
      </c>
      <c r="D13" s="409">
        <v>3717</v>
      </c>
      <c r="E13" s="409">
        <f>+D13-C13</f>
        <v>-576</v>
      </c>
      <c r="F13" s="410">
        <f>IF(C13=0,0,+E13/C13)</f>
        <v>-0.13417190775681342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7660</v>
      </c>
      <c r="D14" s="409">
        <v>7733</v>
      </c>
      <c r="E14" s="409">
        <f>+D14-C14</f>
        <v>73</v>
      </c>
      <c r="F14" s="410">
        <f>IF(C14=0,0,+E14/C14)</f>
        <v>9.5300261096605745E-3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17342</v>
      </c>
      <c r="D16" s="401">
        <f>SUM(D12:D15)</f>
        <v>16353</v>
      </c>
      <c r="E16" s="401">
        <f>+D16-C16</f>
        <v>-989</v>
      </c>
      <c r="F16" s="402">
        <f>IF(C16=0,0,+E16/C16)</f>
        <v>-5.7029177718832889E-2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1700</v>
      </c>
      <c r="D19" s="409">
        <v>1486</v>
      </c>
      <c r="E19" s="409">
        <f>+D19-C19</f>
        <v>-214</v>
      </c>
      <c r="F19" s="410">
        <f>IF(C19=0,0,+E19/C19)</f>
        <v>-0.12588235294117647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5754</v>
      </c>
      <c r="D20" s="409">
        <v>5177</v>
      </c>
      <c r="E20" s="409">
        <f>+D20-C20</f>
        <v>-577</v>
      </c>
      <c r="F20" s="410">
        <f>IF(C20=0,0,+E20/C20)</f>
        <v>-0.10027806743135211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507</v>
      </c>
      <c r="D21" s="409">
        <v>634</v>
      </c>
      <c r="E21" s="409">
        <f>+D21-C21</f>
        <v>127</v>
      </c>
      <c r="F21" s="410">
        <f>IF(C21=0,0,+E21/C21)</f>
        <v>0.2504930966469428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7961</v>
      </c>
      <c r="D23" s="401">
        <f>SUM(D19:D22)</f>
        <v>7297</v>
      </c>
      <c r="E23" s="401">
        <f>+D23-C23</f>
        <v>-664</v>
      </c>
      <c r="F23" s="402">
        <f>IF(C23=0,0,+E23/C23)</f>
        <v>-8.3406607210149475E-2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14</v>
      </c>
      <c r="D33" s="409">
        <v>8</v>
      </c>
      <c r="E33" s="409">
        <f>+D33-C33</f>
        <v>-6</v>
      </c>
      <c r="F33" s="410">
        <f>IF(C33=0,0,+E33/C33)</f>
        <v>-0.42857142857142855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490</v>
      </c>
      <c r="D34" s="409">
        <v>476</v>
      </c>
      <c r="E34" s="409">
        <f>+D34-C34</f>
        <v>-14</v>
      </c>
      <c r="F34" s="410">
        <f>IF(C34=0,0,+E34/C34)</f>
        <v>-2.8571428571428571E-2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504</v>
      </c>
      <c r="D37" s="401">
        <f>SUM(D33:D36)</f>
        <v>484</v>
      </c>
      <c r="E37" s="401">
        <f>+D37-C37</f>
        <v>-20</v>
      </c>
      <c r="F37" s="402">
        <f>IF(C37=0,0,+E37/C37)</f>
        <v>-3.968253968253968E-2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126</v>
      </c>
      <c r="D43" s="409">
        <v>115</v>
      </c>
      <c r="E43" s="409">
        <f>+D43-C43</f>
        <v>-11</v>
      </c>
      <c r="F43" s="410">
        <f>IF(C43=0,0,+E43/C43)</f>
        <v>-8.7301587301587297E-2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5095</v>
      </c>
      <c r="D44" s="409">
        <v>5128</v>
      </c>
      <c r="E44" s="409">
        <f>+D44-C44</f>
        <v>33</v>
      </c>
      <c r="F44" s="410">
        <f>IF(C44=0,0,+E44/C44)</f>
        <v>6.4769381746810602E-3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5221</v>
      </c>
      <c r="D45" s="401">
        <f>SUM(D43:D44)</f>
        <v>5243</v>
      </c>
      <c r="E45" s="401">
        <f>+D45-C45</f>
        <v>22</v>
      </c>
      <c r="F45" s="402">
        <f>IF(C45=0,0,+E45/C45)</f>
        <v>4.2137521547596247E-3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2301</v>
      </c>
      <c r="D63" s="409">
        <v>2267</v>
      </c>
      <c r="E63" s="409">
        <f>+D63-C63</f>
        <v>-34</v>
      </c>
      <c r="F63" s="410">
        <f>IF(C63=0,0,+E63/C63)</f>
        <v>-1.4776184267709691E-2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6213</v>
      </c>
      <c r="D64" s="409">
        <v>6055</v>
      </c>
      <c r="E64" s="409">
        <f>+D64-C64</f>
        <v>-158</v>
      </c>
      <c r="F64" s="410">
        <f>IF(C64=0,0,+E64/C64)</f>
        <v>-2.5430548849187187E-2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8514</v>
      </c>
      <c r="D65" s="401">
        <f>SUM(D63:D64)</f>
        <v>8322</v>
      </c>
      <c r="E65" s="401">
        <f>+D65-C65</f>
        <v>-192</v>
      </c>
      <c r="F65" s="402">
        <f>IF(C65=0,0,+E65/C65)</f>
        <v>-2.255109231853418E-2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1182</v>
      </c>
      <c r="D68" s="409">
        <v>1145</v>
      </c>
      <c r="E68" s="409">
        <f>+D68-C68</f>
        <v>-37</v>
      </c>
      <c r="F68" s="410">
        <f>IF(C68=0,0,+E68/C68)</f>
        <v>-3.1302876480541454E-2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7046</v>
      </c>
      <c r="D69" s="409">
        <v>7319</v>
      </c>
      <c r="E69" s="409">
        <f>+D69-C69</f>
        <v>273</v>
      </c>
      <c r="F69" s="412">
        <f>IF(C69=0,0,+E69/C69)</f>
        <v>3.8745387453874541E-2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8228</v>
      </c>
      <c r="D70" s="401">
        <f>SUM(D68:D69)</f>
        <v>8464</v>
      </c>
      <c r="E70" s="401">
        <f>+D70-C70</f>
        <v>236</v>
      </c>
      <c r="F70" s="402">
        <f>IF(C70=0,0,+E70/C70)</f>
        <v>2.8682547399124941E-2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7232</v>
      </c>
      <c r="D73" s="376">
        <v>6894</v>
      </c>
      <c r="E73" s="409">
        <f>+D73-C73</f>
        <v>-338</v>
      </c>
      <c r="F73" s="410">
        <f>IF(C73=0,0,+E73/C73)</f>
        <v>-4.6736725663716817E-2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84907</v>
      </c>
      <c r="D74" s="376">
        <v>52897</v>
      </c>
      <c r="E74" s="409">
        <f>+D74-C74</f>
        <v>-32010</v>
      </c>
      <c r="F74" s="410">
        <f>IF(C74=0,0,+E74/C74)</f>
        <v>-0.37700071843310917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92139</v>
      </c>
      <c r="D75" s="401">
        <f>SUM(D73:D74)</f>
        <v>59791</v>
      </c>
      <c r="E75" s="401">
        <f>SUM(E73:E74)</f>
        <v>-32348</v>
      </c>
      <c r="F75" s="402">
        <f>IF(C75=0,0,+E75/C75)</f>
        <v>-0.35107826219082039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33972</v>
      </c>
      <c r="E84" s="409">
        <f t="shared" si="0"/>
        <v>33972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2298</v>
      </c>
      <c r="D87" s="376">
        <v>0</v>
      </c>
      <c r="E87" s="409">
        <f t="shared" si="0"/>
        <v>-2298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2306</v>
      </c>
      <c r="E91" s="409">
        <f t="shared" si="0"/>
        <v>2306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2298</v>
      </c>
      <c r="D92" s="381">
        <f>SUM(D79:D91)</f>
        <v>36278</v>
      </c>
      <c r="E92" s="401">
        <f t="shared" si="0"/>
        <v>33980</v>
      </c>
      <c r="F92" s="402">
        <f t="shared" si="1"/>
        <v>14.786771105308965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444</v>
      </c>
      <c r="D95" s="414">
        <v>613</v>
      </c>
      <c r="E95" s="415">
        <f t="shared" ref="E95:E100" si="2">+D95-C95</f>
        <v>169</v>
      </c>
      <c r="F95" s="412">
        <f t="shared" ref="F95:F100" si="3">IF(C95=0,0,+E95/C95)</f>
        <v>0.38063063063063063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2567</v>
      </c>
      <c r="D96" s="414">
        <v>2254</v>
      </c>
      <c r="E96" s="409">
        <f t="shared" si="2"/>
        <v>-313</v>
      </c>
      <c r="F96" s="410">
        <f t="shared" si="3"/>
        <v>-0.12193221659524738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3701</v>
      </c>
      <c r="D97" s="414">
        <v>931</v>
      </c>
      <c r="E97" s="409">
        <f t="shared" si="2"/>
        <v>-2770</v>
      </c>
      <c r="F97" s="410">
        <f t="shared" si="3"/>
        <v>-0.74844636584706836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7046</v>
      </c>
      <c r="D98" s="414">
        <v>7319</v>
      </c>
      <c r="E98" s="409">
        <f t="shared" si="2"/>
        <v>273</v>
      </c>
      <c r="F98" s="410">
        <f t="shared" si="3"/>
        <v>3.8745387453874541E-2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68420</v>
      </c>
      <c r="D99" s="414">
        <v>62972</v>
      </c>
      <c r="E99" s="409">
        <f t="shared" si="2"/>
        <v>-5448</v>
      </c>
      <c r="F99" s="410">
        <f t="shared" si="3"/>
        <v>-7.9625840397544584E-2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82178</v>
      </c>
      <c r="D100" s="381">
        <f>SUM(D95:D99)</f>
        <v>74089</v>
      </c>
      <c r="E100" s="401">
        <f t="shared" si="2"/>
        <v>-8089</v>
      </c>
      <c r="F100" s="402">
        <f t="shared" si="3"/>
        <v>-9.8432670544427947E-2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332.6</v>
      </c>
      <c r="D104" s="416">
        <v>310.2</v>
      </c>
      <c r="E104" s="417">
        <f>+D104-C104</f>
        <v>-22.400000000000034</v>
      </c>
      <c r="F104" s="410">
        <f>IF(C104=0,0,+E104/C104)</f>
        <v>-6.7348165965123372E-2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43.8</v>
      </c>
      <c r="D105" s="416">
        <v>44.7</v>
      </c>
      <c r="E105" s="417">
        <f>+D105-C105</f>
        <v>0.90000000000000568</v>
      </c>
      <c r="F105" s="410">
        <f>IF(C105=0,0,+E105/C105)</f>
        <v>2.0547945205479583E-2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678.2</v>
      </c>
      <c r="D106" s="416">
        <v>673.2</v>
      </c>
      <c r="E106" s="417">
        <f>+D106-C106</f>
        <v>-5</v>
      </c>
      <c r="F106" s="410">
        <f>IF(C106=0,0,+E106/C106)</f>
        <v>-7.3724565025066347E-3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1054.6000000000001</v>
      </c>
      <c r="D107" s="418">
        <f>SUM(D104:D106)</f>
        <v>1028.0999999999999</v>
      </c>
      <c r="E107" s="418">
        <f>+D107-C107</f>
        <v>-26.500000000000227</v>
      </c>
      <c r="F107" s="402">
        <f>IF(C107=0,0,+E107/C107)</f>
        <v>-2.5128010620140549E-2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6213</v>
      </c>
      <c r="D12" s="409">
        <v>6055</v>
      </c>
      <c r="E12" s="409">
        <f>+D12-C12</f>
        <v>-158</v>
      </c>
      <c r="F12" s="410">
        <f>IF(C12=0,0,+E12/C12)</f>
        <v>-2.5430548849187187E-2</v>
      </c>
    </row>
    <row r="13" spans="1:6" ht="15.75" customHeight="1" x14ac:dyDescent="0.25">
      <c r="A13" s="374"/>
      <c r="B13" s="399" t="s">
        <v>622</v>
      </c>
      <c r="C13" s="401">
        <f>SUM(C11:C12)</f>
        <v>6213</v>
      </c>
      <c r="D13" s="401">
        <f>SUM(D11:D12)</f>
        <v>6055</v>
      </c>
      <c r="E13" s="401">
        <f>+D13-C13</f>
        <v>-158</v>
      </c>
      <c r="F13" s="402">
        <f>IF(C13=0,0,+E13/C13)</f>
        <v>-2.5430548849187187E-2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7046</v>
      </c>
      <c r="D16" s="409">
        <v>7319</v>
      </c>
      <c r="E16" s="409">
        <f>+D16-C16</f>
        <v>273</v>
      </c>
      <c r="F16" s="410">
        <f>IF(C16=0,0,+E16/C16)</f>
        <v>3.8745387453874541E-2</v>
      </c>
    </row>
    <row r="17" spans="1:6" ht="15.75" customHeight="1" x14ac:dyDescent="0.25">
      <c r="A17" s="374"/>
      <c r="B17" s="399" t="s">
        <v>623</v>
      </c>
      <c r="C17" s="401">
        <f>SUM(C15:C16)</f>
        <v>7046</v>
      </c>
      <c r="D17" s="401">
        <f>SUM(D15:D16)</f>
        <v>7319</v>
      </c>
      <c r="E17" s="401">
        <f>+D17-C17</f>
        <v>273</v>
      </c>
      <c r="F17" s="402">
        <f>IF(C17=0,0,+E17/C17)</f>
        <v>3.8745387453874541E-2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4567</v>
      </c>
      <c r="D20" s="409">
        <v>0</v>
      </c>
      <c r="E20" s="409">
        <f>+D20-C20</f>
        <v>-4567</v>
      </c>
      <c r="F20" s="410">
        <f>IF(C20=0,0,+E20/C20)</f>
        <v>-1</v>
      </c>
    </row>
    <row r="21" spans="1:6" ht="15.75" customHeight="1" x14ac:dyDescent="0.2">
      <c r="A21" s="374">
        <v>2</v>
      </c>
      <c r="B21" s="408" t="s">
        <v>626</v>
      </c>
      <c r="C21" s="409">
        <v>27877</v>
      </c>
      <c r="D21" s="409">
        <v>0</v>
      </c>
      <c r="E21" s="409">
        <f>+D21-C21</f>
        <v>-27877</v>
      </c>
      <c r="F21" s="410">
        <f>IF(C21=0,0,+E21/C21)</f>
        <v>-1</v>
      </c>
    </row>
    <row r="22" spans="1:6" ht="15.75" customHeight="1" x14ac:dyDescent="0.2">
      <c r="A22" s="374">
        <v>3</v>
      </c>
      <c r="B22" s="408" t="s">
        <v>621</v>
      </c>
      <c r="C22" s="409">
        <v>52463</v>
      </c>
      <c r="D22" s="409">
        <v>52897</v>
      </c>
      <c r="E22" s="409">
        <f>+D22-C22</f>
        <v>434</v>
      </c>
      <c r="F22" s="410">
        <f>IF(C22=0,0,+E22/C22)</f>
        <v>8.2724968072736983E-3</v>
      </c>
    </row>
    <row r="23" spans="1:6" ht="15.75" customHeight="1" x14ac:dyDescent="0.25">
      <c r="A23" s="374"/>
      <c r="B23" s="399" t="s">
        <v>627</v>
      </c>
      <c r="C23" s="401">
        <f>SUM(C19:C22)</f>
        <v>84907</v>
      </c>
      <c r="D23" s="401">
        <f>SUM(D19:D22)</f>
        <v>52897</v>
      </c>
      <c r="E23" s="401">
        <f>+D23-C23</f>
        <v>-32010</v>
      </c>
      <c r="F23" s="402">
        <f>IF(C23=0,0,+E23/C23)</f>
        <v>-0.37700071843310917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122637612</v>
      </c>
      <c r="D15" s="448">
        <v>130191173</v>
      </c>
      <c r="E15" s="448">
        <f t="shared" ref="E15:E24" si="0">D15-C15</f>
        <v>7553561</v>
      </c>
      <c r="F15" s="449">
        <f t="shared" ref="F15:F24" si="1">IF(C15=0,0,E15/C15)</f>
        <v>6.1592531661493866E-2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51806794</v>
      </c>
      <c r="D16" s="448">
        <v>50847282</v>
      </c>
      <c r="E16" s="448">
        <f t="shared" si="0"/>
        <v>-959512</v>
      </c>
      <c r="F16" s="449">
        <f t="shared" si="1"/>
        <v>-1.852096850463281E-2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0.42243805269137169</v>
      </c>
      <c r="D17" s="453">
        <f>IF(LN_IA1=0,0,LN_IA2/LN_IA1)</f>
        <v>0.39055859800879128</v>
      </c>
      <c r="E17" s="454">
        <f t="shared" si="0"/>
        <v>-3.187945468258041E-2</v>
      </c>
      <c r="F17" s="449">
        <f t="shared" si="1"/>
        <v>-7.5465395409989658E-2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5054</v>
      </c>
      <c r="D18" s="456">
        <v>4908</v>
      </c>
      <c r="E18" s="456">
        <f t="shared" si="0"/>
        <v>-146</v>
      </c>
      <c r="F18" s="449">
        <f t="shared" si="1"/>
        <v>-2.8888009497427779E-2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1.3859999999999999</v>
      </c>
      <c r="D19" s="459">
        <v>1.52013</v>
      </c>
      <c r="E19" s="460">
        <f t="shared" si="0"/>
        <v>0.13413000000000008</v>
      </c>
      <c r="F19" s="449">
        <f t="shared" si="1"/>
        <v>9.6774891774891847E-2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7004.8439999999991</v>
      </c>
      <c r="D20" s="463">
        <f>LN_IA4*LN_IA5</f>
        <v>7460.7980399999997</v>
      </c>
      <c r="E20" s="463">
        <f t="shared" si="0"/>
        <v>455.95404000000053</v>
      </c>
      <c r="F20" s="449">
        <f t="shared" si="1"/>
        <v>6.5091248284758457E-2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7395.8526414007229</v>
      </c>
      <c r="D21" s="465">
        <f>IF(LN_IA6=0,0,LN_IA2/LN_IA6)</f>
        <v>6815.2604758082962</v>
      </c>
      <c r="E21" s="465">
        <f t="shared" si="0"/>
        <v>-580.59216559242668</v>
      </c>
      <c r="F21" s="449">
        <f t="shared" si="1"/>
        <v>-7.8502397727933451E-2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23891</v>
      </c>
      <c r="D22" s="456">
        <v>24257</v>
      </c>
      <c r="E22" s="456">
        <f t="shared" si="0"/>
        <v>366</v>
      </c>
      <c r="F22" s="449">
        <f t="shared" si="1"/>
        <v>1.53195764095266E-2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2168.4648612448204</v>
      </c>
      <c r="D23" s="465">
        <f>IF(LN_IA8=0,0,LN_IA2/LN_IA8)</f>
        <v>2096.1900482334995</v>
      </c>
      <c r="E23" s="465">
        <f t="shared" si="0"/>
        <v>-72.27481301132093</v>
      </c>
      <c r="F23" s="449">
        <f t="shared" si="1"/>
        <v>-3.332994428594574E-2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4.7271468144044322</v>
      </c>
      <c r="D24" s="466">
        <f>IF(LN_IA4=0,0,LN_IA8/LN_IA4)</f>
        <v>4.9423390383048087</v>
      </c>
      <c r="E24" s="466">
        <f t="shared" si="0"/>
        <v>0.21519222390037651</v>
      </c>
      <c r="F24" s="449">
        <f t="shared" si="1"/>
        <v>4.5522644493428611E-2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88615644</v>
      </c>
      <c r="D27" s="448">
        <v>96879700</v>
      </c>
      <c r="E27" s="448">
        <f t="shared" ref="E27:E32" si="2">D27-C27</f>
        <v>8264056</v>
      </c>
      <c r="F27" s="449">
        <f t="shared" ref="F27:F32" si="3">IF(C27=0,0,E27/C27)</f>
        <v>9.3257303416990345E-2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25418361</v>
      </c>
      <c r="D28" s="448">
        <v>26993382</v>
      </c>
      <c r="E28" s="448">
        <f t="shared" si="2"/>
        <v>1575021</v>
      </c>
      <c r="F28" s="449">
        <f t="shared" si="3"/>
        <v>6.1963908687896911E-2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0.28683830362954876</v>
      </c>
      <c r="D29" s="453">
        <f>IF(LN_IA11=0,0,LN_IA12/LN_IA11)</f>
        <v>0.27862784463618279</v>
      </c>
      <c r="E29" s="454">
        <f t="shared" si="2"/>
        <v>-8.2104589933659766E-3</v>
      </c>
      <c r="F29" s="449">
        <f t="shared" si="3"/>
        <v>-2.862399787432076E-2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0.72258129096642876</v>
      </c>
      <c r="D30" s="453">
        <f>IF(LN_IA1=0,0,LN_IA11/LN_IA1)</f>
        <v>0.74413416645381947</v>
      </c>
      <c r="E30" s="454">
        <f t="shared" si="2"/>
        <v>2.155287548739071E-2</v>
      </c>
      <c r="F30" s="449">
        <f t="shared" si="3"/>
        <v>2.9827613525067121E-2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3651.9258445443311</v>
      </c>
      <c r="D31" s="463">
        <f>LN_IA14*LN_IA4</f>
        <v>3652.2104889553461</v>
      </c>
      <c r="E31" s="463">
        <f t="shared" si="2"/>
        <v>0.28464441101505145</v>
      </c>
      <c r="F31" s="449">
        <f t="shared" si="3"/>
        <v>7.7943644841607665E-5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6960.2620869130969</v>
      </c>
      <c r="D32" s="465">
        <f>IF(LN_IA15=0,0,LN_IA12/LN_IA15)</f>
        <v>7390.9710520876924</v>
      </c>
      <c r="E32" s="465">
        <f t="shared" si="2"/>
        <v>430.70896517459551</v>
      </c>
      <c r="F32" s="449">
        <f t="shared" si="3"/>
        <v>6.1881141801316361E-2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211253256</v>
      </c>
      <c r="D35" s="448">
        <f>LN_IA1+LN_IA11</f>
        <v>227070873</v>
      </c>
      <c r="E35" s="448">
        <f>D35-C35</f>
        <v>15817617</v>
      </c>
      <c r="F35" s="449">
        <f>IF(C35=0,0,E35/C35)</f>
        <v>7.4875139439270932E-2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77225155</v>
      </c>
      <c r="D36" s="448">
        <f>LN_IA2+LN_IA12</f>
        <v>77840664</v>
      </c>
      <c r="E36" s="448">
        <f>D36-C36</f>
        <v>615509</v>
      </c>
      <c r="F36" s="449">
        <f>IF(C36=0,0,E36/C36)</f>
        <v>7.9703174438432653E-3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134028101</v>
      </c>
      <c r="D37" s="448">
        <f>LN_IA17-LN_IA18</f>
        <v>149230209</v>
      </c>
      <c r="E37" s="448">
        <f>D37-C37</f>
        <v>15202108</v>
      </c>
      <c r="F37" s="449">
        <f>IF(C37=0,0,E37/C37)</f>
        <v>0.11342478097186499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55914210</v>
      </c>
      <c r="D42" s="448">
        <v>52921319</v>
      </c>
      <c r="E42" s="448">
        <f t="shared" ref="E42:E53" si="4">D42-C42</f>
        <v>-2992891</v>
      </c>
      <c r="F42" s="449">
        <f t="shared" ref="F42:F53" si="5">IF(C42=0,0,E42/C42)</f>
        <v>-5.3526482802851008E-2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35838100</v>
      </c>
      <c r="D43" s="448">
        <v>35010054</v>
      </c>
      <c r="E43" s="448">
        <f t="shared" si="4"/>
        <v>-828046</v>
      </c>
      <c r="F43" s="449">
        <f t="shared" si="5"/>
        <v>-2.3105186937923607E-2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0.64094798084422544</v>
      </c>
      <c r="D44" s="453">
        <f>IF(LN_IB1=0,0,LN_IB2/LN_IB1)</f>
        <v>0.6615491575332807</v>
      </c>
      <c r="E44" s="454">
        <f t="shared" si="4"/>
        <v>2.0601176689055256E-2</v>
      </c>
      <c r="F44" s="449">
        <f t="shared" si="5"/>
        <v>3.2141729601707129E-2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3098</v>
      </c>
      <c r="D45" s="456">
        <v>2804</v>
      </c>
      <c r="E45" s="456">
        <f t="shared" si="4"/>
        <v>-294</v>
      </c>
      <c r="F45" s="449">
        <f t="shared" si="5"/>
        <v>-9.4899935442220792E-2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1.0921000000000001</v>
      </c>
      <c r="D46" s="459">
        <v>1.10877</v>
      </c>
      <c r="E46" s="460">
        <f t="shared" si="4"/>
        <v>1.6669999999999963E-2</v>
      </c>
      <c r="F46" s="449">
        <f t="shared" si="5"/>
        <v>1.5264169947806942E-2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3383.3258000000001</v>
      </c>
      <c r="D47" s="463">
        <f>LN_IB4*LN_IB5</f>
        <v>3108.9910800000002</v>
      </c>
      <c r="E47" s="463">
        <f t="shared" si="4"/>
        <v>-274.33471999999983</v>
      </c>
      <c r="F47" s="449">
        <f t="shared" si="5"/>
        <v>-8.1084334237039729E-2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10592.565457337865</v>
      </c>
      <c r="D48" s="465">
        <f>IF(LN_IB6=0,0,LN_IB2/LN_IB6)</f>
        <v>11260.905258049179</v>
      </c>
      <c r="E48" s="465">
        <f t="shared" si="4"/>
        <v>668.33980071131373</v>
      </c>
      <c r="F48" s="449">
        <f t="shared" si="5"/>
        <v>6.309517778323756E-2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-3196.7128159371423</v>
      </c>
      <c r="D49" s="465">
        <f>LN_IA7-LN_IB7</f>
        <v>-4445.6447822408827</v>
      </c>
      <c r="E49" s="465">
        <f t="shared" si="4"/>
        <v>-1248.9319663037404</v>
      </c>
      <c r="F49" s="449">
        <f t="shared" si="5"/>
        <v>0.39069257647331257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-10815520.945350785</v>
      </c>
      <c r="D50" s="479">
        <f>LN_IB8*LN_IB6</f>
        <v>-13821469.972835448</v>
      </c>
      <c r="E50" s="479">
        <f t="shared" si="4"/>
        <v>-3005949.0274846628</v>
      </c>
      <c r="F50" s="449">
        <f t="shared" si="5"/>
        <v>0.27792919478158057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10383</v>
      </c>
      <c r="D51" s="456">
        <v>9388</v>
      </c>
      <c r="E51" s="456">
        <f t="shared" si="4"/>
        <v>-995</v>
      </c>
      <c r="F51" s="449">
        <f t="shared" si="5"/>
        <v>-9.5829721660406431E-2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3451.6132139073484</v>
      </c>
      <c r="D52" s="465">
        <f>IF(LN_IB10=0,0,LN_IB2/LN_IB10)</f>
        <v>3729.2345547507457</v>
      </c>
      <c r="E52" s="465">
        <f t="shared" si="4"/>
        <v>277.62134084339732</v>
      </c>
      <c r="F52" s="449">
        <f t="shared" si="5"/>
        <v>8.0432343845711532E-2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3.3515171078114911</v>
      </c>
      <c r="D53" s="466">
        <f>IF(LN_IB4=0,0,LN_IB10/LN_IB4)</f>
        <v>3.3480741797432239</v>
      </c>
      <c r="E53" s="466">
        <f t="shared" si="4"/>
        <v>-3.4429280682672925E-3</v>
      </c>
      <c r="F53" s="449">
        <f t="shared" si="5"/>
        <v>-1.0272745021180846E-3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120756250</v>
      </c>
      <c r="D56" s="448">
        <v>122851558</v>
      </c>
      <c r="E56" s="448">
        <f t="shared" ref="E56:E63" si="6">D56-C56</f>
        <v>2095308</v>
      </c>
      <c r="F56" s="449">
        <f t="shared" ref="F56:F63" si="7">IF(C56=0,0,E56/C56)</f>
        <v>1.7351549091661922E-2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78306104</v>
      </c>
      <c r="D57" s="448">
        <v>83307287</v>
      </c>
      <c r="E57" s="448">
        <f t="shared" si="6"/>
        <v>5001183</v>
      </c>
      <c r="F57" s="449">
        <f t="shared" si="7"/>
        <v>6.38670901057726E-2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0.64846419129444643</v>
      </c>
      <c r="D58" s="453">
        <f>IF(LN_IB13=0,0,LN_IB14/LN_IB13)</f>
        <v>0.67811339437795326</v>
      </c>
      <c r="E58" s="454">
        <f t="shared" si="6"/>
        <v>2.9649203083506825E-2</v>
      </c>
      <c r="F58" s="449">
        <f t="shared" si="7"/>
        <v>4.572219018651115E-2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2.1596701446734201</v>
      </c>
      <c r="D59" s="453">
        <f>IF(LN_IB1=0,0,LN_IB13/LN_IB1)</f>
        <v>2.3214001525547765</v>
      </c>
      <c r="E59" s="454">
        <f t="shared" si="6"/>
        <v>0.16173000788135639</v>
      </c>
      <c r="F59" s="449">
        <f t="shared" si="7"/>
        <v>7.4886439616829906E-2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6690.6581081982558</v>
      </c>
      <c r="D60" s="463">
        <f>LN_IB16*LN_IB4</f>
        <v>6509.2060277635937</v>
      </c>
      <c r="E60" s="463">
        <f t="shared" si="6"/>
        <v>-181.45208043466209</v>
      </c>
      <c r="F60" s="449">
        <f t="shared" si="7"/>
        <v>-2.7120214110525787E-2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11703.796955945078</v>
      </c>
      <c r="D61" s="465">
        <f>IF(LN_IB17=0,0,LN_IB14/LN_IB17)</f>
        <v>12798.379194739113</v>
      </c>
      <c r="E61" s="465">
        <f t="shared" si="6"/>
        <v>1094.5822387940352</v>
      </c>
      <c r="F61" s="449">
        <f t="shared" si="7"/>
        <v>9.3523686621889798E-2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-4743.5348690319806</v>
      </c>
      <c r="D62" s="465">
        <f>LN_IA16-LN_IB18</f>
        <v>-5407.4081426514203</v>
      </c>
      <c r="E62" s="465">
        <f t="shared" si="6"/>
        <v>-663.87327361943971</v>
      </c>
      <c r="F62" s="449">
        <f t="shared" si="7"/>
        <v>0.13995328208790361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-31737370.033009972</v>
      </c>
      <c r="D63" s="448">
        <f>LN_IB19*LN_IB17</f>
        <v>-35197933.676724561</v>
      </c>
      <c r="E63" s="448">
        <f t="shared" si="6"/>
        <v>-3460563.6437145881</v>
      </c>
      <c r="F63" s="449">
        <f t="shared" si="7"/>
        <v>0.10903750500168297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176670460</v>
      </c>
      <c r="D66" s="448">
        <f>LN_IB1+LN_IB13</f>
        <v>175772877</v>
      </c>
      <c r="E66" s="448">
        <f>D66-C66</f>
        <v>-897583</v>
      </c>
      <c r="F66" s="449">
        <f>IF(C66=0,0,E66/C66)</f>
        <v>-5.0805494025430173E-3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114144204</v>
      </c>
      <c r="D67" s="448">
        <f>LN_IB2+LN_IB14</f>
        <v>118317341</v>
      </c>
      <c r="E67" s="448">
        <f>D67-C67</f>
        <v>4173137</v>
      </c>
      <c r="F67" s="449">
        <f>IF(C67=0,0,E67/C67)</f>
        <v>3.6560218160529644E-2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62526256</v>
      </c>
      <c r="D68" s="448">
        <f>LN_IB21-LN_IB22</f>
        <v>57455536</v>
      </c>
      <c r="E68" s="448">
        <f>D68-C68</f>
        <v>-5070720</v>
      </c>
      <c r="F68" s="449">
        <f>IF(C68=0,0,E68/C68)</f>
        <v>-8.1097451285104927E-2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-42552890.978360757</v>
      </c>
      <c r="D70" s="441">
        <f>LN_IB9+LN_IB20</f>
        <v>-49019403.649560004</v>
      </c>
      <c r="E70" s="448">
        <f>D70-C70</f>
        <v>-6466512.6711992472</v>
      </c>
      <c r="F70" s="449">
        <f>IF(C70=0,0,E70/C70)</f>
        <v>0.15196412094509951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165440521</v>
      </c>
      <c r="D73" s="488">
        <v>163272936</v>
      </c>
      <c r="E73" s="488">
        <f>D73-C73</f>
        <v>-2167585</v>
      </c>
      <c r="F73" s="489">
        <f>IF(C73=0,0,E73/C73)</f>
        <v>-1.3101899020252723E-2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113609361</v>
      </c>
      <c r="D74" s="488">
        <v>115287227</v>
      </c>
      <c r="E74" s="488">
        <f>D74-C74</f>
        <v>1677866</v>
      </c>
      <c r="F74" s="489">
        <f>IF(C74=0,0,E74/C74)</f>
        <v>1.4768730192928381E-2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51831160</v>
      </c>
      <c r="D76" s="441">
        <f>LN_IB32-LN_IB33</f>
        <v>47985709</v>
      </c>
      <c r="E76" s="488">
        <f>D76-C76</f>
        <v>-3845451</v>
      </c>
      <c r="F76" s="489">
        <f>IF(E76=0,0,E76/C76)</f>
        <v>-7.4191876083807506E-2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0.31329180835933174</v>
      </c>
      <c r="D77" s="453">
        <f>IF(LN_IB32=0,0,LN_IB34/LN_IB32)</f>
        <v>0.29389873285551749</v>
      </c>
      <c r="E77" s="493">
        <f>D77-C77</f>
        <v>-1.939307550381425E-2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3563947</v>
      </c>
      <c r="D83" s="448">
        <v>4451612</v>
      </c>
      <c r="E83" s="448">
        <f t="shared" ref="E83:E95" si="8">D83-C83</f>
        <v>887665</v>
      </c>
      <c r="F83" s="449">
        <f t="shared" ref="F83:F95" si="9">IF(C83=0,0,E83/C83)</f>
        <v>0.24906795752013147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276890</v>
      </c>
      <c r="D84" s="448">
        <v>943085</v>
      </c>
      <c r="E84" s="448">
        <f t="shared" si="8"/>
        <v>666195</v>
      </c>
      <c r="F84" s="449">
        <f t="shared" si="9"/>
        <v>2.4059915489905737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7.7691952209165846E-2</v>
      </c>
      <c r="D85" s="453">
        <f>IF(LN_IC1=0,0,LN_IC2/LN_IC1)</f>
        <v>0.21185247052079112</v>
      </c>
      <c r="E85" s="454">
        <f t="shared" si="8"/>
        <v>0.13416051831162529</v>
      </c>
      <c r="F85" s="449">
        <f t="shared" si="9"/>
        <v>1.7268264536644951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254</v>
      </c>
      <c r="D86" s="456">
        <v>242</v>
      </c>
      <c r="E86" s="456">
        <f t="shared" si="8"/>
        <v>-12</v>
      </c>
      <c r="F86" s="449">
        <f t="shared" si="9"/>
        <v>-4.7244094488188976E-2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0.97824999999999995</v>
      </c>
      <c r="D87" s="459">
        <v>0.94379000000000002</v>
      </c>
      <c r="E87" s="460">
        <f t="shared" si="8"/>
        <v>-3.4459999999999935E-2</v>
      </c>
      <c r="F87" s="449">
        <f t="shared" si="9"/>
        <v>-3.5226169179657485E-2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248.47549999999998</v>
      </c>
      <c r="D88" s="463">
        <f>LN_IC4*LN_IC5</f>
        <v>228.39717999999999</v>
      </c>
      <c r="E88" s="463">
        <f t="shared" si="8"/>
        <v>-20.078319999999991</v>
      </c>
      <c r="F88" s="449">
        <f t="shared" si="9"/>
        <v>-8.0806035202665827E-2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1114.3553388563462</v>
      </c>
      <c r="D89" s="465">
        <f>IF(LN_IC6=0,0,LN_IC2/LN_IC6)</f>
        <v>4129.144676830073</v>
      </c>
      <c r="E89" s="465">
        <f t="shared" si="8"/>
        <v>3014.789337973727</v>
      </c>
      <c r="F89" s="449">
        <f t="shared" si="9"/>
        <v>2.7054111313073448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9478.2101184815183</v>
      </c>
      <c r="D90" s="465">
        <f>LN_IB7-LN_IC7</f>
        <v>7131.7605812191059</v>
      </c>
      <c r="E90" s="465">
        <f t="shared" si="8"/>
        <v>-2346.4495372624124</v>
      </c>
      <c r="F90" s="449">
        <f t="shared" si="9"/>
        <v>-0.24756251527776127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6281.4973025443769</v>
      </c>
      <c r="D91" s="465">
        <f>LN_IA7-LN_IC7</f>
        <v>2686.1157989782232</v>
      </c>
      <c r="E91" s="465">
        <f t="shared" si="8"/>
        <v>-3595.3815035661537</v>
      </c>
      <c r="F91" s="449">
        <f t="shared" si="9"/>
        <v>-0.57237650999385326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1560798.1829983653</v>
      </c>
      <c r="D92" s="441">
        <f>LN_IC9*LN_IC6</f>
        <v>613501.27364007302</v>
      </c>
      <c r="E92" s="441">
        <f t="shared" si="8"/>
        <v>-947296.90935829224</v>
      </c>
      <c r="F92" s="449">
        <f t="shared" si="9"/>
        <v>-0.60693106878077674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925</v>
      </c>
      <c r="D93" s="456">
        <v>882</v>
      </c>
      <c r="E93" s="456">
        <f t="shared" si="8"/>
        <v>-43</v>
      </c>
      <c r="F93" s="449">
        <f t="shared" si="9"/>
        <v>-4.6486486486486484E-2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299.34054054054053</v>
      </c>
      <c r="D94" s="499">
        <f>IF(LN_IC11=0,0,LN_IC2/LN_IC11)</f>
        <v>1069.2573696145125</v>
      </c>
      <c r="E94" s="499">
        <f t="shared" si="8"/>
        <v>769.91682907397194</v>
      </c>
      <c r="F94" s="449">
        <f t="shared" si="9"/>
        <v>2.5720432911749218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3.6417322834645671</v>
      </c>
      <c r="D95" s="466">
        <f>IF(LN_IC4=0,0,LN_IC11/LN_IC4)</f>
        <v>3.6446280991735538</v>
      </c>
      <c r="E95" s="466">
        <f t="shared" si="8"/>
        <v>2.895815708986671E-3</v>
      </c>
      <c r="F95" s="449">
        <f t="shared" si="9"/>
        <v>7.9517534062985339E-4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7665991</v>
      </c>
      <c r="D98" s="448">
        <v>8048329</v>
      </c>
      <c r="E98" s="448">
        <f t="shared" ref="E98:E106" si="10">D98-C98</f>
        <v>382338</v>
      </c>
      <c r="F98" s="449">
        <f t="shared" ref="F98:F106" si="11">IF(C98=0,0,E98/C98)</f>
        <v>4.9874569380527582E-2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908179</v>
      </c>
      <c r="D99" s="448">
        <v>2160322</v>
      </c>
      <c r="E99" s="448">
        <f t="shared" si="10"/>
        <v>1252143</v>
      </c>
      <c r="F99" s="449">
        <f t="shared" si="11"/>
        <v>1.3787403144093842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0.11846857112146361</v>
      </c>
      <c r="D100" s="453">
        <f>IF(LN_IC14=0,0,LN_IC15/LN_IC14)</f>
        <v>0.26841869908648119</v>
      </c>
      <c r="E100" s="454">
        <f t="shared" si="10"/>
        <v>0.14995012796501758</v>
      </c>
      <c r="F100" s="449">
        <f t="shared" si="11"/>
        <v>1.2657376259841653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2.1509834461623587</v>
      </c>
      <c r="D101" s="453">
        <f>IF(LN_IC1=0,0,LN_IC14/LN_IC1)</f>
        <v>1.8079583306002409</v>
      </c>
      <c r="E101" s="454">
        <f t="shared" si="10"/>
        <v>-0.34302511556211779</v>
      </c>
      <c r="F101" s="449">
        <f t="shared" si="11"/>
        <v>-0.15947361946188862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546.34979532523914</v>
      </c>
      <c r="D102" s="463">
        <f>LN_IC17*LN_IC4</f>
        <v>437.5259160052583</v>
      </c>
      <c r="E102" s="463">
        <f t="shared" si="10"/>
        <v>-108.82387931998085</v>
      </c>
      <c r="F102" s="449">
        <f t="shared" si="11"/>
        <v>-0.19918352720384669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1662.266569459161</v>
      </c>
      <c r="D103" s="465">
        <f>IF(LN_IC18=0,0,LN_IC15/LN_IC18)</f>
        <v>4937.5863713957388</v>
      </c>
      <c r="E103" s="465">
        <f t="shared" si="10"/>
        <v>3275.3198019365777</v>
      </c>
      <c r="F103" s="449">
        <f t="shared" si="11"/>
        <v>1.9703938358107289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10041.530386485916</v>
      </c>
      <c r="D104" s="465">
        <f>LN_IB18-LN_IC19</f>
        <v>7860.792823343374</v>
      </c>
      <c r="E104" s="465">
        <f t="shared" si="10"/>
        <v>-2180.7375631425421</v>
      </c>
      <c r="F104" s="449">
        <f t="shared" si="11"/>
        <v>-0.21717183329718551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5297.9955174539355</v>
      </c>
      <c r="D105" s="465">
        <f>LN_IA16-LN_IC19</f>
        <v>2453.3846806919537</v>
      </c>
      <c r="E105" s="465">
        <f t="shared" si="10"/>
        <v>-2844.6108367619818</v>
      </c>
      <c r="F105" s="449">
        <f t="shared" si="11"/>
        <v>-0.53692209202340357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2894558.766594992</v>
      </c>
      <c r="D106" s="448">
        <f>LN_IC21*LN_IC18</f>
        <v>1073419.3797330151</v>
      </c>
      <c r="E106" s="448">
        <f t="shared" si="10"/>
        <v>-1821139.3868619769</v>
      </c>
      <c r="F106" s="449">
        <f t="shared" si="11"/>
        <v>-0.62915958310436049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11229938</v>
      </c>
      <c r="D109" s="448">
        <f>LN_IC1+LN_IC14</f>
        <v>12499941</v>
      </c>
      <c r="E109" s="448">
        <f>D109-C109</f>
        <v>1270003</v>
      </c>
      <c r="F109" s="449">
        <f>IF(C109=0,0,E109/C109)</f>
        <v>0.11309082917465796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1185069</v>
      </c>
      <c r="D110" s="448">
        <f>LN_IC2+LN_IC15</f>
        <v>3103407</v>
      </c>
      <c r="E110" s="448">
        <f>D110-C110</f>
        <v>1918338</v>
      </c>
      <c r="F110" s="449">
        <f>IF(C110=0,0,E110/C110)</f>
        <v>1.6187563762110055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10044869</v>
      </c>
      <c r="D111" s="448">
        <f>LN_IC23-LN_IC24</f>
        <v>9396534</v>
      </c>
      <c r="E111" s="448">
        <f>D111-C111</f>
        <v>-648335</v>
      </c>
      <c r="F111" s="449">
        <f>IF(C111=0,0,E111/C111)</f>
        <v>-6.4543897984134985E-2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4455356.9495933577</v>
      </c>
      <c r="D113" s="448">
        <f>LN_IC10+LN_IC22</f>
        <v>1686920.6533730882</v>
      </c>
      <c r="E113" s="448">
        <f>D113-C113</f>
        <v>-2768436.2962202695</v>
      </c>
      <c r="F113" s="449">
        <f>IF(C113=0,0,E113/C113)</f>
        <v>-0.62137250225774743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33140670</v>
      </c>
      <c r="D118" s="448">
        <v>36142007</v>
      </c>
      <c r="E118" s="448">
        <f t="shared" ref="E118:E130" si="12">D118-C118</f>
        <v>3001337</v>
      </c>
      <c r="F118" s="449">
        <f t="shared" ref="F118:F130" si="13">IF(C118=0,0,E118/C118)</f>
        <v>9.0563558310679901E-2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11030318</v>
      </c>
      <c r="D119" s="448">
        <v>12657458</v>
      </c>
      <c r="E119" s="448">
        <f t="shared" si="12"/>
        <v>1627140</v>
      </c>
      <c r="F119" s="449">
        <f t="shared" si="13"/>
        <v>0.14751523936118613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0.33283328309294896</v>
      </c>
      <c r="D120" s="453">
        <f>IF(LN_ID1=0,0,LN_1D2/LN_ID1)</f>
        <v>0.35021458548220635</v>
      </c>
      <c r="E120" s="454">
        <f t="shared" si="12"/>
        <v>1.7381302389257391E-2</v>
      </c>
      <c r="F120" s="449">
        <f t="shared" si="13"/>
        <v>5.222224841138675E-2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2151</v>
      </c>
      <c r="D121" s="456">
        <v>2111</v>
      </c>
      <c r="E121" s="456">
        <f t="shared" si="12"/>
        <v>-40</v>
      </c>
      <c r="F121" s="449">
        <f t="shared" si="13"/>
        <v>-1.8596001859600187E-2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0.93072999999999995</v>
      </c>
      <c r="D122" s="459">
        <v>0.98575999999999997</v>
      </c>
      <c r="E122" s="460">
        <f t="shared" si="12"/>
        <v>5.5030000000000023E-2</v>
      </c>
      <c r="F122" s="449">
        <f t="shared" si="13"/>
        <v>5.9125632567984296E-2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2002.0002299999999</v>
      </c>
      <c r="D123" s="463">
        <f>LN_ID4*LN_ID5</f>
        <v>2080.9393599999999</v>
      </c>
      <c r="E123" s="463">
        <f t="shared" si="12"/>
        <v>78.939129999999977</v>
      </c>
      <c r="F123" s="449">
        <f t="shared" si="13"/>
        <v>3.9430130335199806E-2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5509.6487176727251</v>
      </c>
      <c r="D124" s="465">
        <f>IF(LN_ID6=0,0,LN_1D2/LN_ID6)</f>
        <v>6082.5693642509605</v>
      </c>
      <c r="E124" s="465">
        <f t="shared" si="12"/>
        <v>572.92064657823539</v>
      </c>
      <c r="F124" s="449">
        <f t="shared" si="13"/>
        <v>0.10398496817783276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5082.9167396651401</v>
      </c>
      <c r="D125" s="465">
        <f>LN_IB7-LN_ID7</f>
        <v>5178.3358937982184</v>
      </c>
      <c r="E125" s="465">
        <f t="shared" si="12"/>
        <v>95.419154133078337</v>
      </c>
      <c r="F125" s="449">
        <f t="shared" si="13"/>
        <v>1.8772519602468347E-2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1886.2039237279978</v>
      </c>
      <c r="D126" s="465">
        <f>LN_IA7-LN_ID7</f>
        <v>732.69111155733572</v>
      </c>
      <c r="E126" s="465">
        <f t="shared" si="12"/>
        <v>-1153.5128121706621</v>
      </c>
      <c r="F126" s="449">
        <f t="shared" si="13"/>
        <v>-0.61155254618005217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3776180.6891303537</v>
      </c>
      <c r="D127" s="479">
        <f>LN_ID9*LN_ID6</f>
        <v>1524685.7727618106</v>
      </c>
      <c r="E127" s="479">
        <f t="shared" si="12"/>
        <v>-2251494.9163685432</v>
      </c>
      <c r="F127" s="449">
        <f t="shared" si="13"/>
        <v>-0.5962360124475552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8172</v>
      </c>
      <c r="D128" s="456">
        <v>8183</v>
      </c>
      <c r="E128" s="456">
        <f t="shared" si="12"/>
        <v>11</v>
      </c>
      <c r="F128" s="449">
        <f t="shared" si="13"/>
        <v>1.3460597161037689E-3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1349.7697014194812</v>
      </c>
      <c r="D129" s="465">
        <f>IF(LN_ID11=0,0,LN_1D2/LN_ID11)</f>
        <v>1546.7992178907491</v>
      </c>
      <c r="E129" s="465">
        <f t="shared" si="12"/>
        <v>197.02951647126793</v>
      </c>
      <c r="F129" s="449">
        <f t="shared" si="13"/>
        <v>0.14597269168515373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3.7991631799163179</v>
      </c>
      <c r="D130" s="466">
        <f>IF(LN_ID4=0,0,LN_ID11/LN_ID4)</f>
        <v>3.8763619137849359</v>
      </c>
      <c r="E130" s="466">
        <f t="shared" si="12"/>
        <v>7.7198733868617975E-2</v>
      </c>
      <c r="F130" s="449">
        <f t="shared" si="13"/>
        <v>2.0319931051321252E-2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57542396</v>
      </c>
      <c r="D133" s="448">
        <v>64876057</v>
      </c>
      <c r="E133" s="448">
        <f t="shared" ref="E133:E141" si="14">D133-C133</f>
        <v>7333661</v>
      </c>
      <c r="F133" s="449">
        <f t="shared" ref="F133:F141" si="15">IF(C133=0,0,E133/C133)</f>
        <v>0.12744796028305808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14520565</v>
      </c>
      <c r="D134" s="448">
        <v>15757381</v>
      </c>
      <c r="E134" s="448">
        <f t="shared" si="14"/>
        <v>1236816</v>
      </c>
      <c r="F134" s="449">
        <f t="shared" si="15"/>
        <v>8.5176850900774176E-2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0.25234550539049505</v>
      </c>
      <c r="D135" s="453">
        <f>IF(LN_ID14=0,0,LN_ID15/LN_ID14)</f>
        <v>0.24288438182980202</v>
      </c>
      <c r="E135" s="454">
        <f t="shared" si="14"/>
        <v>-9.4611235606930355E-3</v>
      </c>
      <c r="F135" s="449">
        <f t="shared" si="15"/>
        <v>-3.749273657976316E-2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1.7363075640896819</v>
      </c>
      <c r="D136" s="453">
        <f>IF(LN_ID1=0,0,LN_ID14/LN_ID1)</f>
        <v>1.7950319416406511</v>
      </c>
      <c r="E136" s="454">
        <f t="shared" si="14"/>
        <v>5.8724377550969153E-2</v>
      </c>
      <c r="F136" s="449">
        <f t="shared" si="15"/>
        <v>3.3821414342428094E-2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3734.7975703569059</v>
      </c>
      <c r="D137" s="463">
        <f>LN_ID17*LN_ID4</f>
        <v>3789.3124288034142</v>
      </c>
      <c r="E137" s="463">
        <f t="shared" si="14"/>
        <v>54.514858446508242</v>
      </c>
      <c r="F137" s="449">
        <f t="shared" si="15"/>
        <v>1.4596469398821707E-2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3887.912189739478</v>
      </c>
      <c r="D138" s="465">
        <f>IF(LN_ID18=0,0,LN_ID15/LN_ID18)</f>
        <v>4158.3747173298807</v>
      </c>
      <c r="E138" s="465">
        <f t="shared" si="14"/>
        <v>270.46252759040271</v>
      </c>
      <c r="F138" s="449">
        <f t="shared" si="15"/>
        <v>6.9564978423169055E-2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7815.8847662055996</v>
      </c>
      <c r="D139" s="465">
        <f>LN_IB18-LN_ID19</f>
        <v>8640.0044774092312</v>
      </c>
      <c r="E139" s="465">
        <f t="shared" si="14"/>
        <v>824.1197112036316</v>
      </c>
      <c r="F139" s="449">
        <f t="shared" si="15"/>
        <v>0.10544164043551008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3072.349897173619</v>
      </c>
      <c r="D140" s="465">
        <f>LN_IA16-LN_ID19</f>
        <v>3232.5963347578117</v>
      </c>
      <c r="E140" s="465">
        <f t="shared" si="14"/>
        <v>160.24643758419279</v>
      </c>
      <c r="F140" s="449">
        <f t="shared" si="15"/>
        <v>5.2157613210529856E-2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11474604.931250323</v>
      </c>
      <c r="D141" s="441">
        <f>LN_ID21*LN_ID18</f>
        <v>12249317.468602138</v>
      </c>
      <c r="E141" s="441">
        <f t="shared" si="14"/>
        <v>774712.53735181503</v>
      </c>
      <c r="F141" s="449">
        <f t="shared" si="15"/>
        <v>6.7515399614494528E-2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90683066</v>
      </c>
      <c r="D144" s="448">
        <f>LN_ID1+LN_ID14</f>
        <v>101018064</v>
      </c>
      <c r="E144" s="448">
        <f>D144-C144</f>
        <v>10334998</v>
      </c>
      <c r="F144" s="449">
        <f>IF(C144=0,0,E144/C144)</f>
        <v>0.11396833450690783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25550883</v>
      </c>
      <c r="D145" s="448">
        <f>LN_1D2+LN_ID15</f>
        <v>28414839</v>
      </c>
      <c r="E145" s="448">
        <f>D145-C145</f>
        <v>2863956</v>
      </c>
      <c r="F145" s="449">
        <f>IF(C145=0,0,E145/C145)</f>
        <v>0.1120883376124418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65132183</v>
      </c>
      <c r="D146" s="448">
        <f>LN_ID23-LN_ID24</f>
        <v>72603225</v>
      </c>
      <c r="E146" s="448">
        <f>D146-C146</f>
        <v>7471042</v>
      </c>
      <c r="F146" s="449">
        <f>IF(C146=0,0,E146/C146)</f>
        <v>0.11470584365335951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15250785.620380677</v>
      </c>
      <c r="D148" s="448">
        <f>LN_ID10+LN_ID22</f>
        <v>13774003.241363948</v>
      </c>
      <c r="E148" s="448">
        <f>D148-C148</f>
        <v>-1476782.3790167291</v>
      </c>
      <c r="F148" s="503">
        <f>IF(C148=0,0,E148/C148)</f>
        <v>-9.6833200320067633E-2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10592.565457337865</v>
      </c>
      <c r="D160" s="465">
        <f>LN_IB7-LN_IE7</f>
        <v>11260.905258049179</v>
      </c>
      <c r="E160" s="465">
        <f t="shared" si="16"/>
        <v>668.33980071131373</v>
      </c>
      <c r="F160" s="449">
        <f t="shared" si="17"/>
        <v>6.309517778323756E-2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7395.8526414007229</v>
      </c>
      <c r="D161" s="465">
        <f>LN_IA7-LN_IE7</f>
        <v>6815.2604758082962</v>
      </c>
      <c r="E161" s="465">
        <f t="shared" si="16"/>
        <v>-580.59216559242668</v>
      </c>
      <c r="F161" s="449">
        <f t="shared" si="17"/>
        <v>-7.8502397727933451E-2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11703.796955945078</v>
      </c>
      <c r="D174" s="465">
        <f>LN_IB18-LN_IE19</f>
        <v>12798.379194739113</v>
      </c>
      <c r="E174" s="465">
        <f t="shared" si="18"/>
        <v>1094.5822387940352</v>
      </c>
      <c r="F174" s="449">
        <f t="shared" si="19"/>
        <v>9.3523686621889798E-2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6960.2620869130969</v>
      </c>
      <c r="D175" s="465">
        <f>LN_IA16-LN_IE19</f>
        <v>7390.9710520876924</v>
      </c>
      <c r="E175" s="465">
        <f t="shared" si="18"/>
        <v>430.70896517459551</v>
      </c>
      <c r="F175" s="449">
        <f t="shared" si="19"/>
        <v>6.1881141801316361E-2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33140670</v>
      </c>
      <c r="D188" s="448">
        <f>LN_ID1+LN_IE1</f>
        <v>36142007</v>
      </c>
      <c r="E188" s="448">
        <f t="shared" ref="E188:E200" si="20">D188-C188</f>
        <v>3001337</v>
      </c>
      <c r="F188" s="449">
        <f t="shared" ref="F188:F200" si="21">IF(C188=0,0,E188/C188)</f>
        <v>9.0563558310679901E-2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11030318</v>
      </c>
      <c r="D189" s="448">
        <f>LN_1D2+LN_IE2</f>
        <v>12657458</v>
      </c>
      <c r="E189" s="448">
        <f t="shared" si="20"/>
        <v>1627140</v>
      </c>
      <c r="F189" s="449">
        <f t="shared" si="21"/>
        <v>0.14751523936118613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0.33283328309294896</v>
      </c>
      <c r="D190" s="453">
        <f>IF(LN_IF1=0,0,LN_IF2/LN_IF1)</f>
        <v>0.35021458548220635</v>
      </c>
      <c r="E190" s="454">
        <f t="shared" si="20"/>
        <v>1.7381302389257391E-2</v>
      </c>
      <c r="F190" s="449">
        <f t="shared" si="21"/>
        <v>5.222224841138675E-2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2151</v>
      </c>
      <c r="D191" s="456">
        <f>LN_ID4+LN_IE4</f>
        <v>2111</v>
      </c>
      <c r="E191" s="456">
        <f t="shared" si="20"/>
        <v>-40</v>
      </c>
      <c r="F191" s="449">
        <f t="shared" si="21"/>
        <v>-1.8596001859600187E-2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0.93072999999999995</v>
      </c>
      <c r="D192" s="459">
        <f>IF((LN_ID4+LN_IE4)=0,0,(LN_ID6+LN_IE6)/(LN_ID4+LN_IE4))</f>
        <v>0.98575999999999997</v>
      </c>
      <c r="E192" s="460">
        <f t="shared" si="20"/>
        <v>5.5030000000000023E-2</v>
      </c>
      <c r="F192" s="449">
        <f t="shared" si="21"/>
        <v>5.9125632567984296E-2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2002.0002299999999</v>
      </c>
      <c r="D193" s="463">
        <f>LN_IF4*LN_IF5</f>
        <v>2080.9393599999999</v>
      </c>
      <c r="E193" s="463">
        <f t="shared" si="20"/>
        <v>78.939129999999977</v>
      </c>
      <c r="F193" s="449">
        <f t="shared" si="21"/>
        <v>3.9430130335199806E-2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5509.6487176727251</v>
      </c>
      <c r="D194" s="465">
        <f>IF(LN_IF6=0,0,LN_IF2/LN_IF6)</f>
        <v>6082.5693642509605</v>
      </c>
      <c r="E194" s="465">
        <f t="shared" si="20"/>
        <v>572.92064657823539</v>
      </c>
      <c r="F194" s="449">
        <f t="shared" si="21"/>
        <v>0.10398496817783276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5082.9167396651401</v>
      </c>
      <c r="D195" s="465">
        <f>LN_IB7-LN_IF7</f>
        <v>5178.3358937982184</v>
      </c>
      <c r="E195" s="465">
        <f t="shared" si="20"/>
        <v>95.419154133078337</v>
      </c>
      <c r="F195" s="449">
        <f t="shared" si="21"/>
        <v>1.8772519602468347E-2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1886.2039237279978</v>
      </c>
      <c r="D196" s="465">
        <f>LN_IA7-LN_IF7</f>
        <v>732.69111155733572</v>
      </c>
      <c r="E196" s="465">
        <f t="shared" si="20"/>
        <v>-1153.5128121706621</v>
      </c>
      <c r="F196" s="449">
        <f t="shared" si="21"/>
        <v>-0.61155254618005217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3776180.6891303537</v>
      </c>
      <c r="D197" s="479">
        <f>LN_IF9*LN_IF6</f>
        <v>1524685.7727618106</v>
      </c>
      <c r="E197" s="479">
        <f t="shared" si="20"/>
        <v>-2251494.9163685432</v>
      </c>
      <c r="F197" s="449">
        <f t="shared" si="21"/>
        <v>-0.5962360124475552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8172</v>
      </c>
      <c r="D198" s="456">
        <f>LN_ID11+LN_IE11</f>
        <v>8183</v>
      </c>
      <c r="E198" s="456">
        <f t="shared" si="20"/>
        <v>11</v>
      </c>
      <c r="F198" s="449">
        <f t="shared" si="21"/>
        <v>1.3460597161037689E-3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1349.7697014194812</v>
      </c>
      <c r="D199" s="519">
        <f>IF(LN_IF11=0,0,LN_IF2/LN_IF11)</f>
        <v>1546.7992178907491</v>
      </c>
      <c r="E199" s="519">
        <f t="shared" si="20"/>
        <v>197.02951647126793</v>
      </c>
      <c r="F199" s="449">
        <f t="shared" si="21"/>
        <v>0.14597269168515373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3.7991631799163179</v>
      </c>
      <c r="D200" s="466">
        <f>IF(LN_IF4=0,0,LN_IF11/LN_IF4)</f>
        <v>3.8763619137849359</v>
      </c>
      <c r="E200" s="466">
        <f t="shared" si="20"/>
        <v>7.7198733868617975E-2</v>
      </c>
      <c r="F200" s="449">
        <f t="shared" si="21"/>
        <v>2.0319931051321252E-2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57542396</v>
      </c>
      <c r="D203" s="448">
        <f>LN_ID14+LN_IE14</f>
        <v>64876057</v>
      </c>
      <c r="E203" s="448">
        <f t="shared" ref="E203:E211" si="22">D203-C203</f>
        <v>7333661</v>
      </c>
      <c r="F203" s="449">
        <f t="shared" ref="F203:F211" si="23">IF(C203=0,0,E203/C203)</f>
        <v>0.12744796028305808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14520565</v>
      </c>
      <c r="D204" s="448">
        <f>LN_ID15+LN_IE15</f>
        <v>15757381</v>
      </c>
      <c r="E204" s="448">
        <f t="shared" si="22"/>
        <v>1236816</v>
      </c>
      <c r="F204" s="449">
        <f t="shared" si="23"/>
        <v>8.5176850900774176E-2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0.25234550539049505</v>
      </c>
      <c r="D205" s="453">
        <f>IF(LN_IF14=0,0,LN_IF15/LN_IF14)</f>
        <v>0.24288438182980202</v>
      </c>
      <c r="E205" s="454">
        <f t="shared" si="22"/>
        <v>-9.4611235606930355E-3</v>
      </c>
      <c r="F205" s="449">
        <f t="shared" si="23"/>
        <v>-3.749273657976316E-2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1.7363075640896819</v>
      </c>
      <c r="D206" s="453">
        <f>IF(LN_IF1=0,0,LN_IF14/LN_IF1)</f>
        <v>1.7950319416406511</v>
      </c>
      <c r="E206" s="454">
        <f t="shared" si="22"/>
        <v>5.8724377550969153E-2</v>
      </c>
      <c r="F206" s="449">
        <f t="shared" si="23"/>
        <v>3.3821414342428094E-2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3734.7975703569059</v>
      </c>
      <c r="D207" s="463">
        <f>LN_ID18+LN_IE18</f>
        <v>3789.3124288034142</v>
      </c>
      <c r="E207" s="463">
        <f t="shared" si="22"/>
        <v>54.514858446508242</v>
      </c>
      <c r="F207" s="449">
        <f t="shared" si="23"/>
        <v>1.4596469398821707E-2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3887.912189739478</v>
      </c>
      <c r="D208" s="465">
        <f>IF(LN_IF18=0,0,LN_IF15/LN_IF18)</f>
        <v>4158.3747173298807</v>
      </c>
      <c r="E208" s="465">
        <f t="shared" si="22"/>
        <v>270.46252759040271</v>
      </c>
      <c r="F208" s="449">
        <f t="shared" si="23"/>
        <v>6.9564978423169055E-2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7815.8847662055996</v>
      </c>
      <c r="D209" s="465">
        <f>LN_IB18-LN_IF19</f>
        <v>8640.0044774092312</v>
      </c>
      <c r="E209" s="465">
        <f t="shared" si="22"/>
        <v>824.1197112036316</v>
      </c>
      <c r="F209" s="449">
        <f t="shared" si="23"/>
        <v>0.10544164043551008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3072.349897173619</v>
      </c>
      <c r="D210" s="465">
        <f>LN_IA16-LN_IF19</f>
        <v>3232.5963347578117</v>
      </c>
      <c r="E210" s="465">
        <f t="shared" si="22"/>
        <v>160.24643758419279</v>
      </c>
      <c r="F210" s="449">
        <f t="shared" si="23"/>
        <v>5.2157613210529856E-2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11474604.931250323</v>
      </c>
      <c r="D211" s="441">
        <f>LN_IF21*LN_IF18</f>
        <v>12249317.468602138</v>
      </c>
      <c r="E211" s="441">
        <f t="shared" si="22"/>
        <v>774712.53735181503</v>
      </c>
      <c r="F211" s="449">
        <f t="shared" si="23"/>
        <v>6.7515399614494528E-2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90683066</v>
      </c>
      <c r="D214" s="448">
        <f>LN_IF1+LN_IF14</f>
        <v>101018064</v>
      </c>
      <c r="E214" s="448">
        <f>D214-C214</f>
        <v>10334998</v>
      </c>
      <c r="F214" s="449">
        <f>IF(C214=0,0,E214/C214)</f>
        <v>0.11396833450690783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25550883</v>
      </c>
      <c r="D215" s="448">
        <f>LN_IF2+LN_IF15</f>
        <v>28414839</v>
      </c>
      <c r="E215" s="448">
        <f>D215-C215</f>
        <v>2863956</v>
      </c>
      <c r="F215" s="449">
        <f>IF(C215=0,0,E215/C215)</f>
        <v>0.1120883376124418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65132183</v>
      </c>
      <c r="D216" s="448">
        <f>LN_IF23-LN_IF24</f>
        <v>72603225</v>
      </c>
      <c r="E216" s="448">
        <f>D216-C216</f>
        <v>7471042</v>
      </c>
      <c r="F216" s="449">
        <f>IF(C216=0,0,E216/C216)</f>
        <v>0.11470584365335951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353256</v>
      </c>
      <c r="D221" s="448">
        <v>291509</v>
      </c>
      <c r="E221" s="448">
        <f t="shared" ref="E221:E230" si="24">D221-C221</f>
        <v>-61747</v>
      </c>
      <c r="F221" s="449">
        <f t="shared" ref="F221:F230" si="25">IF(C221=0,0,E221/C221)</f>
        <v>-0.17479391715922729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105326</v>
      </c>
      <c r="D222" s="448">
        <v>60612</v>
      </c>
      <c r="E222" s="448">
        <f t="shared" si="24"/>
        <v>-44714</v>
      </c>
      <c r="F222" s="449">
        <f t="shared" si="25"/>
        <v>-0.42452955585515445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0.29815770998935615</v>
      </c>
      <c r="D223" s="453">
        <f>IF(LN_IG1=0,0,LN_IG2/LN_IG1)</f>
        <v>0.20792496972649216</v>
      </c>
      <c r="E223" s="454">
        <f t="shared" si="24"/>
        <v>-9.0232740262863986E-2</v>
      </c>
      <c r="F223" s="449">
        <f t="shared" si="25"/>
        <v>-0.30263426783793446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27</v>
      </c>
      <c r="D224" s="456">
        <v>24</v>
      </c>
      <c r="E224" s="456">
        <f t="shared" si="24"/>
        <v>-3</v>
      </c>
      <c r="F224" s="449">
        <f t="shared" si="25"/>
        <v>-0.1111111111111111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0.70038</v>
      </c>
      <c r="D225" s="459">
        <v>0.72829999999999995</v>
      </c>
      <c r="E225" s="460">
        <f t="shared" si="24"/>
        <v>2.7919999999999945E-2</v>
      </c>
      <c r="F225" s="449">
        <f t="shared" si="25"/>
        <v>3.9864073788514726E-2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18.910260000000001</v>
      </c>
      <c r="D226" s="463">
        <f>LN_IG3*LN_IG4</f>
        <v>17.479199999999999</v>
      </c>
      <c r="E226" s="463">
        <f t="shared" si="24"/>
        <v>-1.4310600000000022</v>
      </c>
      <c r="F226" s="449">
        <f t="shared" si="25"/>
        <v>-7.5676378854653614E-2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5569.780637600963</v>
      </c>
      <c r="D227" s="465">
        <f>IF(LN_IG5=0,0,LN_IG2/LN_IG5)</f>
        <v>3467.6644240010987</v>
      </c>
      <c r="E227" s="465">
        <f t="shared" si="24"/>
        <v>-2102.1162135998643</v>
      </c>
      <c r="F227" s="449">
        <f t="shared" si="25"/>
        <v>-0.37741454293706184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84</v>
      </c>
      <c r="D228" s="456">
        <v>70</v>
      </c>
      <c r="E228" s="456">
        <f t="shared" si="24"/>
        <v>-14</v>
      </c>
      <c r="F228" s="449">
        <f t="shared" si="25"/>
        <v>-0.16666666666666666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1253.8809523809523</v>
      </c>
      <c r="D229" s="465">
        <f>IF(LN_IG6=0,0,LN_IG2/LN_IG6)</f>
        <v>865.88571428571424</v>
      </c>
      <c r="E229" s="465">
        <f t="shared" si="24"/>
        <v>-387.99523809523805</v>
      </c>
      <c r="F229" s="449">
        <f t="shared" si="25"/>
        <v>-0.30943546702618535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3.1111111111111112</v>
      </c>
      <c r="D230" s="466">
        <f>IF(LN_IG3=0,0,LN_IG6/LN_IG3)</f>
        <v>2.9166666666666665</v>
      </c>
      <c r="E230" s="466">
        <f t="shared" si="24"/>
        <v>-0.19444444444444464</v>
      </c>
      <c r="F230" s="449">
        <f t="shared" si="25"/>
        <v>-6.2500000000000056E-2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685597</v>
      </c>
      <c r="D233" s="448">
        <v>894335</v>
      </c>
      <c r="E233" s="448">
        <f>D233-C233</f>
        <v>208738</v>
      </c>
      <c r="F233" s="449">
        <f>IF(C233=0,0,E233/C233)</f>
        <v>0.30446165896291844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204418</v>
      </c>
      <c r="D234" s="448">
        <v>185955</v>
      </c>
      <c r="E234" s="448">
        <f>D234-C234</f>
        <v>-18463</v>
      </c>
      <c r="F234" s="449">
        <f>IF(C234=0,0,E234/C234)</f>
        <v>-9.031983484820319E-2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1038853</v>
      </c>
      <c r="D237" s="448">
        <f>LN_IG1+LN_IG9</f>
        <v>1185844</v>
      </c>
      <c r="E237" s="448">
        <f>D237-C237</f>
        <v>146991</v>
      </c>
      <c r="F237" s="449">
        <f>IF(C237=0,0,E237/C237)</f>
        <v>0.14149355106064093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309744</v>
      </c>
      <c r="D238" s="448">
        <f>LN_IG2+LN_IG10</f>
        <v>246567</v>
      </c>
      <c r="E238" s="448">
        <f>D238-C238</f>
        <v>-63177</v>
      </c>
      <c r="F238" s="449">
        <f>IF(C238=0,0,E238/C238)</f>
        <v>-0.20396520997985434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729109</v>
      </c>
      <c r="D239" s="448">
        <f>LN_IG13-LN_IG14</f>
        <v>939277</v>
      </c>
      <c r="E239" s="448">
        <f>D239-C239</f>
        <v>210168</v>
      </c>
      <c r="F239" s="449">
        <f>IF(C239=0,0,E239/C239)</f>
        <v>0.28825319670995697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27519593</v>
      </c>
      <c r="D243" s="448">
        <v>9116321</v>
      </c>
      <c r="E243" s="441">
        <f>D243-C243</f>
        <v>-18403272</v>
      </c>
      <c r="F243" s="503">
        <f>IF(C243=0,0,E243/C243)</f>
        <v>-0.66873343657371676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221306295</v>
      </c>
      <c r="D244" s="448">
        <v>210520148</v>
      </c>
      <c r="E244" s="441">
        <f>D244-C244</f>
        <v>-10786147</v>
      </c>
      <c r="F244" s="503">
        <f>IF(C244=0,0,E244/C244)</f>
        <v>-4.8738545824012824E-2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4233596</v>
      </c>
      <c r="D248" s="441">
        <v>7131143</v>
      </c>
      <c r="E248" s="441">
        <f>D248-C248</f>
        <v>2897547</v>
      </c>
      <c r="F248" s="449">
        <f>IF(C248=0,0,E248/C248)</f>
        <v>0.68441745504294693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6461499</v>
      </c>
      <c r="D249" s="441">
        <v>2265391</v>
      </c>
      <c r="E249" s="441">
        <f>D249-C249</f>
        <v>-4196108</v>
      </c>
      <c r="F249" s="449">
        <f>IF(C249=0,0,E249/C249)</f>
        <v>-0.649401632655209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10695095</v>
      </c>
      <c r="D250" s="441">
        <f>LN_IH4+LN_IH5</f>
        <v>9396534</v>
      </c>
      <c r="E250" s="441">
        <f>D250-C250</f>
        <v>-1298561</v>
      </c>
      <c r="F250" s="449">
        <f>IF(C250=0,0,E250/C250)</f>
        <v>-0.12141649980668709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4843774.6083392687</v>
      </c>
      <c r="D251" s="441">
        <f>LN_IH6*LN_III10</f>
        <v>4148556.4023058633</v>
      </c>
      <c r="E251" s="441">
        <f>D251-C251</f>
        <v>-695218.20603340538</v>
      </c>
      <c r="F251" s="449">
        <f>IF(C251=0,0,E251/C251)</f>
        <v>-0.14352819077016615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90683066</v>
      </c>
      <c r="D254" s="441">
        <f>LN_IF23</f>
        <v>101018064</v>
      </c>
      <c r="E254" s="441">
        <f>D254-C254</f>
        <v>10334998</v>
      </c>
      <c r="F254" s="449">
        <f>IF(C254=0,0,E254/C254)</f>
        <v>0.11396833450690783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25550883</v>
      </c>
      <c r="D255" s="441">
        <f>LN_IF24</f>
        <v>28414839</v>
      </c>
      <c r="E255" s="441">
        <f>D255-C255</f>
        <v>2863956</v>
      </c>
      <c r="F255" s="449">
        <f>IF(C255=0,0,E255/C255)</f>
        <v>0.1120883376124418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41070073.009838067</v>
      </c>
      <c r="D256" s="441">
        <f>LN_IH8*LN_III10</f>
        <v>44599331.642469816</v>
      </c>
      <c r="E256" s="441">
        <f>D256-C256</f>
        <v>3529258.6326317489</v>
      </c>
      <c r="F256" s="449">
        <f>IF(C256=0,0,E256/C256)</f>
        <v>8.5932611607150988E-2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15519190.009838067</v>
      </c>
      <c r="D257" s="441">
        <f>LN_IH10-LN_IH9</f>
        <v>16184492.642469816</v>
      </c>
      <c r="E257" s="441">
        <f>D257-C257</f>
        <v>665302.63263174891</v>
      </c>
      <c r="F257" s="449">
        <f>IF(C257=0,0,E257/C257)</f>
        <v>4.2869675041673834E-2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212045748</v>
      </c>
      <c r="D261" s="448">
        <f>LN_IA1+LN_IB1+LN_IF1+LN_IG1</f>
        <v>219546008</v>
      </c>
      <c r="E261" s="448">
        <f t="shared" ref="E261:E274" si="26">D261-C261</f>
        <v>7500260</v>
      </c>
      <c r="F261" s="503">
        <f t="shared" ref="F261:F274" si="27">IF(C261=0,0,E261/C261)</f>
        <v>3.5370952121143218E-2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98780538</v>
      </c>
      <c r="D262" s="448">
        <f>+LN_IA2+LN_IB2+LN_IF2+LN_IG2</f>
        <v>98575406</v>
      </c>
      <c r="E262" s="448">
        <f t="shared" si="26"/>
        <v>-205132</v>
      </c>
      <c r="F262" s="503">
        <f t="shared" si="27"/>
        <v>-2.0766438830288614E-3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0.46584540803902375</v>
      </c>
      <c r="D263" s="453">
        <f>IF(LN_IIA1=0,0,LN_IIA2/LN_IIA1)</f>
        <v>0.44899657660821601</v>
      </c>
      <c r="E263" s="454">
        <f t="shared" si="26"/>
        <v>-1.6848831430807731E-2</v>
      </c>
      <c r="F263" s="458">
        <f t="shared" si="27"/>
        <v>-3.6168289179307117E-2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10330</v>
      </c>
      <c r="D264" s="456">
        <f>LN_IA4+LN_IB4+LN_IF4+LN_IG3</f>
        <v>9847</v>
      </c>
      <c r="E264" s="456">
        <f t="shared" si="26"/>
        <v>-483</v>
      </c>
      <c r="F264" s="503">
        <f t="shared" si="27"/>
        <v>-4.6757018393030009E-2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1.201266242981607</v>
      </c>
      <c r="D265" s="525">
        <f>IF(LN_IIA4=0,0,LN_IIA6/LN_IIA4)</f>
        <v>1.2865042835381333</v>
      </c>
      <c r="E265" s="525">
        <f t="shared" si="26"/>
        <v>8.5238040556526284E-2</v>
      </c>
      <c r="F265" s="503">
        <f t="shared" si="27"/>
        <v>7.0956826643992693E-2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12409.08029</v>
      </c>
      <c r="D266" s="463">
        <f>LN_IA6+LN_IB6+LN_IF6+LN_IG5</f>
        <v>12668.20768</v>
      </c>
      <c r="E266" s="463">
        <f t="shared" si="26"/>
        <v>259.12738999999965</v>
      </c>
      <c r="F266" s="503">
        <f t="shared" si="27"/>
        <v>2.0882078602458592E-2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267599887</v>
      </c>
      <c r="D267" s="448">
        <f>LN_IA11+LN_IB13+LN_IF14+LN_IG9</f>
        <v>285501650</v>
      </c>
      <c r="E267" s="448">
        <f t="shared" si="26"/>
        <v>17901763</v>
      </c>
      <c r="F267" s="503">
        <f t="shared" si="27"/>
        <v>6.6897498353577403E-2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1.2619912897286674</v>
      </c>
      <c r="D268" s="453">
        <f>IF(LN_IIA1=0,0,LN_IIA7/LN_IIA1)</f>
        <v>1.3004183159640963</v>
      </c>
      <c r="E268" s="454">
        <f t="shared" si="26"/>
        <v>3.8427026235428929E-2</v>
      </c>
      <c r="F268" s="458">
        <f t="shared" si="27"/>
        <v>3.0449517796347768E-2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118449448</v>
      </c>
      <c r="D269" s="448">
        <f>LN_IA12+LN_IB14+LN_IF15+LN_IG10</f>
        <v>126244005</v>
      </c>
      <c r="E269" s="448">
        <f t="shared" si="26"/>
        <v>7794557</v>
      </c>
      <c r="F269" s="503">
        <f t="shared" si="27"/>
        <v>6.5804924645997506E-2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0.44263639020146522</v>
      </c>
      <c r="D270" s="453">
        <f>IF(LN_IIA7=0,0,LN_IIA9/LN_IIA7)</f>
        <v>0.44218310121850435</v>
      </c>
      <c r="E270" s="454">
        <f t="shared" si="26"/>
        <v>-4.532889829608755E-4</v>
      </c>
      <c r="F270" s="458">
        <f t="shared" si="27"/>
        <v>-1.024066238102479E-3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479645635</v>
      </c>
      <c r="D271" s="441">
        <f>LN_IIA1+LN_IIA7</f>
        <v>505047658</v>
      </c>
      <c r="E271" s="441">
        <f t="shared" si="26"/>
        <v>25402023</v>
      </c>
      <c r="F271" s="503">
        <f t="shared" si="27"/>
        <v>5.2959979506537157E-2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217229986</v>
      </c>
      <c r="D272" s="441">
        <f>LN_IIA2+LN_IIA9</f>
        <v>224819411</v>
      </c>
      <c r="E272" s="441">
        <f t="shared" si="26"/>
        <v>7589425</v>
      </c>
      <c r="F272" s="503">
        <f t="shared" si="27"/>
        <v>3.4937280712249365E-2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0.45289682663327063</v>
      </c>
      <c r="D273" s="453">
        <f>IF(LN_IIA11=0,0,LN_IIA12/LN_IIA11)</f>
        <v>0.44514494313326763</v>
      </c>
      <c r="E273" s="454">
        <f t="shared" si="26"/>
        <v>-7.7518835000029984E-3</v>
      </c>
      <c r="F273" s="458">
        <f t="shared" si="27"/>
        <v>-1.7116223925940689E-2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42530</v>
      </c>
      <c r="D274" s="508">
        <f>LN_IA8+LN_IB10+LN_IF11+LN_IG6</f>
        <v>41898</v>
      </c>
      <c r="E274" s="528">
        <f t="shared" si="26"/>
        <v>-632</v>
      </c>
      <c r="F274" s="458">
        <f t="shared" si="27"/>
        <v>-1.4860098753820833E-2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156131538</v>
      </c>
      <c r="D277" s="448">
        <f>LN_IA1+LN_IF1+LN_IG1</f>
        <v>166624689</v>
      </c>
      <c r="E277" s="448">
        <f t="shared" ref="E277:E291" si="28">D277-C277</f>
        <v>10493151</v>
      </c>
      <c r="F277" s="503">
        <f t="shared" ref="F277:F291" si="29">IF(C277=0,0,E277/C277)</f>
        <v>6.7207119934987125E-2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62942438</v>
      </c>
      <c r="D278" s="448">
        <f>LN_IA2+LN_IF2+LN_IG2</f>
        <v>63565352</v>
      </c>
      <c r="E278" s="448">
        <f t="shared" si="28"/>
        <v>622914</v>
      </c>
      <c r="F278" s="503">
        <f t="shared" si="29"/>
        <v>9.8965661291988728E-3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0.40313724444320786</v>
      </c>
      <c r="D279" s="453">
        <f>IF(D277=0,0,LN_IIB2/D277)</f>
        <v>0.38148819590595007</v>
      </c>
      <c r="E279" s="454">
        <f t="shared" si="28"/>
        <v>-2.1649048537257798E-2</v>
      </c>
      <c r="F279" s="458">
        <f t="shared" si="29"/>
        <v>-5.3701435021609907E-2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7232</v>
      </c>
      <c r="D280" s="456">
        <f>LN_IA4+LN_IF4+LN_IG3</f>
        <v>7043</v>
      </c>
      <c r="E280" s="456">
        <f t="shared" si="28"/>
        <v>-189</v>
      </c>
      <c r="F280" s="503">
        <f t="shared" si="29"/>
        <v>-2.6133849557522123E-2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1.2480302115597344</v>
      </c>
      <c r="D281" s="525">
        <f>IF(LN_IIB4=0,0,LN_IIB6/LN_IIB4)</f>
        <v>1.357264887121965</v>
      </c>
      <c r="E281" s="525">
        <f t="shared" si="28"/>
        <v>0.10923467556223065</v>
      </c>
      <c r="F281" s="503">
        <f t="shared" si="29"/>
        <v>8.7525666086010742E-2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9025.7544899999994</v>
      </c>
      <c r="D282" s="463">
        <f>LN_IA6+LN_IF6+LN_IG5</f>
        <v>9559.2165999999997</v>
      </c>
      <c r="E282" s="463">
        <f t="shared" si="28"/>
        <v>533.46211000000039</v>
      </c>
      <c r="F282" s="503">
        <f t="shared" si="29"/>
        <v>5.9104433938574862E-2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146843637</v>
      </c>
      <c r="D283" s="448">
        <f>LN_IA11+LN_IF14+LN_IG9</f>
        <v>162650092</v>
      </c>
      <c r="E283" s="448">
        <f t="shared" si="28"/>
        <v>15806455</v>
      </c>
      <c r="F283" s="503">
        <f t="shared" si="29"/>
        <v>0.10764140226246235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0.94051233262046008</v>
      </c>
      <c r="D284" s="453">
        <f>IF(D277=0,0,LN_IIB7/D277)</f>
        <v>0.9761464100917242</v>
      </c>
      <c r="E284" s="454">
        <f t="shared" si="28"/>
        <v>3.5634077471264125E-2</v>
      </c>
      <c r="F284" s="458">
        <f t="shared" si="29"/>
        <v>3.7887942810893596E-2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40143344</v>
      </c>
      <c r="D285" s="448">
        <f>LN_IA12+LN_IF15+LN_IG10</f>
        <v>42936718</v>
      </c>
      <c r="E285" s="448">
        <f t="shared" si="28"/>
        <v>2793374</v>
      </c>
      <c r="F285" s="503">
        <f t="shared" si="29"/>
        <v>6.9584985246869319E-2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0.27337475984744236</v>
      </c>
      <c r="D286" s="453">
        <f>IF(LN_IIB7=0,0,LN_IIB9/LN_IIB7)</f>
        <v>0.2639821316547426</v>
      </c>
      <c r="E286" s="454">
        <f t="shared" si="28"/>
        <v>-9.392628192699759E-3</v>
      </c>
      <c r="F286" s="458">
        <f t="shared" si="29"/>
        <v>-3.4358066552820546E-2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302975175</v>
      </c>
      <c r="D287" s="441">
        <f>D277+LN_IIB7</f>
        <v>329274781</v>
      </c>
      <c r="E287" s="441">
        <f t="shared" si="28"/>
        <v>26299606</v>
      </c>
      <c r="F287" s="503">
        <f t="shared" si="29"/>
        <v>8.6804491490103108E-2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103085782</v>
      </c>
      <c r="D288" s="441">
        <f>LN_IIB2+LN_IIB9</f>
        <v>106502070</v>
      </c>
      <c r="E288" s="441">
        <f t="shared" si="28"/>
        <v>3416288</v>
      </c>
      <c r="F288" s="503">
        <f t="shared" si="29"/>
        <v>3.3140244306435973E-2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0.34024497881715887</v>
      </c>
      <c r="D289" s="453">
        <f>IF(LN_IIB11=0,0,LN_IIB12/LN_IIB11)</f>
        <v>0.3234443575561895</v>
      </c>
      <c r="E289" s="454">
        <f t="shared" si="28"/>
        <v>-1.6800621260969373E-2</v>
      </c>
      <c r="F289" s="458">
        <f t="shared" si="29"/>
        <v>-4.9378013804570221E-2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32147</v>
      </c>
      <c r="D290" s="508">
        <f>LN_IA8+LN_IF11+LN_IG6</f>
        <v>32510</v>
      </c>
      <c r="E290" s="528">
        <f t="shared" si="28"/>
        <v>363</v>
      </c>
      <c r="F290" s="458">
        <f t="shared" si="29"/>
        <v>1.1291877935732728E-2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199889393</v>
      </c>
      <c r="D291" s="516">
        <f>LN_IIB11-LN_IIB12</f>
        <v>222772711</v>
      </c>
      <c r="E291" s="441">
        <f t="shared" si="28"/>
        <v>22883318</v>
      </c>
      <c r="F291" s="503">
        <f t="shared" si="29"/>
        <v>0.11447990139226648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4.7271468144044322</v>
      </c>
      <c r="D294" s="466">
        <f>IF(LN_IA4=0,0,LN_IA8/LN_IA4)</f>
        <v>4.9423390383048087</v>
      </c>
      <c r="E294" s="466">
        <f t="shared" ref="E294:E300" si="30">D294-C294</f>
        <v>0.21519222390037651</v>
      </c>
      <c r="F294" s="503">
        <f t="shared" ref="F294:F300" si="31">IF(C294=0,0,E294/C294)</f>
        <v>4.5522644493428611E-2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3.3515171078114911</v>
      </c>
      <c r="D295" s="466">
        <f>IF(LN_IB4=0,0,(LN_IB10)/(LN_IB4))</f>
        <v>3.3480741797432239</v>
      </c>
      <c r="E295" s="466">
        <f t="shared" si="30"/>
        <v>-3.4429280682672925E-3</v>
      </c>
      <c r="F295" s="503">
        <f t="shared" si="31"/>
        <v>-1.0272745021180846E-3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3.6417322834645671</v>
      </c>
      <c r="D296" s="466">
        <f>IF(LN_IC4=0,0,LN_IC11/LN_IC4)</f>
        <v>3.6446280991735538</v>
      </c>
      <c r="E296" s="466">
        <f t="shared" si="30"/>
        <v>2.895815708986671E-3</v>
      </c>
      <c r="F296" s="503">
        <f t="shared" si="31"/>
        <v>7.9517534062985339E-4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3.7991631799163179</v>
      </c>
      <c r="D297" s="466">
        <f>IF(LN_ID4=0,0,LN_ID11/LN_ID4)</f>
        <v>3.8763619137849359</v>
      </c>
      <c r="E297" s="466">
        <f t="shared" si="30"/>
        <v>7.7198733868617975E-2</v>
      </c>
      <c r="F297" s="503">
        <f t="shared" si="31"/>
        <v>2.0319931051321252E-2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3.1111111111111112</v>
      </c>
      <c r="D299" s="466">
        <f>IF(LN_IG3=0,0,LN_IG6/LN_IG3)</f>
        <v>2.9166666666666665</v>
      </c>
      <c r="E299" s="466">
        <f t="shared" si="30"/>
        <v>-0.19444444444444464</v>
      </c>
      <c r="F299" s="503">
        <f t="shared" si="31"/>
        <v>-6.2500000000000056E-2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4.1171345595353337</v>
      </c>
      <c r="D300" s="466">
        <f>IF(LN_IIA4=0,0,LN_IIA14/LN_IIA4)</f>
        <v>4.2548999695338683</v>
      </c>
      <c r="E300" s="466">
        <f t="shared" si="30"/>
        <v>0.13776540999853459</v>
      </c>
      <c r="F300" s="503">
        <f t="shared" si="31"/>
        <v>3.3461478610036739E-2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479645635</v>
      </c>
      <c r="D304" s="441">
        <f>LN_IIA11</f>
        <v>505047658</v>
      </c>
      <c r="E304" s="441">
        <f t="shared" ref="E304:E316" si="32">D304-C304</f>
        <v>25402023</v>
      </c>
      <c r="F304" s="449">
        <f>IF(C304=0,0,E304/C304)</f>
        <v>5.2959979506537157E-2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199889393</v>
      </c>
      <c r="D305" s="441">
        <f>LN_IIB14</f>
        <v>222772711</v>
      </c>
      <c r="E305" s="441">
        <f t="shared" si="32"/>
        <v>22883318</v>
      </c>
      <c r="F305" s="449">
        <f>IF(C305=0,0,E305/C305)</f>
        <v>0.11447990139226648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10695095</v>
      </c>
      <c r="D306" s="441">
        <f>LN_IH6</f>
        <v>9396534</v>
      </c>
      <c r="E306" s="441">
        <f t="shared" si="32"/>
        <v>-1298561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51831160</v>
      </c>
      <c r="D307" s="441">
        <f>LN_IB32-LN_IB33</f>
        <v>47985709</v>
      </c>
      <c r="E307" s="441">
        <f t="shared" si="32"/>
        <v>-3845451</v>
      </c>
      <c r="F307" s="449">
        <f t="shared" ref="F307:F316" si="33">IF(C307=0,0,E307/C307)</f>
        <v>-7.4191876083807506E-2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0</v>
      </c>
      <c r="D308" s="441">
        <v>1914881</v>
      </c>
      <c r="E308" s="441">
        <f t="shared" si="32"/>
        <v>1914881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262415648</v>
      </c>
      <c r="D309" s="441">
        <f>LN_III2+LN_III3+LN_III4+LN_III5</f>
        <v>282069835</v>
      </c>
      <c r="E309" s="441">
        <f t="shared" si="32"/>
        <v>19654187</v>
      </c>
      <c r="F309" s="449">
        <f t="shared" si="33"/>
        <v>7.4897160858334186E-2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217229987</v>
      </c>
      <c r="D310" s="441">
        <f>LN_III1-LN_III6</f>
        <v>222977823</v>
      </c>
      <c r="E310" s="441">
        <f t="shared" si="32"/>
        <v>5747836</v>
      </c>
      <c r="F310" s="449">
        <f t="shared" si="33"/>
        <v>2.6459680265045544E-2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217229987</v>
      </c>
      <c r="D312" s="441">
        <f>LN_III7+LN_III8</f>
        <v>222977823</v>
      </c>
      <c r="E312" s="441">
        <f t="shared" si="32"/>
        <v>5747836</v>
      </c>
      <c r="F312" s="449">
        <f t="shared" si="33"/>
        <v>2.6459680265045544E-2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0.45289682871814313</v>
      </c>
      <c r="D313" s="532">
        <f>IF(LN_III1=0,0,LN_III9/LN_III1)</f>
        <v>0.44149857833812589</v>
      </c>
      <c r="E313" s="532">
        <f t="shared" si="32"/>
        <v>-1.1398250380017239E-2</v>
      </c>
      <c r="F313" s="449">
        <f t="shared" si="33"/>
        <v>-2.5167432530446912E-2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4843774.6083392687</v>
      </c>
      <c r="D314" s="441">
        <f>D313*LN_III5</f>
        <v>4148556.4023058633</v>
      </c>
      <c r="E314" s="441">
        <f t="shared" si="32"/>
        <v>-695218.20603340538</v>
      </c>
      <c r="F314" s="449">
        <f t="shared" si="33"/>
        <v>-0.14352819077016615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15519190.009838067</v>
      </c>
      <c r="D315" s="441">
        <f>D313*LN_IH8-LN_IH9</f>
        <v>16184492.642469816</v>
      </c>
      <c r="E315" s="441">
        <f t="shared" si="32"/>
        <v>665302.63263174891</v>
      </c>
      <c r="F315" s="449">
        <f t="shared" si="33"/>
        <v>4.2869675041673834E-2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20362964.618177336</v>
      </c>
      <c r="D318" s="441">
        <f>D314+D315+D316</f>
        <v>20333049.04477568</v>
      </c>
      <c r="E318" s="441">
        <f>D318-C318</f>
        <v>-29915.573401656002</v>
      </c>
      <c r="F318" s="449">
        <f>IF(C318=0,0,E318/C318)</f>
        <v>-1.4691167991792006E-3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11474604.931250323</v>
      </c>
      <c r="D322" s="441">
        <f>LN_ID22</f>
        <v>12249317.468602138</v>
      </c>
      <c r="E322" s="441">
        <f>LN_IV2-C322</f>
        <v>774712.53735181503</v>
      </c>
      <c r="F322" s="449">
        <f>IF(C322=0,0,E322/C322)</f>
        <v>6.7515399614494528E-2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4455356.9495933577</v>
      </c>
      <c r="D324" s="441">
        <f>LN_IC10+LN_IC22</f>
        <v>1686920.6533730882</v>
      </c>
      <c r="E324" s="441">
        <f>LN_IV1-C324</f>
        <v>-2768436.2962202695</v>
      </c>
      <c r="F324" s="449">
        <f>IF(C324=0,0,E324/C324)</f>
        <v>-0.62137250225774743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15929961.88084368</v>
      </c>
      <c r="D325" s="516">
        <f>LN_IV1+LN_IV2+LN_IV3</f>
        <v>13936238.121975226</v>
      </c>
      <c r="E325" s="441">
        <f>LN_IV4-C325</f>
        <v>-1993723.758868454</v>
      </c>
      <c r="F325" s="449">
        <f>IF(C325=0,0,E325/C325)</f>
        <v>-0.12515558880689945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0</v>
      </c>
      <c r="D329" s="518">
        <v>3925009</v>
      </c>
      <c r="E329" s="518">
        <f t="shared" ref="E329:E335" si="34">D329-C329</f>
        <v>3925009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1123762</v>
      </c>
      <c r="D330" s="516">
        <v>-5231619</v>
      </c>
      <c r="E330" s="518">
        <f t="shared" si="34"/>
        <v>-6355381</v>
      </c>
      <c r="F330" s="543">
        <f t="shared" si="35"/>
        <v>-5.6554510652611496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218353748</v>
      </c>
      <c r="D331" s="516">
        <v>217746204</v>
      </c>
      <c r="E331" s="518">
        <f t="shared" si="34"/>
        <v>-607544</v>
      </c>
      <c r="F331" s="542">
        <f t="shared" si="35"/>
        <v>-2.7823841155224871E-3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479645635</v>
      </c>
      <c r="D333" s="516">
        <v>505047658</v>
      </c>
      <c r="E333" s="518">
        <f t="shared" si="34"/>
        <v>25402023</v>
      </c>
      <c r="F333" s="542">
        <f t="shared" si="35"/>
        <v>5.2959979506537157E-2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10695095</v>
      </c>
      <c r="D335" s="516">
        <v>9396534</v>
      </c>
      <c r="E335" s="516">
        <f t="shared" si="34"/>
        <v>-1298561</v>
      </c>
      <c r="F335" s="542">
        <f t="shared" si="35"/>
        <v>-0.12141649980668709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55914210</v>
      </c>
      <c r="D14" s="589">
        <v>52921319</v>
      </c>
      <c r="E14" s="590">
        <f t="shared" ref="E14:E22" si="0">D14-C14</f>
        <v>-2992891</v>
      </c>
    </row>
    <row r="15" spans="1:5" s="421" customFormat="1" x14ac:dyDescent="0.2">
      <c r="A15" s="588">
        <v>2</v>
      </c>
      <c r="B15" s="587" t="s">
        <v>637</v>
      </c>
      <c r="C15" s="589">
        <v>122637612</v>
      </c>
      <c r="D15" s="591">
        <v>130191173</v>
      </c>
      <c r="E15" s="590">
        <f t="shared" si="0"/>
        <v>7553561</v>
      </c>
    </row>
    <row r="16" spans="1:5" s="421" customFormat="1" x14ac:dyDescent="0.2">
      <c r="A16" s="588">
        <v>3</v>
      </c>
      <c r="B16" s="587" t="s">
        <v>779</v>
      </c>
      <c r="C16" s="589">
        <v>33140670</v>
      </c>
      <c r="D16" s="591">
        <v>36142007</v>
      </c>
      <c r="E16" s="590">
        <f t="shared" si="0"/>
        <v>3001337</v>
      </c>
    </row>
    <row r="17" spans="1:5" s="421" customFormat="1" x14ac:dyDescent="0.2">
      <c r="A17" s="588">
        <v>4</v>
      </c>
      <c r="B17" s="587" t="s">
        <v>115</v>
      </c>
      <c r="C17" s="589">
        <v>33140670</v>
      </c>
      <c r="D17" s="591">
        <v>36142007</v>
      </c>
      <c r="E17" s="590">
        <f t="shared" si="0"/>
        <v>3001337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353256</v>
      </c>
      <c r="D19" s="591">
        <v>291509</v>
      </c>
      <c r="E19" s="590">
        <f t="shared" si="0"/>
        <v>-61747</v>
      </c>
    </row>
    <row r="20" spans="1:5" s="421" customFormat="1" x14ac:dyDescent="0.2">
      <c r="A20" s="588">
        <v>7</v>
      </c>
      <c r="B20" s="587" t="s">
        <v>760</v>
      </c>
      <c r="C20" s="589">
        <v>3563947</v>
      </c>
      <c r="D20" s="591">
        <v>4451612</v>
      </c>
      <c r="E20" s="590">
        <f t="shared" si="0"/>
        <v>887665</v>
      </c>
    </row>
    <row r="21" spans="1:5" s="421" customFormat="1" x14ac:dyDescent="0.2">
      <c r="A21" s="588"/>
      <c r="B21" s="592" t="s">
        <v>780</v>
      </c>
      <c r="C21" s="593">
        <f>SUM(C15+C16+C19)</f>
        <v>156131538</v>
      </c>
      <c r="D21" s="593">
        <f>SUM(D15+D16+D19)</f>
        <v>166624689</v>
      </c>
      <c r="E21" s="593">
        <f t="shared" si="0"/>
        <v>10493151</v>
      </c>
    </row>
    <row r="22" spans="1:5" s="421" customFormat="1" x14ac:dyDescent="0.2">
      <c r="A22" s="588"/>
      <c r="B22" s="592" t="s">
        <v>465</v>
      </c>
      <c r="C22" s="593">
        <f>SUM(C14+C21)</f>
        <v>212045748</v>
      </c>
      <c r="D22" s="593">
        <f>SUM(D14+D21)</f>
        <v>219546008</v>
      </c>
      <c r="E22" s="593">
        <f t="shared" si="0"/>
        <v>7500260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120756250</v>
      </c>
      <c r="D25" s="589">
        <v>122851558</v>
      </c>
      <c r="E25" s="590">
        <f t="shared" ref="E25:E33" si="1">D25-C25</f>
        <v>2095308</v>
      </c>
    </row>
    <row r="26" spans="1:5" s="421" customFormat="1" x14ac:dyDescent="0.2">
      <c r="A26" s="588">
        <v>2</v>
      </c>
      <c r="B26" s="587" t="s">
        <v>637</v>
      </c>
      <c r="C26" s="589">
        <v>88615644</v>
      </c>
      <c r="D26" s="591">
        <v>96879700</v>
      </c>
      <c r="E26" s="590">
        <f t="shared" si="1"/>
        <v>8264056</v>
      </c>
    </row>
    <row r="27" spans="1:5" s="421" customFormat="1" x14ac:dyDescent="0.2">
      <c r="A27" s="588">
        <v>3</v>
      </c>
      <c r="B27" s="587" t="s">
        <v>779</v>
      </c>
      <c r="C27" s="589">
        <v>57542396</v>
      </c>
      <c r="D27" s="591">
        <v>64876057</v>
      </c>
      <c r="E27" s="590">
        <f t="shared" si="1"/>
        <v>7333661</v>
      </c>
    </row>
    <row r="28" spans="1:5" s="421" customFormat="1" x14ac:dyDescent="0.2">
      <c r="A28" s="588">
        <v>4</v>
      </c>
      <c r="B28" s="587" t="s">
        <v>115</v>
      </c>
      <c r="C28" s="589">
        <v>57542396</v>
      </c>
      <c r="D28" s="591">
        <v>64876057</v>
      </c>
      <c r="E28" s="590">
        <f t="shared" si="1"/>
        <v>7333661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685597</v>
      </c>
      <c r="D30" s="591">
        <v>894335</v>
      </c>
      <c r="E30" s="590">
        <f t="shared" si="1"/>
        <v>208738</v>
      </c>
    </row>
    <row r="31" spans="1:5" s="421" customFormat="1" x14ac:dyDescent="0.2">
      <c r="A31" s="588">
        <v>7</v>
      </c>
      <c r="B31" s="587" t="s">
        <v>760</v>
      </c>
      <c r="C31" s="590">
        <v>7665991</v>
      </c>
      <c r="D31" s="594">
        <v>8048329</v>
      </c>
      <c r="E31" s="590">
        <f t="shared" si="1"/>
        <v>382338</v>
      </c>
    </row>
    <row r="32" spans="1:5" s="421" customFormat="1" x14ac:dyDescent="0.2">
      <c r="A32" s="588"/>
      <c r="B32" s="592" t="s">
        <v>782</v>
      </c>
      <c r="C32" s="593">
        <f>SUM(C26+C27+C30)</f>
        <v>146843637</v>
      </c>
      <c r="D32" s="593">
        <f>SUM(D26+D27+D30)</f>
        <v>162650092</v>
      </c>
      <c r="E32" s="593">
        <f t="shared" si="1"/>
        <v>15806455</v>
      </c>
    </row>
    <row r="33" spans="1:5" s="421" customFormat="1" x14ac:dyDescent="0.2">
      <c r="A33" s="588"/>
      <c r="B33" s="592" t="s">
        <v>467</v>
      </c>
      <c r="C33" s="593">
        <f>SUM(C25+C32)</f>
        <v>267599887</v>
      </c>
      <c r="D33" s="593">
        <f>SUM(D25+D32)</f>
        <v>285501650</v>
      </c>
      <c r="E33" s="593">
        <f t="shared" si="1"/>
        <v>17901763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176670460</v>
      </c>
      <c r="D36" s="590">
        <f t="shared" si="2"/>
        <v>175772877</v>
      </c>
      <c r="E36" s="590">
        <f t="shared" ref="E36:E44" si="3">D36-C36</f>
        <v>-897583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211253256</v>
      </c>
      <c r="D37" s="590">
        <f t="shared" si="2"/>
        <v>227070873</v>
      </c>
      <c r="E37" s="590">
        <f t="shared" si="3"/>
        <v>15817617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90683066</v>
      </c>
      <c r="D38" s="590">
        <f t="shared" si="2"/>
        <v>101018064</v>
      </c>
      <c r="E38" s="590">
        <f t="shared" si="3"/>
        <v>10334998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90683066</v>
      </c>
      <c r="D39" s="590">
        <f t="shared" si="2"/>
        <v>101018064</v>
      </c>
      <c r="E39" s="590">
        <f t="shared" si="3"/>
        <v>10334998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1038853</v>
      </c>
      <c r="D41" s="590">
        <f t="shared" si="2"/>
        <v>1185844</v>
      </c>
      <c r="E41" s="590">
        <f t="shared" si="3"/>
        <v>146991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11229938</v>
      </c>
      <c r="D42" s="590">
        <f t="shared" si="2"/>
        <v>12499941</v>
      </c>
      <c r="E42" s="590">
        <f t="shared" si="3"/>
        <v>1270003</v>
      </c>
    </row>
    <row r="43" spans="1:5" s="421" customFormat="1" x14ac:dyDescent="0.2">
      <c r="A43" s="588"/>
      <c r="B43" s="592" t="s">
        <v>790</v>
      </c>
      <c r="C43" s="593">
        <f>SUM(C37+C38+C41)</f>
        <v>302975175</v>
      </c>
      <c r="D43" s="593">
        <f>SUM(D37+D38+D41)</f>
        <v>329274781</v>
      </c>
      <c r="E43" s="593">
        <f t="shared" si="3"/>
        <v>26299606</v>
      </c>
    </row>
    <row r="44" spans="1:5" s="421" customFormat="1" x14ac:dyDescent="0.2">
      <c r="A44" s="588"/>
      <c r="B44" s="592" t="s">
        <v>727</v>
      </c>
      <c r="C44" s="593">
        <f>SUM(C36+C43)</f>
        <v>479645635</v>
      </c>
      <c r="D44" s="593">
        <f>SUM(D36+D43)</f>
        <v>505047658</v>
      </c>
      <c r="E44" s="593">
        <f t="shared" si="3"/>
        <v>25402023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35838100</v>
      </c>
      <c r="D47" s="589">
        <v>35010054</v>
      </c>
      <c r="E47" s="590">
        <f t="shared" ref="E47:E55" si="4">D47-C47</f>
        <v>-828046</v>
      </c>
    </row>
    <row r="48" spans="1:5" s="421" customFormat="1" x14ac:dyDescent="0.2">
      <c r="A48" s="588">
        <v>2</v>
      </c>
      <c r="B48" s="587" t="s">
        <v>637</v>
      </c>
      <c r="C48" s="589">
        <v>51806794</v>
      </c>
      <c r="D48" s="591">
        <v>50847282</v>
      </c>
      <c r="E48" s="590">
        <f t="shared" si="4"/>
        <v>-959512</v>
      </c>
    </row>
    <row r="49" spans="1:5" s="421" customFormat="1" x14ac:dyDescent="0.2">
      <c r="A49" s="588">
        <v>3</v>
      </c>
      <c r="B49" s="587" t="s">
        <v>779</v>
      </c>
      <c r="C49" s="589">
        <v>11030318</v>
      </c>
      <c r="D49" s="591">
        <v>12657458</v>
      </c>
      <c r="E49" s="590">
        <f t="shared" si="4"/>
        <v>1627140</v>
      </c>
    </row>
    <row r="50" spans="1:5" s="421" customFormat="1" x14ac:dyDescent="0.2">
      <c r="A50" s="588">
        <v>4</v>
      </c>
      <c r="B50" s="587" t="s">
        <v>115</v>
      </c>
      <c r="C50" s="589">
        <v>11030318</v>
      </c>
      <c r="D50" s="591">
        <v>12657458</v>
      </c>
      <c r="E50" s="590">
        <f t="shared" si="4"/>
        <v>1627140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105326</v>
      </c>
      <c r="D52" s="591">
        <v>60612</v>
      </c>
      <c r="E52" s="590">
        <f t="shared" si="4"/>
        <v>-44714</v>
      </c>
    </row>
    <row r="53" spans="1:5" s="421" customFormat="1" x14ac:dyDescent="0.2">
      <c r="A53" s="588">
        <v>7</v>
      </c>
      <c r="B53" s="587" t="s">
        <v>760</v>
      </c>
      <c r="C53" s="589">
        <v>276890</v>
      </c>
      <c r="D53" s="591">
        <v>943085</v>
      </c>
      <c r="E53" s="590">
        <f t="shared" si="4"/>
        <v>666195</v>
      </c>
    </row>
    <row r="54" spans="1:5" s="421" customFormat="1" x14ac:dyDescent="0.2">
      <c r="A54" s="588"/>
      <c r="B54" s="592" t="s">
        <v>792</v>
      </c>
      <c r="C54" s="593">
        <f>SUM(C48+C49+C52)</f>
        <v>62942438</v>
      </c>
      <c r="D54" s="593">
        <f>SUM(D48+D49+D52)</f>
        <v>63565352</v>
      </c>
      <c r="E54" s="593">
        <f t="shared" si="4"/>
        <v>622914</v>
      </c>
    </row>
    <row r="55" spans="1:5" s="421" customFormat="1" x14ac:dyDescent="0.2">
      <c r="A55" s="588"/>
      <c r="B55" s="592" t="s">
        <v>466</v>
      </c>
      <c r="C55" s="593">
        <f>SUM(C47+C54)</f>
        <v>98780538</v>
      </c>
      <c r="D55" s="593">
        <f>SUM(D47+D54)</f>
        <v>98575406</v>
      </c>
      <c r="E55" s="593">
        <f t="shared" si="4"/>
        <v>-205132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78306104</v>
      </c>
      <c r="D58" s="589">
        <v>83307287</v>
      </c>
      <c r="E58" s="590">
        <f t="shared" ref="E58:E66" si="5">D58-C58</f>
        <v>5001183</v>
      </c>
    </row>
    <row r="59" spans="1:5" s="421" customFormat="1" x14ac:dyDescent="0.2">
      <c r="A59" s="588">
        <v>2</v>
      </c>
      <c r="B59" s="587" t="s">
        <v>637</v>
      </c>
      <c r="C59" s="589">
        <v>25418361</v>
      </c>
      <c r="D59" s="591">
        <v>26993382</v>
      </c>
      <c r="E59" s="590">
        <f t="shared" si="5"/>
        <v>1575021</v>
      </c>
    </row>
    <row r="60" spans="1:5" s="421" customFormat="1" x14ac:dyDescent="0.2">
      <c r="A60" s="588">
        <v>3</v>
      </c>
      <c r="B60" s="587" t="s">
        <v>779</v>
      </c>
      <c r="C60" s="589">
        <f>C61+C62</f>
        <v>14520565</v>
      </c>
      <c r="D60" s="591">
        <f>D61+D62</f>
        <v>15757381</v>
      </c>
      <c r="E60" s="590">
        <f t="shared" si="5"/>
        <v>1236816</v>
      </c>
    </row>
    <row r="61" spans="1:5" s="421" customFormat="1" x14ac:dyDescent="0.2">
      <c r="A61" s="588">
        <v>4</v>
      </c>
      <c r="B61" s="587" t="s">
        <v>115</v>
      </c>
      <c r="C61" s="589">
        <v>14520565</v>
      </c>
      <c r="D61" s="591">
        <v>15757381</v>
      </c>
      <c r="E61" s="590">
        <f t="shared" si="5"/>
        <v>1236816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204418</v>
      </c>
      <c r="D63" s="591">
        <v>185955</v>
      </c>
      <c r="E63" s="590">
        <f t="shared" si="5"/>
        <v>-18463</v>
      </c>
    </row>
    <row r="64" spans="1:5" s="421" customFormat="1" x14ac:dyDescent="0.2">
      <c r="A64" s="588">
        <v>7</v>
      </c>
      <c r="B64" s="587" t="s">
        <v>760</v>
      </c>
      <c r="C64" s="589">
        <v>908179</v>
      </c>
      <c r="D64" s="591">
        <v>2160322</v>
      </c>
      <c r="E64" s="590">
        <f t="shared" si="5"/>
        <v>1252143</v>
      </c>
    </row>
    <row r="65" spans="1:5" s="421" customFormat="1" x14ac:dyDescent="0.2">
      <c r="A65" s="588"/>
      <c r="B65" s="592" t="s">
        <v>794</v>
      </c>
      <c r="C65" s="593">
        <f>SUM(C59+C60+C63)</f>
        <v>40143344</v>
      </c>
      <c r="D65" s="593">
        <f>SUM(D59+D60+D63)</f>
        <v>42936718</v>
      </c>
      <c r="E65" s="593">
        <f t="shared" si="5"/>
        <v>2793374</v>
      </c>
    </row>
    <row r="66" spans="1:5" s="421" customFormat="1" x14ac:dyDescent="0.2">
      <c r="A66" s="588"/>
      <c r="B66" s="592" t="s">
        <v>468</v>
      </c>
      <c r="C66" s="593">
        <f>SUM(C58+C65)</f>
        <v>118449448</v>
      </c>
      <c r="D66" s="593">
        <f>SUM(D58+D65)</f>
        <v>126244005</v>
      </c>
      <c r="E66" s="593">
        <f t="shared" si="5"/>
        <v>7794557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114144204</v>
      </c>
      <c r="D69" s="590">
        <f t="shared" si="6"/>
        <v>118317341</v>
      </c>
      <c r="E69" s="590">
        <f t="shared" ref="E69:E77" si="7">D69-C69</f>
        <v>4173137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77225155</v>
      </c>
      <c r="D70" s="590">
        <f t="shared" si="6"/>
        <v>77840664</v>
      </c>
      <c r="E70" s="590">
        <f t="shared" si="7"/>
        <v>615509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25550883</v>
      </c>
      <c r="D71" s="590">
        <f t="shared" si="6"/>
        <v>28414839</v>
      </c>
      <c r="E71" s="590">
        <f t="shared" si="7"/>
        <v>2863956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25550883</v>
      </c>
      <c r="D72" s="590">
        <f t="shared" si="6"/>
        <v>28414839</v>
      </c>
      <c r="E72" s="590">
        <f t="shared" si="7"/>
        <v>2863956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309744</v>
      </c>
      <c r="D74" s="590">
        <f t="shared" si="6"/>
        <v>246567</v>
      </c>
      <c r="E74" s="590">
        <f t="shared" si="7"/>
        <v>-63177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1185069</v>
      </c>
      <c r="D75" s="590">
        <f t="shared" si="6"/>
        <v>3103407</v>
      </c>
      <c r="E75" s="590">
        <f t="shared" si="7"/>
        <v>1918338</v>
      </c>
    </row>
    <row r="76" spans="1:5" s="421" customFormat="1" x14ac:dyDescent="0.2">
      <c r="A76" s="588"/>
      <c r="B76" s="592" t="s">
        <v>795</v>
      </c>
      <c r="C76" s="593">
        <f>SUM(C70+C71+C74)</f>
        <v>103085782</v>
      </c>
      <c r="D76" s="593">
        <f>SUM(D70+D71+D74)</f>
        <v>106502070</v>
      </c>
      <c r="E76" s="593">
        <f t="shared" si="7"/>
        <v>3416288</v>
      </c>
    </row>
    <row r="77" spans="1:5" s="421" customFormat="1" x14ac:dyDescent="0.2">
      <c r="A77" s="588"/>
      <c r="B77" s="592" t="s">
        <v>728</v>
      </c>
      <c r="C77" s="593">
        <f>SUM(C69+C76)</f>
        <v>217229986</v>
      </c>
      <c r="D77" s="593">
        <f>SUM(D69+D76)</f>
        <v>224819411</v>
      </c>
      <c r="E77" s="593">
        <f t="shared" si="7"/>
        <v>7589425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0.11657399946942079</v>
      </c>
      <c r="D83" s="599">
        <f t="shared" si="8"/>
        <v>0.10478480230869618</v>
      </c>
      <c r="E83" s="599">
        <f t="shared" ref="E83:E91" si="9">D83-C83</f>
        <v>-1.1789197160724615E-2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0.25568378621854859</v>
      </c>
      <c r="D84" s="599">
        <f t="shared" si="8"/>
        <v>0.25777997568696775</v>
      </c>
      <c r="E84" s="599">
        <f t="shared" si="9"/>
        <v>2.0961894684191629E-3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6.9094071918323618E-2</v>
      </c>
      <c r="D85" s="599">
        <f t="shared" si="8"/>
        <v>7.1561577264060885E-2</v>
      </c>
      <c r="E85" s="599">
        <f t="shared" si="9"/>
        <v>2.467505345737267E-3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6.9094071918323618E-2</v>
      </c>
      <c r="D86" s="599">
        <f t="shared" si="8"/>
        <v>7.1561577264060885E-2</v>
      </c>
      <c r="E86" s="599">
        <f t="shared" si="9"/>
        <v>2.467505345737267E-3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7.3649372416367343E-4</v>
      </c>
      <c r="D88" s="599">
        <f t="shared" si="8"/>
        <v>5.7719107371843317E-4</v>
      </c>
      <c r="E88" s="599">
        <f t="shared" si="9"/>
        <v>-1.5930265044524026E-4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7.4303751351766185E-3</v>
      </c>
      <c r="D89" s="599">
        <f t="shared" si="8"/>
        <v>8.8142414472893171E-3</v>
      </c>
      <c r="E89" s="599">
        <f t="shared" si="9"/>
        <v>1.3838663121126986E-3</v>
      </c>
    </row>
    <row r="90" spans="1:5" s="421" customFormat="1" x14ac:dyDescent="0.2">
      <c r="A90" s="588"/>
      <c r="B90" s="592" t="s">
        <v>798</v>
      </c>
      <c r="C90" s="600">
        <f>SUM(C84+C85+C88)</f>
        <v>0.32551435186103589</v>
      </c>
      <c r="D90" s="600">
        <f>SUM(D84+D85+D88)</f>
        <v>0.32991874402474708</v>
      </c>
      <c r="E90" s="601">
        <f t="shared" si="9"/>
        <v>4.4043921637111905E-3</v>
      </c>
    </row>
    <row r="91" spans="1:5" s="421" customFormat="1" x14ac:dyDescent="0.2">
      <c r="A91" s="588"/>
      <c r="B91" s="592" t="s">
        <v>799</v>
      </c>
      <c r="C91" s="600">
        <f>SUM(C83+C90)</f>
        <v>0.44208835133045665</v>
      </c>
      <c r="D91" s="600">
        <f>SUM(D83+D90)</f>
        <v>0.43470354633344327</v>
      </c>
      <c r="E91" s="601">
        <f t="shared" si="9"/>
        <v>-7.3848049970133833E-3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0.25176138629928324</v>
      </c>
      <c r="D95" s="599">
        <f t="shared" si="10"/>
        <v>0.24324745606482942</v>
      </c>
      <c r="E95" s="599">
        <f t="shared" ref="E95:E103" si="11">D95-C95</f>
        <v>-8.5139302344538204E-3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0.18475232032498326</v>
      </c>
      <c r="D96" s="599">
        <f t="shared" si="10"/>
        <v>0.19182288733630759</v>
      </c>
      <c r="E96" s="599">
        <f t="shared" si="11"/>
        <v>7.0705670113243302E-3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0.11996855970554178</v>
      </c>
      <c r="D97" s="599">
        <f t="shared" si="10"/>
        <v>0.12845531698317469</v>
      </c>
      <c r="E97" s="599">
        <f t="shared" si="11"/>
        <v>8.4867572776329142E-3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0.11996855970554178</v>
      </c>
      <c r="D98" s="599">
        <f t="shared" si="10"/>
        <v>0.12845531698317469</v>
      </c>
      <c r="E98" s="599">
        <f t="shared" si="11"/>
        <v>8.4867572776329142E-3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1.4293823397350421E-3</v>
      </c>
      <c r="D100" s="599">
        <f t="shared" si="10"/>
        <v>1.770793282245059E-3</v>
      </c>
      <c r="E100" s="599">
        <f t="shared" si="11"/>
        <v>3.4141094251001697E-4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1.5982613914541303E-2</v>
      </c>
      <c r="D101" s="599">
        <f t="shared" si="10"/>
        <v>1.5935781252548645E-2</v>
      </c>
      <c r="E101" s="599">
        <f t="shared" si="11"/>
        <v>-4.6832661992658731E-5</v>
      </c>
    </row>
    <row r="102" spans="1:5" s="421" customFormat="1" x14ac:dyDescent="0.2">
      <c r="A102" s="588"/>
      <c r="B102" s="592" t="s">
        <v>801</v>
      </c>
      <c r="C102" s="600">
        <f>SUM(C96+C97+C100)</f>
        <v>0.30615026237026011</v>
      </c>
      <c r="D102" s="600">
        <f>SUM(D96+D97+D100)</f>
        <v>0.32204899760172734</v>
      </c>
      <c r="E102" s="601">
        <f t="shared" si="11"/>
        <v>1.5898735231467231E-2</v>
      </c>
    </row>
    <row r="103" spans="1:5" s="421" customFormat="1" x14ac:dyDescent="0.2">
      <c r="A103" s="588"/>
      <c r="B103" s="592" t="s">
        <v>802</v>
      </c>
      <c r="C103" s="600">
        <f>SUM(C95+C102)</f>
        <v>0.55791164866954335</v>
      </c>
      <c r="D103" s="600">
        <f>SUM(D95+D102)</f>
        <v>0.56529645366655679</v>
      </c>
      <c r="E103" s="601">
        <f t="shared" si="11"/>
        <v>7.3848049970134388E-3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0.16497768406613994</v>
      </c>
      <c r="D109" s="599">
        <f t="shared" si="12"/>
        <v>0.1557252278363099</v>
      </c>
      <c r="E109" s="599">
        <f t="shared" ref="E109:E117" si="13">D109-C109</f>
        <v>-9.2524562298300361E-3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0.23848822602235034</v>
      </c>
      <c r="D110" s="599">
        <f t="shared" si="12"/>
        <v>0.22616944761944954</v>
      </c>
      <c r="E110" s="599">
        <f t="shared" si="13"/>
        <v>-1.2318778402900799E-2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5.0777142709938765E-2</v>
      </c>
      <c r="D111" s="599">
        <f t="shared" si="12"/>
        <v>5.6300556716608427E-2</v>
      </c>
      <c r="E111" s="599">
        <f t="shared" si="13"/>
        <v>5.5234140066696621E-3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5.0777142709938765E-2</v>
      </c>
      <c r="D112" s="599">
        <f t="shared" si="12"/>
        <v>5.6300556716608427E-2</v>
      </c>
      <c r="E112" s="599">
        <f t="shared" si="13"/>
        <v>5.5234140066696621E-3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4.8485939689744305E-4</v>
      </c>
      <c r="D114" s="599">
        <f t="shared" si="12"/>
        <v>2.6960305487144971E-4</v>
      </c>
      <c r="E114" s="599">
        <f t="shared" si="13"/>
        <v>-2.1525634202599334E-4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1.2746398648665383E-3</v>
      </c>
      <c r="D115" s="599">
        <f t="shared" si="12"/>
        <v>4.1948557546928186E-3</v>
      </c>
      <c r="E115" s="599">
        <f t="shared" si="13"/>
        <v>2.9202158898262802E-3</v>
      </c>
    </row>
    <row r="116" spans="1:5" s="421" customFormat="1" x14ac:dyDescent="0.2">
      <c r="A116" s="588"/>
      <c r="B116" s="592" t="s">
        <v>798</v>
      </c>
      <c r="C116" s="600">
        <f>SUM(C110+C111+C114)</f>
        <v>0.28975022812918655</v>
      </c>
      <c r="D116" s="600">
        <f>SUM(D110+D111+D114)</f>
        <v>0.2827396073909294</v>
      </c>
      <c r="E116" s="601">
        <f t="shared" si="13"/>
        <v>-7.010620738257145E-3</v>
      </c>
    </row>
    <row r="117" spans="1:5" s="421" customFormat="1" x14ac:dyDescent="0.2">
      <c r="A117" s="588"/>
      <c r="B117" s="592" t="s">
        <v>799</v>
      </c>
      <c r="C117" s="600">
        <f>SUM(C109+C116)</f>
        <v>0.45472791219532649</v>
      </c>
      <c r="D117" s="600">
        <f>SUM(D109+D116)</f>
        <v>0.43846483522723934</v>
      </c>
      <c r="E117" s="601">
        <f t="shared" si="13"/>
        <v>-1.6263076968087153E-2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0.36047557449089923</v>
      </c>
      <c r="D121" s="599">
        <f t="shared" si="14"/>
        <v>0.37055202052815628</v>
      </c>
      <c r="E121" s="599">
        <f t="shared" ref="E121:E129" si="15">D121-C121</f>
        <v>1.0076446037257047E-2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0.11701129051308783</v>
      </c>
      <c r="D122" s="599">
        <f t="shared" si="14"/>
        <v>0.12006695453890323</v>
      </c>
      <c r="E122" s="599">
        <f t="shared" si="15"/>
        <v>3.055664025815405E-3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6.6844201702429787E-2</v>
      </c>
      <c r="D123" s="599">
        <f t="shared" si="14"/>
        <v>7.0089059169361492E-2</v>
      </c>
      <c r="E123" s="599">
        <f t="shared" si="15"/>
        <v>3.2448574669317054E-3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6.6844201702429787E-2</v>
      </c>
      <c r="D124" s="599">
        <f t="shared" si="14"/>
        <v>7.0089059169361492E-2</v>
      </c>
      <c r="E124" s="599">
        <f t="shared" si="15"/>
        <v>3.2448574669317054E-3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9.4102109825666518E-4</v>
      </c>
      <c r="D126" s="599">
        <f t="shared" si="14"/>
        <v>8.2713053633967572E-4</v>
      </c>
      <c r="E126" s="599">
        <f t="shared" si="15"/>
        <v>-1.1389056191698946E-4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4.1807257677584165E-3</v>
      </c>
      <c r="D127" s="599">
        <f t="shared" si="14"/>
        <v>9.6091435805781018E-3</v>
      </c>
      <c r="E127" s="599">
        <f t="shared" si="15"/>
        <v>5.4284178128196853E-3</v>
      </c>
    </row>
    <row r="128" spans="1:5" s="421" customFormat="1" x14ac:dyDescent="0.2">
      <c r="A128" s="588"/>
      <c r="B128" s="592" t="s">
        <v>801</v>
      </c>
      <c r="C128" s="600">
        <f>SUM(C122+C123+C126)</f>
        <v>0.18479651331377428</v>
      </c>
      <c r="D128" s="600">
        <f>SUM(D122+D123+D126)</f>
        <v>0.19098314424460441</v>
      </c>
      <c r="E128" s="601">
        <f t="shared" si="15"/>
        <v>6.1866309308301337E-3</v>
      </c>
    </row>
    <row r="129" spans="1:5" s="421" customFormat="1" x14ac:dyDescent="0.2">
      <c r="A129" s="588"/>
      <c r="B129" s="592" t="s">
        <v>802</v>
      </c>
      <c r="C129" s="600">
        <f>SUM(C121+C128)</f>
        <v>0.54527208780467351</v>
      </c>
      <c r="D129" s="600">
        <f>SUM(D121+D128)</f>
        <v>0.56153516477276066</v>
      </c>
      <c r="E129" s="601">
        <f t="shared" si="15"/>
        <v>1.6263076968087153E-2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3098</v>
      </c>
      <c r="D137" s="606">
        <v>2804</v>
      </c>
      <c r="E137" s="607">
        <f t="shared" ref="E137:E145" si="16">D137-C137</f>
        <v>-294</v>
      </c>
    </row>
    <row r="138" spans="1:5" s="421" customFormat="1" x14ac:dyDescent="0.2">
      <c r="A138" s="588">
        <v>2</v>
      </c>
      <c r="B138" s="587" t="s">
        <v>637</v>
      </c>
      <c r="C138" s="606">
        <v>5054</v>
      </c>
      <c r="D138" s="606">
        <v>4908</v>
      </c>
      <c r="E138" s="607">
        <f t="shared" si="16"/>
        <v>-146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2151</v>
      </c>
      <c r="D139" s="606">
        <f>D140+D141</f>
        <v>2111</v>
      </c>
      <c r="E139" s="607">
        <f t="shared" si="16"/>
        <v>-40</v>
      </c>
    </row>
    <row r="140" spans="1:5" s="421" customFormat="1" x14ac:dyDescent="0.2">
      <c r="A140" s="588">
        <v>4</v>
      </c>
      <c r="B140" s="587" t="s">
        <v>115</v>
      </c>
      <c r="C140" s="606">
        <v>2151</v>
      </c>
      <c r="D140" s="606">
        <v>2111</v>
      </c>
      <c r="E140" s="607">
        <f t="shared" si="16"/>
        <v>-40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27</v>
      </c>
      <c r="D142" s="606">
        <v>24</v>
      </c>
      <c r="E142" s="607">
        <f t="shared" si="16"/>
        <v>-3</v>
      </c>
    </row>
    <row r="143" spans="1:5" s="421" customFormat="1" x14ac:dyDescent="0.2">
      <c r="A143" s="588">
        <v>7</v>
      </c>
      <c r="B143" s="587" t="s">
        <v>760</v>
      </c>
      <c r="C143" s="606">
        <v>254</v>
      </c>
      <c r="D143" s="606">
        <v>242</v>
      </c>
      <c r="E143" s="607">
        <f t="shared" si="16"/>
        <v>-12</v>
      </c>
    </row>
    <row r="144" spans="1:5" s="421" customFormat="1" x14ac:dyDescent="0.2">
      <c r="A144" s="588"/>
      <c r="B144" s="592" t="s">
        <v>809</v>
      </c>
      <c r="C144" s="608">
        <f>SUM(C138+C139+C142)</f>
        <v>7232</v>
      </c>
      <c r="D144" s="608">
        <f>SUM(D138+D139+D142)</f>
        <v>7043</v>
      </c>
      <c r="E144" s="609">
        <f t="shared" si="16"/>
        <v>-189</v>
      </c>
    </row>
    <row r="145" spans="1:5" s="421" customFormat="1" x14ac:dyDescent="0.2">
      <c r="A145" s="588"/>
      <c r="B145" s="592" t="s">
        <v>138</v>
      </c>
      <c r="C145" s="608">
        <f>SUM(C137+C144)</f>
        <v>10330</v>
      </c>
      <c r="D145" s="608">
        <f>SUM(D137+D144)</f>
        <v>9847</v>
      </c>
      <c r="E145" s="609">
        <f t="shared" si="16"/>
        <v>-483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10383</v>
      </c>
      <c r="D149" s="610">
        <v>9388</v>
      </c>
      <c r="E149" s="607">
        <f t="shared" ref="E149:E157" si="17">D149-C149</f>
        <v>-995</v>
      </c>
    </row>
    <row r="150" spans="1:5" s="421" customFormat="1" x14ac:dyDescent="0.2">
      <c r="A150" s="588">
        <v>2</v>
      </c>
      <c r="B150" s="587" t="s">
        <v>637</v>
      </c>
      <c r="C150" s="610">
        <v>23891</v>
      </c>
      <c r="D150" s="610">
        <v>24257</v>
      </c>
      <c r="E150" s="607">
        <f t="shared" si="17"/>
        <v>366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8172</v>
      </c>
      <c r="D151" s="610">
        <f>D152+D153</f>
        <v>8183</v>
      </c>
      <c r="E151" s="607">
        <f t="shared" si="17"/>
        <v>11</v>
      </c>
    </row>
    <row r="152" spans="1:5" s="421" customFormat="1" x14ac:dyDescent="0.2">
      <c r="A152" s="588">
        <v>4</v>
      </c>
      <c r="B152" s="587" t="s">
        <v>115</v>
      </c>
      <c r="C152" s="610">
        <v>8172</v>
      </c>
      <c r="D152" s="610">
        <v>8183</v>
      </c>
      <c r="E152" s="607">
        <f t="shared" si="17"/>
        <v>11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84</v>
      </c>
      <c r="D154" s="610">
        <v>70</v>
      </c>
      <c r="E154" s="607">
        <f t="shared" si="17"/>
        <v>-14</v>
      </c>
    </row>
    <row r="155" spans="1:5" s="421" customFormat="1" x14ac:dyDescent="0.2">
      <c r="A155" s="588">
        <v>7</v>
      </c>
      <c r="B155" s="587" t="s">
        <v>760</v>
      </c>
      <c r="C155" s="610">
        <v>925</v>
      </c>
      <c r="D155" s="610">
        <v>882</v>
      </c>
      <c r="E155" s="607">
        <f t="shared" si="17"/>
        <v>-43</v>
      </c>
    </row>
    <row r="156" spans="1:5" s="421" customFormat="1" x14ac:dyDescent="0.2">
      <c r="A156" s="588"/>
      <c r="B156" s="592" t="s">
        <v>810</v>
      </c>
      <c r="C156" s="608">
        <f>SUM(C150+C151+C154)</f>
        <v>32147</v>
      </c>
      <c r="D156" s="608">
        <f>SUM(D150+D151+D154)</f>
        <v>32510</v>
      </c>
      <c r="E156" s="609">
        <f t="shared" si="17"/>
        <v>363</v>
      </c>
    </row>
    <row r="157" spans="1:5" s="421" customFormat="1" x14ac:dyDescent="0.2">
      <c r="A157" s="588"/>
      <c r="B157" s="592" t="s">
        <v>140</v>
      </c>
      <c r="C157" s="608">
        <f>SUM(C149+C156)</f>
        <v>42530</v>
      </c>
      <c r="D157" s="608">
        <f>SUM(D149+D156)</f>
        <v>41898</v>
      </c>
      <c r="E157" s="609">
        <f t="shared" si="17"/>
        <v>-632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3.3515171078114911</v>
      </c>
      <c r="D161" s="612">
        <f t="shared" si="18"/>
        <v>3.3480741797432239</v>
      </c>
      <c r="E161" s="613">
        <f t="shared" ref="E161:E169" si="19">D161-C161</f>
        <v>-3.4429280682672925E-3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4.7271468144044322</v>
      </c>
      <c r="D162" s="612">
        <f t="shared" si="18"/>
        <v>4.9423390383048087</v>
      </c>
      <c r="E162" s="613">
        <f t="shared" si="19"/>
        <v>0.21519222390037651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3.7991631799163179</v>
      </c>
      <c r="D163" s="612">
        <f t="shared" si="18"/>
        <v>3.8763619137849359</v>
      </c>
      <c r="E163" s="613">
        <f t="shared" si="19"/>
        <v>7.7198733868617975E-2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3.7991631799163179</v>
      </c>
      <c r="D164" s="612">
        <f t="shared" si="18"/>
        <v>3.8763619137849359</v>
      </c>
      <c r="E164" s="613">
        <f t="shared" si="19"/>
        <v>7.7198733868617975E-2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3.1111111111111112</v>
      </c>
      <c r="D166" s="612">
        <f t="shared" si="18"/>
        <v>2.9166666666666665</v>
      </c>
      <c r="E166" s="613">
        <f t="shared" si="19"/>
        <v>-0.19444444444444464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3.6417322834645671</v>
      </c>
      <c r="D167" s="612">
        <f t="shared" si="18"/>
        <v>3.6446280991735538</v>
      </c>
      <c r="E167" s="613">
        <f t="shared" si="19"/>
        <v>2.895815708986671E-3</v>
      </c>
    </row>
    <row r="168" spans="1:5" s="421" customFormat="1" x14ac:dyDescent="0.2">
      <c r="A168" s="588"/>
      <c r="B168" s="592" t="s">
        <v>812</v>
      </c>
      <c r="C168" s="614">
        <f t="shared" si="18"/>
        <v>4.4451050884955752</v>
      </c>
      <c r="D168" s="614">
        <f t="shared" si="18"/>
        <v>4.6159307113445971</v>
      </c>
      <c r="E168" s="615">
        <f t="shared" si="19"/>
        <v>0.17082562284902192</v>
      </c>
    </row>
    <row r="169" spans="1:5" s="421" customFormat="1" x14ac:dyDescent="0.2">
      <c r="A169" s="588"/>
      <c r="B169" s="592" t="s">
        <v>746</v>
      </c>
      <c r="C169" s="614">
        <f t="shared" si="18"/>
        <v>4.1171345595353337</v>
      </c>
      <c r="D169" s="614">
        <f t="shared" si="18"/>
        <v>4.2548999695338683</v>
      </c>
      <c r="E169" s="615">
        <f t="shared" si="19"/>
        <v>0.13776540999853459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1.0921000000000001</v>
      </c>
      <c r="D173" s="617">
        <f t="shared" si="20"/>
        <v>1.10877</v>
      </c>
      <c r="E173" s="618">
        <f t="shared" ref="E173:E181" si="21">D173-C173</f>
        <v>1.6669999999999963E-2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1.3859999999999999</v>
      </c>
      <c r="D174" s="617">
        <f t="shared" si="20"/>
        <v>1.52013</v>
      </c>
      <c r="E174" s="618">
        <f t="shared" si="21"/>
        <v>0.13413000000000008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0.93072999999999995</v>
      </c>
      <c r="D175" s="617">
        <f t="shared" si="20"/>
        <v>0.98575999999999997</v>
      </c>
      <c r="E175" s="618">
        <f t="shared" si="21"/>
        <v>5.5030000000000023E-2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0.93072999999999995</v>
      </c>
      <c r="D176" s="617">
        <f t="shared" si="20"/>
        <v>0.98575999999999997</v>
      </c>
      <c r="E176" s="618">
        <f t="shared" si="21"/>
        <v>5.5030000000000023E-2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0.70038</v>
      </c>
      <c r="D178" s="617">
        <f t="shared" si="20"/>
        <v>0.72829999999999995</v>
      </c>
      <c r="E178" s="618">
        <f t="shared" si="21"/>
        <v>2.7919999999999945E-2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0.97824999999999995</v>
      </c>
      <c r="D179" s="617">
        <f t="shared" si="20"/>
        <v>0.94379000000000002</v>
      </c>
      <c r="E179" s="618">
        <f t="shared" si="21"/>
        <v>-3.4459999999999935E-2</v>
      </c>
    </row>
    <row r="180" spans="1:5" s="421" customFormat="1" x14ac:dyDescent="0.2">
      <c r="A180" s="588"/>
      <c r="B180" s="592" t="s">
        <v>814</v>
      </c>
      <c r="C180" s="619">
        <f t="shared" si="20"/>
        <v>1.2480302115597344</v>
      </c>
      <c r="D180" s="619">
        <f t="shared" si="20"/>
        <v>1.357264887121965</v>
      </c>
      <c r="E180" s="620">
        <f t="shared" si="21"/>
        <v>0.10923467556223065</v>
      </c>
    </row>
    <row r="181" spans="1:5" s="421" customFormat="1" x14ac:dyDescent="0.2">
      <c r="A181" s="588"/>
      <c r="B181" s="592" t="s">
        <v>725</v>
      </c>
      <c r="C181" s="619">
        <f t="shared" si="20"/>
        <v>1.201266242981607</v>
      </c>
      <c r="D181" s="619">
        <f t="shared" si="20"/>
        <v>1.2865042835381333</v>
      </c>
      <c r="E181" s="620">
        <f t="shared" si="21"/>
        <v>8.5238040556526284E-2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165440521</v>
      </c>
      <c r="D185" s="589">
        <v>163272936</v>
      </c>
      <c r="E185" s="590">
        <f>D185-C185</f>
        <v>-2167585</v>
      </c>
    </row>
    <row r="186" spans="1:5" s="421" customFormat="1" ht="25.5" x14ac:dyDescent="0.2">
      <c r="A186" s="588">
        <v>2</v>
      </c>
      <c r="B186" s="587" t="s">
        <v>817</v>
      </c>
      <c r="C186" s="589">
        <v>113609361</v>
      </c>
      <c r="D186" s="589">
        <v>115287227</v>
      </c>
      <c r="E186" s="590">
        <f>D186-C186</f>
        <v>1677866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51831160</v>
      </c>
      <c r="D188" s="622">
        <f>+D185-D186</f>
        <v>47985709</v>
      </c>
      <c r="E188" s="590">
        <f t="shared" ref="E188:E197" si="22">D188-C188</f>
        <v>-3845451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0.31329180835933174</v>
      </c>
      <c r="D189" s="623">
        <f>IF(D185=0,0,+D188/D185)</f>
        <v>0.29389873285551749</v>
      </c>
      <c r="E189" s="599">
        <f t="shared" si="22"/>
        <v>-1.939307550381425E-2</v>
      </c>
    </row>
    <row r="190" spans="1:5" s="421" customFormat="1" x14ac:dyDescent="0.2">
      <c r="A190" s="588">
        <v>5</v>
      </c>
      <c r="B190" s="587" t="s">
        <v>764</v>
      </c>
      <c r="C190" s="589">
        <v>0</v>
      </c>
      <c r="D190" s="589">
        <v>3925009</v>
      </c>
      <c r="E190" s="622">
        <f t="shared" si="22"/>
        <v>3925009</v>
      </c>
    </row>
    <row r="191" spans="1:5" s="421" customFormat="1" x14ac:dyDescent="0.2">
      <c r="A191" s="588">
        <v>6</v>
      </c>
      <c r="B191" s="587" t="s">
        <v>750</v>
      </c>
      <c r="C191" s="589">
        <v>0</v>
      </c>
      <c r="D191" s="589">
        <v>1914881</v>
      </c>
      <c r="E191" s="622">
        <f t="shared" si="22"/>
        <v>1914881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4233596</v>
      </c>
      <c r="D193" s="589">
        <v>7131143</v>
      </c>
      <c r="E193" s="622">
        <f t="shared" si="22"/>
        <v>2897547</v>
      </c>
    </row>
    <row r="194" spans="1:5" s="421" customFormat="1" x14ac:dyDescent="0.2">
      <c r="A194" s="588">
        <v>9</v>
      </c>
      <c r="B194" s="587" t="s">
        <v>820</v>
      </c>
      <c r="C194" s="589">
        <v>6461499</v>
      </c>
      <c r="D194" s="589">
        <v>2265391</v>
      </c>
      <c r="E194" s="622">
        <f t="shared" si="22"/>
        <v>-4196108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10695095</v>
      </c>
      <c r="D195" s="589">
        <f>+D193+D194</f>
        <v>9396534</v>
      </c>
      <c r="E195" s="625">
        <f t="shared" si="22"/>
        <v>-1298561</v>
      </c>
    </row>
    <row r="196" spans="1:5" s="421" customFormat="1" x14ac:dyDescent="0.2">
      <c r="A196" s="588">
        <v>11</v>
      </c>
      <c r="B196" s="587" t="s">
        <v>822</v>
      </c>
      <c r="C196" s="589">
        <v>27519593</v>
      </c>
      <c r="D196" s="589">
        <v>9116321</v>
      </c>
      <c r="E196" s="622">
        <f t="shared" si="22"/>
        <v>-18403272</v>
      </c>
    </row>
    <row r="197" spans="1:5" s="421" customFormat="1" x14ac:dyDescent="0.2">
      <c r="A197" s="588">
        <v>12</v>
      </c>
      <c r="B197" s="587" t="s">
        <v>712</v>
      </c>
      <c r="C197" s="589">
        <v>221306295</v>
      </c>
      <c r="D197" s="589">
        <v>210520148</v>
      </c>
      <c r="E197" s="622">
        <f t="shared" si="22"/>
        <v>-10786147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3383.3258000000001</v>
      </c>
      <c r="D203" s="629">
        <v>3108.9910800000002</v>
      </c>
      <c r="E203" s="630">
        <f t="shared" ref="E203:E211" si="23">D203-C203</f>
        <v>-274.33471999999983</v>
      </c>
    </row>
    <row r="204" spans="1:5" s="421" customFormat="1" x14ac:dyDescent="0.2">
      <c r="A204" s="588">
        <v>2</v>
      </c>
      <c r="B204" s="587" t="s">
        <v>637</v>
      </c>
      <c r="C204" s="629">
        <v>7004.8439999999991</v>
      </c>
      <c r="D204" s="629">
        <v>7460.7980399999997</v>
      </c>
      <c r="E204" s="630">
        <f t="shared" si="23"/>
        <v>455.95404000000053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2002.0002299999999</v>
      </c>
      <c r="D205" s="629">
        <f>D206+D207</f>
        <v>2080.9393599999999</v>
      </c>
      <c r="E205" s="630">
        <f t="shared" si="23"/>
        <v>78.939129999999977</v>
      </c>
    </row>
    <row r="206" spans="1:5" s="421" customFormat="1" x14ac:dyDescent="0.2">
      <c r="A206" s="588">
        <v>4</v>
      </c>
      <c r="B206" s="587" t="s">
        <v>115</v>
      </c>
      <c r="C206" s="629">
        <v>2002.0002299999999</v>
      </c>
      <c r="D206" s="629">
        <v>2080.9393599999999</v>
      </c>
      <c r="E206" s="630">
        <f t="shared" si="23"/>
        <v>78.939129999999977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18.910260000000001</v>
      </c>
      <c r="D208" s="629">
        <v>17.479199999999999</v>
      </c>
      <c r="E208" s="630">
        <f t="shared" si="23"/>
        <v>-1.4310600000000022</v>
      </c>
    </row>
    <row r="209" spans="1:5" s="421" customFormat="1" x14ac:dyDescent="0.2">
      <c r="A209" s="588">
        <v>7</v>
      </c>
      <c r="B209" s="587" t="s">
        <v>760</v>
      </c>
      <c r="C209" s="629">
        <v>248.47549999999998</v>
      </c>
      <c r="D209" s="629">
        <v>228.39717999999999</v>
      </c>
      <c r="E209" s="630">
        <f t="shared" si="23"/>
        <v>-20.078319999999991</v>
      </c>
    </row>
    <row r="210" spans="1:5" s="421" customFormat="1" x14ac:dyDescent="0.2">
      <c r="A210" s="588"/>
      <c r="B210" s="592" t="s">
        <v>825</v>
      </c>
      <c r="C210" s="631">
        <f>C204+C205+C208</f>
        <v>9025.7544899999994</v>
      </c>
      <c r="D210" s="631">
        <f>D204+D205+D208</f>
        <v>9559.2165999999997</v>
      </c>
      <c r="E210" s="632">
        <f t="shared" si="23"/>
        <v>533.46211000000039</v>
      </c>
    </row>
    <row r="211" spans="1:5" s="421" customFormat="1" x14ac:dyDescent="0.2">
      <c r="A211" s="588"/>
      <c r="B211" s="592" t="s">
        <v>726</v>
      </c>
      <c r="C211" s="631">
        <f>C210+C203</f>
        <v>12409.08029</v>
      </c>
      <c r="D211" s="631">
        <f>D210+D203</f>
        <v>12668.20768</v>
      </c>
      <c r="E211" s="632">
        <f t="shared" si="23"/>
        <v>259.12738999999965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6690.6581081982558</v>
      </c>
      <c r="D215" s="633">
        <f>IF(D14*D137=0,0,D25/D14*D137)</f>
        <v>6509.2060277635937</v>
      </c>
      <c r="E215" s="633">
        <f t="shared" ref="E215:E223" si="24">D215-C215</f>
        <v>-181.45208043466209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3651.9258445443311</v>
      </c>
      <c r="D216" s="633">
        <f>IF(D15*D138=0,0,D26/D15*D138)</f>
        <v>3652.2104889553461</v>
      </c>
      <c r="E216" s="633">
        <f t="shared" si="24"/>
        <v>0.28464441101505145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3734.7975703569059</v>
      </c>
      <c r="D217" s="633">
        <f>D218+D219</f>
        <v>3789.3124288034142</v>
      </c>
      <c r="E217" s="633">
        <f t="shared" si="24"/>
        <v>54.514858446508242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3734.7975703569059</v>
      </c>
      <c r="D218" s="633">
        <f t="shared" si="25"/>
        <v>3789.3124288034142</v>
      </c>
      <c r="E218" s="633">
        <f t="shared" si="24"/>
        <v>54.514858446508242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52.401428425844145</v>
      </c>
      <c r="D220" s="633">
        <f t="shared" si="25"/>
        <v>73.630796990830476</v>
      </c>
      <c r="E220" s="633">
        <f t="shared" si="24"/>
        <v>21.229368564986331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546.34979532523914</v>
      </c>
      <c r="D221" s="633">
        <f t="shared" si="25"/>
        <v>437.5259160052583</v>
      </c>
      <c r="E221" s="633">
        <f t="shared" si="24"/>
        <v>-108.82387931998085</v>
      </c>
    </row>
    <row r="222" spans="1:5" s="421" customFormat="1" x14ac:dyDescent="0.2">
      <c r="A222" s="588"/>
      <c r="B222" s="592" t="s">
        <v>827</v>
      </c>
      <c r="C222" s="634">
        <f>C216+C218+C219+C220</f>
        <v>7439.1248433270803</v>
      </c>
      <c r="D222" s="634">
        <f>D216+D218+D219+D220</f>
        <v>7515.153714749591</v>
      </c>
      <c r="E222" s="634">
        <f t="shared" si="24"/>
        <v>76.028871422510747</v>
      </c>
    </row>
    <row r="223" spans="1:5" s="421" customFormat="1" x14ac:dyDescent="0.2">
      <c r="A223" s="588"/>
      <c r="B223" s="592" t="s">
        <v>828</v>
      </c>
      <c r="C223" s="634">
        <f>C215+C222</f>
        <v>14129.782951525336</v>
      </c>
      <c r="D223" s="634">
        <f>D215+D222</f>
        <v>14024.359742513185</v>
      </c>
      <c r="E223" s="634">
        <f t="shared" si="24"/>
        <v>-105.42320901215135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10592.565457337865</v>
      </c>
      <c r="D227" s="636">
        <f t="shared" si="26"/>
        <v>11260.905258049179</v>
      </c>
      <c r="E227" s="636">
        <f t="shared" ref="E227:E235" si="27">D227-C227</f>
        <v>668.33980071131373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7395.8526414007229</v>
      </c>
      <c r="D228" s="636">
        <f t="shared" si="26"/>
        <v>6815.2604758082962</v>
      </c>
      <c r="E228" s="636">
        <f t="shared" si="27"/>
        <v>-580.59216559242668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5509.6487176727251</v>
      </c>
      <c r="D229" s="636">
        <f t="shared" si="26"/>
        <v>6082.5693642509605</v>
      </c>
      <c r="E229" s="636">
        <f t="shared" si="27"/>
        <v>572.92064657823539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5509.6487176727251</v>
      </c>
      <c r="D230" s="636">
        <f t="shared" si="26"/>
        <v>6082.5693642509605</v>
      </c>
      <c r="E230" s="636">
        <f t="shared" si="27"/>
        <v>572.92064657823539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5569.780637600963</v>
      </c>
      <c r="D232" s="636">
        <f t="shared" si="26"/>
        <v>3467.6644240010987</v>
      </c>
      <c r="E232" s="636">
        <f t="shared" si="27"/>
        <v>-2102.1162135998643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1114.3553388563462</v>
      </c>
      <c r="D233" s="636">
        <f t="shared" si="26"/>
        <v>4129.144676830073</v>
      </c>
      <c r="E233" s="636">
        <f t="shared" si="27"/>
        <v>3014.789337973727</v>
      </c>
    </row>
    <row r="234" spans="1:5" x14ac:dyDescent="0.2">
      <c r="A234" s="588"/>
      <c r="B234" s="592" t="s">
        <v>830</v>
      </c>
      <c r="C234" s="637">
        <f t="shared" si="26"/>
        <v>6973.6483603377965</v>
      </c>
      <c r="D234" s="637">
        <f t="shared" si="26"/>
        <v>6649.6403062987401</v>
      </c>
      <c r="E234" s="637">
        <f t="shared" si="27"/>
        <v>-324.00805403905633</v>
      </c>
    </row>
    <row r="235" spans="1:5" s="421" customFormat="1" x14ac:dyDescent="0.2">
      <c r="A235" s="588"/>
      <c r="B235" s="592" t="s">
        <v>831</v>
      </c>
      <c r="C235" s="637">
        <f t="shared" si="26"/>
        <v>7960.3432076753852</v>
      </c>
      <c r="D235" s="637">
        <f t="shared" si="26"/>
        <v>7781.3222272655385</v>
      </c>
      <c r="E235" s="637">
        <f t="shared" si="27"/>
        <v>-179.02098040984674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11703.796955945078</v>
      </c>
      <c r="D239" s="636">
        <f t="shared" si="28"/>
        <v>12798.379194739113</v>
      </c>
      <c r="E239" s="638">
        <f t="shared" ref="E239:E247" si="29">D239-C239</f>
        <v>1094.5822387940352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6960.2620869130969</v>
      </c>
      <c r="D240" s="636">
        <f t="shared" si="28"/>
        <v>7390.9710520876924</v>
      </c>
      <c r="E240" s="638">
        <f t="shared" si="29"/>
        <v>430.70896517459551</v>
      </c>
    </row>
    <row r="241" spans="1:5" x14ac:dyDescent="0.2">
      <c r="A241" s="588">
        <v>3</v>
      </c>
      <c r="B241" s="587" t="s">
        <v>779</v>
      </c>
      <c r="C241" s="636">
        <f t="shared" si="28"/>
        <v>3887.912189739478</v>
      </c>
      <c r="D241" s="636">
        <f t="shared" si="28"/>
        <v>4158.3747173298807</v>
      </c>
      <c r="E241" s="638">
        <f t="shared" si="29"/>
        <v>270.46252759040271</v>
      </c>
    </row>
    <row r="242" spans="1:5" x14ac:dyDescent="0.2">
      <c r="A242" s="588">
        <v>4</v>
      </c>
      <c r="B242" s="587" t="s">
        <v>115</v>
      </c>
      <c r="C242" s="636">
        <f t="shared" si="28"/>
        <v>3887.912189739478</v>
      </c>
      <c r="D242" s="636">
        <f t="shared" si="28"/>
        <v>4158.3747173298807</v>
      </c>
      <c r="E242" s="638">
        <f t="shared" si="29"/>
        <v>270.46252759040271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3901.000528817302</v>
      </c>
      <c r="D244" s="636">
        <f t="shared" si="28"/>
        <v>2525.505734009068</v>
      </c>
      <c r="E244" s="638">
        <f t="shared" si="29"/>
        <v>-1375.494794808234</v>
      </c>
    </row>
    <row r="245" spans="1:5" x14ac:dyDescent="0.2">
      <c r="A245" s="588">
        <v>7</v>
      </c>
      <c r="B245" s="587" t="s">
        <v>760</v>
      </c>
      <c r="C245" s="636">
        <f t="shared" si="28"/>
        <v>1662.266569459161</v>
      </c>
      <c r="D245" s="636">
        <f t="shared" si="28"/>
        <v>4937.5863713957388</v>
      </c>
      <c r="E245" s="638">
        <f t="shared" si="29"/>
        <v>3275.3198019365777</v>
      </c>
    </row>
    <row r="246" spans="1:5" ht="25.5" x14ac:dyDescent="0.2">
      <c r="A246" s="588"/>
      <c r="B246" s="592" t="s">
        <v>833</v>
      </c>
      <c r="C246" s="637">
        <f t="shared" si="28"/>
        <v>5396.2455054116635</v>
      </c>
      <c r="D246" s="637">
        <f t="shared" si="28"/>
        <v>5713.3519326065671</v>
      </c>
      <c r="E246" s="639">
        <f t="shared" si="29"/>
        <v>317.10642719490352</v>
      </c>
    </row>
    <row r="247" spans="1:5" x14ac:dyDescent="0.2">
      <c r="A247" s="588"/>
      <c r="B247" s="592" t="s">
        <v>834</v>
      </c>
      <c r="C247" s="637">
        <f t="shared" si="28"/>
        <v>8382.9630225999445</v>
      </c>
      <c r="D247" s="637">
        <f t="shared" si="28"/>
        <v>9001.766021254165</v>
      </c>
      <c r="E247" s="639">
        <f t="shared" si="29"/>
        <v>618.80299865422057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11474604.931250323</v>
      </c>
      <c r="D251" s="622">
        <f>((IF((IF(D15=0,0,D26/D15)*D138)=0,0,D59/(IF(D15=0,0,D26/D15)*D138)))-(IF((IF(D17=0,0,D28/D17)*D140)=0,0,D61/(IF(D17=0,0,D28/D17)*D140))))*(IF(D17=0,0,D28/D17)*D140)</f>
        <v>12249317.468602138</v>
      </c>
      <c r="E251" s="622">
        <f>D251-C251</f>
        <v>774712.53735181503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4455356.9495933577</v>
      </c>
      <c r="D253" s="622">
        <f>IF(D233=0,0,(D228-D233)*D209+IF(D221=0,0,(D240-D245)*D221))</f>
        <v>1686920.6533730882</v>
      </c>
      <c r="E253" s="622">
        <f>D253-C253</f>
        <v>-2768436.2962202695</v>
      </c>
    </row>
    <row r="254" spans="1:5" ht="15" customHeight="1" x14ac:dyDescent="0.2">
      <c r="A254" s="588"/>
      <c r="B254" s="592" t="s">
        <v>761</v>
      </c>
      <c r="C254" s="640">
        <f>+C251+C252+C253</f>
        <v>15929961.88084368</v>
      </c>
      <c r="D254" s="640">
        <f>+D251+D252+D253</f>
        <v>13936238.121975226</v>
      </c>
      <c r="E254" s="640">
        <f>D254-C254</f>
        <v>-1993723.758868454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479645635</v>
      </c>
      <c r="D258" s="625">
        <f>+D44</f>
        <v>505047658</v>
      </c>
      <c r="E258" s="622">
        <f t="shared" ref="E258:E271" si="30">D258-C258</f>
        <v>25402023</v>
      </c>
    </row>
    <row r="259" spans="1:5" x14ac:dyDescent="0.2">
      <c r="A259" s="588">
        <v>2</v>
      </c>
      <c r="B259" s="587" t="s">
        <v>744</v>
      </c>
      <c r="C259" s="622">
        <f>+(C43-C76)</f>
        <v>199889393</v>
      </c>
      <c r="D259" s="625">
        <f>+(D43-D76)</f>
        <v>222772711</v>
      </c>
      <c r="E259" s="622">
        <f t="shared" si="30"/>
        <v>22883318</v>
      </c>
    </row>
    <row r="260" spans="1:5" x14ac:dyDescent="0.2">
      <c r="A260" s="588">
        <v>3</v>
      </c>
      <c r="B260" s="587" t="s">
        <v>748</v>
      </c>
      <c r="C260" s="622">
        <f>C195</f>
        <v>10695095</v>
      </c>
      <c r="D260" s="622">
        <f>D195</f>
        <v>9396534</v>
      </c>
      <c r="E260" s="622">
        <f t="shared" si="30"/>
        <v>-1298561</v>
      </c>
    </row>
    <row r="261" spans="1:5" x14ac:dyDescent="0.2">
      <c r="A261" s="588">
        <v>4</v>
      </c>
      <c r="B261" s="587" t="s">
        <v>749</v>
      </c>
      <c r="C261" s="622">
        <f>C188</f>
        <v>51831160</v>
      </c>
      <c r="D261" s="622">
        <f>D188</f>
        <v>47985709</v>
      </c>
      <c r="E261" s="622">
        <f t="shared" si="30"/>
        <v>-3845451</v>
      </c>
    </row>
    <row r="262" spans="1:5" x14ac:dyDescent="0.2">
      <c r="A262" s="588">
        <v>5</v>
      </c>
      <c r="B262" s="587" t="s">
        <v>750</v>
      </c>
      <c r="C262" s="622">
        <f>C191</f>
        <v>0</v>
      </c>
      <c r="D262" s="622">
        <f>D191</f>
        <v>1914881</v>
      </c>
      <c r="E262" s="622">
        <f t="shared" si="30"/>
        <v>1914881</v>
      </c>
    </row>
    <row r="263" spans="1:5" x14ac:dyDescent="0.2">
      <c r="A263" s="588">
        <v>6</v>
      </c>
      <c r="B263" s="587" t="s">
        <v>751</v>
      </c>
      <c r="C263" s="622">
        <f>+C259+C260+C261+C262</f>
        <v>262415648</v>
      </c>
      <c r="D263" s="622">
        <f>+D259+D260+D261+D262</f>
        <v>282069835</v>
      </c>
      <c r="E263" s="622">
        <f t="shared" si="30"/>
        <v>19654187</v>
      </c>
    </row>
    <row r="264" spans="1:5" x14ac:dyDescent="0.2">
      <c r="A264" s="588">
        <v>7</v>
      </c>
      <c r="B264" s="587" t="s">
        <v>656</v>
      </c>
      <c r="C264" s="622">
        <f>+C258-C263</f>
        <v>217229987</v>
      </c>
      <c r="D264" s="622">
        <f>+D258-D263</f>
        <v>222977823</v>
      </c>
      <c r="E264" s="622">
        <f t="shared" si="30"/>
        <v>5747836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217229987</v>
      </c>
      <c r="D266" s="622">
        <f>+D264+D265</f>
        <v>222977823</v>
      </c>
      <c r="E266" s="641">
        <f t="shared" si="30"/>
        <v>5747836</v>
      </c>
    </row>
    <row r="267" spans="1:5" x14ac:dyDescent="0.2">
      <c r="A267" s="588">
        <v>10</v>
      </c>
      <c r="B267" s="587" t="s">
        <v>839</v>
      </c>
      <c r="C267" s="642">
        <f>IF(C258=0,0,C266/C258)</f>
        <v>0.45289682871814313</v>
      </c>
      <c r="D267" s="642">
        <f>IF(D258=0,0,D266/D258)</f>
        <v>0.44149857833812589</v>
      </c>
      <c r="E267" s="643">
        <f t="shared" si="30"/>
        <v>-1.1398250380017239E-2</v>
      </c>
    </row>
    <row r="268" spans="1:5" x14ac:dyDescent="0.2">
      <c r="A268" s="588">
        <v>11</v>
      </c>
      <c r="B268" s="587" t="s">
        <v>718</v>
      </c>
      <c r="C268" s="622">
        <f>+C260*C267</f>
        <v>4843774.6083392687</v>
      </c>
      <c r="D268" s="644">
        <f>+D260*D267</f>
        <v>4148556.4023058633</v>
      </c>
      <c r="E268" s="622">
        <f t="shared" si="30"/>
        <v>-695218.20603340538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15519190.009838067</v>
      </c>
      <c r="D269" s="644">
        <f>((D17+D18+D28+D29)*D267)-(D50+D51+D61+D62)</f>
        <v>16184492.642469816</v>
      </c>
      <c r="E269" s="622">
        <f t="shared" si="30"/>
        <v>665302.63263174891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20362964.618177336</v>
      </c>
      <c r="D271" s="622">
        <f>+D268+D269+D270</f>
        <v>20333049.04477568</v>
      </c>
      <c r="E271" s="625">
        <f t="shared" si="30"/>
        <v>-29915.573401656002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0.64094798084422544</v>
      </c>
      <c r="D276" s="623">
        <f t="shared" si="31"/>
        <v>0.6615491575332807</v>
      </c>
      <c r="E276" s="650">
        <f t="shared" ref="E276:E284" si="32">D276-C276</f>
        <v>2.0601176689055256E-2</v>
      </c>
    </row>
    <row r="277" spans="1:5" x14ac:dyDescent="0.2">
      <c r="A277" s="588">
        <v>2</v>
      </c>
      <c r="B277" s="587" t="s">
        <v>637</v>
      </c>
      <c r="C277" s="623">
        <f t="shared" si="31"/>
        <v>0.42243805269137169</v>
      </c>
      <c r="D277" s="623">
        <f t="shared" si="31"/>
        <v>0.39055859800879128</v>
      </c>
      <c r="E277" s="650">
        <f t="shared" si="32"/>
        <v>-3.187945468258041E-2</v>
      </c>
    </row>
    <row r="278" spans="1:5" x14ac:dyDescent="0.2">
      <c r="A278" s="588">
        <v>3</v>
      </c>
      <c r="B278" s="587" t="s">
        <v>779</v>
      </c>
      <c r="C278" s="623">
        <f t="shared" si="31"/>
        <v>0.33283328309294896</v>
      </c>
      <c r="D278" s="623">
        <f t="shared" si="31"/>
        <v>0.35021458548220635</v>
      </c>
      <c r="E278" s="650">
        <f t="shared" si="32"/>
        <v>1.7381302389257391E-2</v>
      </c>
    </row>
    <row r="279" spans="1:5" x14ac:dyDescent="0.2">
      <c r="A279" s="588">
        <v>4</v>
      </c>
      <c r="B279" s="587" t="s">
        <v>115</v>
      </c>
      <c r="C279" s="623">
        <f t="shared" si="31"/>
        <v>0.33283328309294896</v>
      </c>
      <c r="D279" s="623">
        <f t="shared" si="31"/>
        <v>0.35021458548220635</v>
      </c>
      <c r="E279" s="650">
        <f t="shared" si="32"/>
        <v>1.7381302389257391E-2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0.29815770998935615</v>
      </c>
      <c r="D281" s="623">
        <f t="shared" si="31"/>
        <v>0.20792496972649216</v>
      </c>
      <c r="E281" s="650">
        <f t="shared" si="32"/>
        <v>-9.0232740262863986E-2</v>
      </c>
    </row>
    <row r="282" spans="1:5" x14ac:dyDescent="0.2">
      <c r="A282" s="588">
        <v>7</v>
      </c>
      <c r="B282" s="587" t="s">
        <v>760</v>
      </c>
      <c r="C282" s="623">
        <f t="shared" si="31"/>
        <v>7.7691952209165846E-2</v>
      </c>
      <c r="D282" s="623">
        <f t="shared" si="31"/>
        <v>0.21185247052079112</v>
      </c>
      <c r="E282" s="650">
        <f t="shared" si="32"/>
        <v>0.13416051831162529</v>
      </c>
    </row>
    <row r="283" spans="1:5" ht="29.25" customHeight="1" x14ac:dyDescent="0.2">
      <c r="A283" s="588"/>
      <c r="B283" s="592" t="s">
        <v>846</v>
      </c>
      <c r="C283" s="651">
        <f t="shared" si="31"/>
        <v>0.40313724444320786</v>
      </c>
      <c r="D283" s="651">
        <f t="shared" si="31"/>
        <v>0.38148819590595007</v>
      </c>
      <c r="E283" s="652">
        <f t="shared" si="32"/>
        <v>-2.1649048537257798E-2</v>
      </c>
    </row>
    <row r="284" spans="1:5" x14ac:dyDescent="0.2">
      <c r="A284" s="588"/>
      <c r="B284" s="592" t="s">
        <v>847</v>
      </c>
      <c r="C284" s="651">
        <f t="shared" si="31"/>
        <v>0.46584540803902375</v>
      </c>
      <c r="D284" s="651">
        <f t="shared" si="31"/>
        <v>0.44899657660821601</v>
      </c>
      <c r="E284" s="652">
        <f t="shared" si="32"/>
        <v>-1.6848831430807731E-2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0.64846419129444643</v>
      </c>
      <c r="D287" s="623">
        <f t="shared" si="33"/>
        <v>0.67811339437795326</v>
      </c>
      <c r="E287" s="650">
        <f t="shared" ref="E287:E295" si="34">D287-C287</f>
        <v>2.9649203083506825E-2</v>
      </c>
    </row>
    <row r="288" spans="1:5" x14ac:dyDescent="0.2">
      <c r="A288" s="588">
        <v>2</v>
      </c>
      <c r="B288" s="587" t="s">
        <v>637</v>
      </c>
      <c r="C288" s="623">
        <f t="shared" si="33"/>
        <v>0.28683830362954876</v>
      </c>
      <c r="D288" s="623">
        <f t="shared" si="33"/>
        <v>0.27862784463618279</v>
      </c>
      <c r="E288" s="650">
        <f t="shared" si="34"/>
        <v>-8.2104589933659766E-3</v>
      </c>
    </row>
    <row r="289" spans="1:5" x14ac:dyDescent="0.2">
      <c r="A289" s="588">
        <v>3</v>
      </c>
      <c r="B289" s="587" t="s">
        <v>779</v>
      </c>
      <c r="C289" s="623">
        <f t="shared" si="33"/>
        <v>0.25234550539049505</v>
      </c>
      <c r="D289" s="623">
        <f t="shared" si="33"/>
        <v>0.24288438182980202</v>
      </c>
      <c r="E289" s="650">
        <f t="shared" si="34"/>
        <v>-9.4611235606930355E-3</v>
      </c>
    </row>
    <row r="290" spans="1:5" x14ac:dyDescent="0.2">
      <c r="A290" s="588">
        <v>4</v>
      </c>
      <c r="B290" s="587" t="s">
        <v>115</v>
      </c>
      <c r="C290" s="623">
        <f t="shared" si="33"/>
        <v>0.25234550539049505</v>
      </c>
      <c r="D290" s="623">
        <f t="shared" si="33"/>
        <v>0.24288438182980202</v>
      </c>
      <c r="E290" s="650">
        <f t="shared" si="34"/>
        <v>-9.4611235606930355E-3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0.29816058121607886</v>
      </c>
      <c r="D292" s="623">
        <f t="shared" si="33"/>
        <v>0.20792544180871822</v>
      </c>
      <c r="E292" s="650">
        <f t="shared" si="34"/>
        <v>-9.0235139407360637E-2</v>
      </c>
    </row>
    <row r="293" spans="1:5" x14ac:dyDescent="0.2">
      <c r="A293" s="588">
        <v>7</v>
      </c>
      <c r="B293" s="587" t="s">
        <v>760</v>
      </c>
      <c r="C293" s="623">
        <f t="shared" si="33"/>
        <v>0.11846857112146361</v>
      </c>
      <c r="D293" s="623">
        <f t="shared" si="33"/>
        <v>0.26841869908648119</v>
      </c>
      <c r="E293" s="650">
        <f t="shared" si="34"/>
        <v>0.14995012796501758</v>
      </c>
    </row>
    <row r="294" spans="1:5" ht="29.25" customHeight="1" x14ac:dyDescent="0.2">
      <c r="A294" s="588"/>
      <c r="B294" s="592" t="s">
        <v>849</v>
      </c>
      <c r="C294" s="651">
        <f t="shared" si="33"/>
        <v>0.27337475984744236</v>
      </c>
      <c r="D294" s="651">
        <f t="shared" si="33"/>
        <v>0.2639821316547426</v>
      </c>
      <c r="E294" s="652">
        <f t="shared" si="34"/>
        <v>-9.392628192699759E-3</v>
      </c>
    </row>
    <row r="295" spans="1:5" x14ac:dyDescent="0.2">
      <c r="A295" s="588"/>
      <c r="B295" s="592" t="s">
        <v>850</v>
      </c>
      <c r="C295" s="651">
        <f t="shared" si="33"/>
        <v>0.44263639020146522</v>
      </c>
      <c r="D295" s="651">
        <f t="shared" si="33"/>
        <v>0.44218310121850435</v>
      </c>
      <c r="E295" s="652">
        <f t="shared" si="34"/>
        <v>-4.532889829608755E-4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217229986</v>
      </c>
      <c r="D301" s="590">
        <f>+D48+D47+D50+D51+D52+D59+D58+D61+D62+D63</f>
        <v>224819411</v>
      </c>
      <c r="E301" s="590">
        <f>D301-C301</f>
        <v>7589425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217229986</v>
      </c>
      <c r="D303" s="593">
        <f>+D301+D302</f>
        <v>224819411</v>
      </c>
      <c r="E303" s="593">
        <f>D303-C303</f>
        <v>7589425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1123762</v>
      </c>
      <c r="D305" s="654">
        <v>-5231619</v>
      </c>
      <c r="E305" s="655">
        <f>D305-C305</f>
        <v>-6355381</v>
      </c>
    </row>
    <row r="306" spans="1:5" x14ac:dyDescent="0.2">
      <c r="A306" s="588">
        <v>4</v>
      </c>
      <c r="B306" s="592" t="s">
        <v>857</v>
      </c>
      <c r="C306" s="593">
        <f>+C303+C305+C194+C190-C191</f>
        <v>224815247</v>
      </c>
      <c r="D306" s="593">
        <f>+D303+D305</f>
        <v>219587792</v>
      </c>
      <c r="E306" s="656">
        <f>D306-C306</f>
        <v>-5227455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218353748</v>
      </c>
      <c r="D308" s="589">
        <v>217746204</v>
      </c>
      <c r="E308" s="590">
        <f>D308-C308</f>
        <v>-607544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6461499</v>
      </c>
      <c r="D310" s="658">
        <f>D306-D308</f>
        <v>1841588</v>
      </c>
      <c r="E310" s="656">
        <f>D310-C310</f>
        <v>-4619911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479645635</v>
      </c>
      <c r="D314" s="590">
        <f>+D14+D15+D16+D19+D25+D26+D27+D30</f>
        <v>505047658</v>
      </c>
      <c r="E314" s="590">
        <f>D314-C314</f>
        <v>25402023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479645635</v>
      </c>
      <c r="D316" s="657">
        <f>D314+D315</f>
        <v>505047658</v>
      </c>
      <c r="E316" s="593">
        <f>D316-C316</f>
        <v>25402023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479645635</v>
      </c>
      <c r="D318" s="589">
        <v>505047658</v>
      </c>
      <c r="E318" s="590">
        <f>D318-C318</f>
        <v>25402023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10695095</v>
      </c>
      <c r="D324" s="589">
        <f>+D193+D194</f>
        <v>9396534</v>
      </c>
      <c r="E324" s="590">
        <f>D324-C324</f>
        <v>-1298561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868</v>
      </c>
      <c r="C326" s="657">
        <f>C324+C325</f>
        <v>10695095</v>
      </c>
      <c r="D326" s="657">
        <f>D324+D325</f>
        <v>9396534</v>
      </c>
      <c r="E326" s="593">
        <f>D326-C326</f>
        <v>-1298561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10695095</v>
      </c>
      <c r="D328" s="589">
        <v>9396534</v>
      </c>
      <c r="E328" s="590">
        <f>D328-C328</f>
        <v>-1298561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52921319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130191173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36142007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36142007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291509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4451612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166624689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219546008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122851558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96879700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64876057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64876057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894335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8048329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162650092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285501650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175772877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329274781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505047658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35010054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50847282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12657458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12657458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60612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943085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63565352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98575406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83307287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26993382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15757381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15757381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185955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2160322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42936718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126244005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118317341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106502070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224819411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2804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4908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2111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2111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242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7043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9847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1.10877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1.52013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0.98575999999999997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0.98575999999999997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0.72829999999999995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0.94379000000000002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1.357264887121965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1.2865042835381333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163272936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115287227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47985709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0.29389873285551749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3925009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1914881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7131143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2265391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9396534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9116321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210520148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224819411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224819411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-5231619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219587792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217746204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1841588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505047658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505047658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505047658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9396534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9396534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9396534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3601</v>
      </c>
      <c r="D12" s="185">
        <v>6890</v>
      </c>
      <c r="E12" s="185">
        <f>+D12-C12</f>
        <v>3289</v>
      </c>
      <c r="F12" s="77">
        <f>IF(C12=0,0,+E12/C12)</f>
        <v>0.91335740072202165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3421</v>
      </c>
      <c r="D13" s="185">
        <v>6546</v>
      </c>
      <c r="E13" s="185">
        <f>+D13-C13</f>
        <v>3125</v>
      </c>
      <c r="F13" s="77">
        <f>IF(C13=0,0,+E13/C13)</f>
        <v>0.91347559193218353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4233596</v>
      </c>
      <c r="D15" s="76">
        <v>7131143</v>
      </c>
      <c r="E15" s="76">
        <f>+D15-C15</f>
        <v>2897547</v>
      </c>
      <c r="F15" s="77">
        <f>IF(C15=0,0,+E15/C15)</f>
        <v>0.68441745504294693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1237.5317158725518</v>
      </c>
      <c r="D16" s="79">
        <f>IF(D13=0,0,+D15/+D13)</f>
        <v>1089.3893981057133</v>
      </c>
      <c r="E16" s="79">
        <f>+D16-C16</f>
        <v>-148.14231776683846</v>
      </c>
      <c r="F16" s="80">
        <f>IF(C16=0,0,+E16/C16)</f>
        <v>-0.11970789585977368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0.46501199999999998</v>
      </c>
      <c r="D18" s="704">
        <v>0.436359</v>
      </c>
      <c r="E18" s="704">
        <f>+D18-C18</f>
        <v>-2.8652999999999984E-2</v>
      </c>
      <c r="F18" s="77">
        <f>IF(C18=0,0,+E18/C18)</f>
        <v>-6.1617764702846349E-2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1968672.943152</v>
      </c>
      <c r="D19" s="79">
        <f>+D15*D18</f>
        <v>3111738.4283369998</v>
      </c>
      <c r="E19" s="79">
        <f>+D19-C19</f>
        <v>1143065.4851849999</v>
      </c>
      <c r="F19" s="80">
        <f>IF(C19=0,0,+E19/C19)</f>
        <v>0.58062741663674322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575.46709826132712</v>
      </c>
      <c r="D20" s="79">
        <f>IF(D13=0,0,+D19/D13)</f>
        <v>475.364868368011</v>
      </c>
      <c r="E20" s="79">
        <f>+D20-C20</f>
        <v>-100.10222989331612</v>
      </c>
      <c r="F20" s="80">
        <f>IF(C20=0,0,+E20/C20)</f>
        <v>-0.17394952760245971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1394433</v>
      </c>
      <c r="D22" s="76">
        <v>1787698</v>
      </c>
      <c r="E22" s="76">
        <f>+D22-C22</f>
        <v>393265</v>
      </c>
      <c r="F22" s="77">
        <f>IF(C22=0,0,+E22/C22)</f>
        <v>0.28202502379103189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1056280</v>
      </c>
      <c r="D23" s="185">
        <v>1627152</v>
      </c>
      <c r="E23" s="185">
        <f>+D23-C23</f>
        <v>570872</v>
      </c>
      <c r="F23" s="77">
        <f>IF(C23=0,0,+E23/C23)</f>
        <v>0.54045518233801648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1782883</v>
      </c>
      <c r="D24" s="185">
        <v>3716293</v>
      </c>
      <c r="E24" s="185">
        <f>+D24-C24</f>
        <v>1933410</v>
      </c>
      <c r="F24" s="77">
        <f>IF(C24=0,0,+E24/C24)</f>
        <v>1.0844289838424619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4233596</v>
      </c>
      <c r="D25" s="79">
        <f>+D22+D23+D24</f>
        <v>7131143</v>
      </c>
      <c r="E25" s="79">
        <f>+E22+E23+E24</f>
        <v>2897547</v>
      </c>
      <c r="F25" s="80">
        <f>IF(C25=0,0,+E25/C25)</f>
        <v>0.68441745504294693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576</v>
      </c>
      <c r="D27" s="185">
        <v>760</v>
      </c>
      <c r="E27" s="185">
        <f>+D27-C27</f>
        <v>184</v>
      </c>
      <c r="F27" s="77">
        <f>IF(C27=0,0,+E27/C27)</f>
        <v>0.31944444444444442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372</v>
      </c>
      <c r="D28" s="185">
        <v>483</v>
      </c>
      <c r="E28" s="185">
        <f>+D28-C28</f>
        <v>111</v>
      </c>
      <c r="F28" s="77">
        <f>IF(C28=0,0,+E28/C28)</f>
        <v>0.29838709677419356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3596</v>
      </c>
      <c r="D29" s="185">
        <v>6870</v>
      </c>
      <c r="E29" s="185">
        <f>+D29-C29</f>
        <v>3274</v>
      </c>
      <c r="F29" s="77">
        <f>IF(C29=0,0,+E29/C29)</f>
        <v>0.91045606229143494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1233</v>
      </c>
      <c r="D30" s="185">
        <v>2072</v>
      </c>
      <c r="E30" s="185">
        <f>+D30-C30</f>
        <v>839</v>
      </c>
      <c r="F30" s="77">
        <f>IF(C30=0,0,+E30/C30)</f>
        <v>0.68045417680454179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1892624</v>
      </c>
      <c r="D33" s="76">
        <v>1720829</v>
      </c>
      <c r="E33" s="76">
        <f>+D33-C33</f>
        <v>-171795</v>
      </c>
      <c r="F33" s="77">
        <f>IF(C33=0,0,+E33/C33)</f>
        <v>-9.0770802864171649E-2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1332821</v>
      </c>
      <c r="D34" s="185">
        <v>222216</v>
      </c>
      <c r="E34" s="185">
        <f>+D34-C34</f>
        <v>-1110605</v>
      </c>
      <c r="F34" s="77">
        <f>IF(C34=0,0,+E34/C34)</f>
        <v>-0.83327393550971962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3236054</v>
      </c>
      <c r="D35" s="185">
        <v>322346</v>
      </c>
      <c r="E35" s="185">
        <f>+D35-C35</f>
        <v>-2913708</v>
      </c>
      <c r="F35" s="77">
        <f>IF(C35=0,0,+E35/C35)</f>
        <v>-0.90038917768368509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6461499</v>
      </c>
      <c r="D36" s="79">
        <f>+D33+D34+D35</f>
        <v>2265391</v>
      </c>
      <c r="E36" s="79">
        <f>+E33+E34+E35</f>
        <v>-4196108</v>
      </c>
      <c r="F36" s="80">
        <f>IF(C36=0,0,+E36/C36)</f>
        <v>-0.649401632655209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4233596</v>
      </c>
      <c r="D39" s="76">
        <f>+D25</f>
        <v>7131143</v>
      </c>
      <c r="E39" s="76">
        <f>+D39-C39</f>
        <v>2897547</v>
      </c>
      <c r="F39" s="77">
        <f>IF(C39=0,0,+E39/C39)</f>
        <v>0.68441745504294693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6461499</v>
      </c>
      <c r="D40" s="185">
        <f>+D36</f>
        <v>2265391</v>
      </c>
      <c r="E40" s="185">
        <f>+D40-C40</f>
        <v>-4196108</v>
      </c>
      <c r="F40" s="77">
        <f>IF(C40=0,0,+E40/C40)</f>
        <v>-0.649401632655209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10695095</v>
      </c>
      <c r="D41" s="79">
        <f>+D39+D40</f>
        <v>9396534</v>
      </c>
      <c r="E41" s="79">
        <f>+E39+E40</f>
        <v>-1298561</v>
      </c>
      <c r="F41" s="80">
        <f>IF(C41=0,0,+E41/C41)</f>
        <v>-0.12141649980668709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3287057</v>
      </c>
      <c r="D43" s="76">
        <f t="shared" si="0"/>
        <v>3508527</v>
      </c>
      <c r="E43" s="76">
        <f>+D43-C43</f>
        <v>221470</v>
      </c>
      <c r="F43" s="77">
        <f>IF(C43=0,0,+E43/C43)</f>
        <v>6.7376379539509049E-2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2389101</v>
      </c>
      <c r="D44" s="185">
        <f t="shared" si="0"/>
        <v>1849368</v>
      </c>
      <c r="E44" s="185">
        <f>+D44-C44</f>
        <v>-539733</v>
      </c>
      <c r="F44" s="77">
        <f>IF(C44=0,0,+E44/C44)</f>
        <v>-0.22591468506354481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5018937</v>
      </c>
      <c r="D45" s="185">
        <f t="shared" si="0"/>
        <v>4038639</v>
      </c>
      <c r="E45" s="185">
        <f>+D45-C45</f>
        <v>-980298</v>
      </c>
      <c r="F45" s="77">
        <f>IF(C45=0,0,+E45/C45)</f>
        <v>-0.19531984561671126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10695095</v>
      </c>
      <c r="D46" s="79">
        <f>+D43+D44+D45</f>
        <v>9396534</v>
      </c>
      <c r="E46" s="79">
        <f>+E43+E44+E45</f>
        <v>-1298561</v>
      </c>
      <c r="F46" s="80">
        <f>IF(C46=0,0,+E46/C46)</f>
        <v>-0.12141649980668709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165440521</v>
      </c>
      <c r="D15" s="76">
        <v>163272936</v>
      </c>
      <c r="E15" s="76">
        <f>+D15-C15</f>
        <v>-2167585</v>
      </c>
      <c r="F15" s="77">
        <f>IF(C15=0,0,E15/C15)</f>
        <v>-1.3101899020252723E-2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51831160</v>
      </c>
      <c r="D17" s="76">
        <v>47985709</v>
      </c>
      <c r="E17" s="76">
        <f>+D17-C17</f>
        <v>-3845451</v>
      </c>
      <c r="F17" s="77">
        <f>IF(C17=0,0,E17/C17)</f>
        <v>-7.4191876083807506E-2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113609361</v>
      </c>
      <c r="D19" s="79">
        <f>+D15-D17</f>
        <v>115287227</v>
      </c>
      <c r="E19" s="79">
        <f>+D19-C19</f>
        <v>1677866</v>
      </c>
      <c r="F19" s="80">
        <f>IF(C19=0,0,E19/C19)</f>
        <v>1.4768730192928381E-2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0.31329180835933174</v>
      </c>
      <c r="D21" s="720">
        <f>IF(D15=0,0,D17/D15)</f>
        <v>0.29389873285551749</v>
      </c>
      <c r="E21" s="720">
        <f>+D21-C21</f>
        <v>-1.939307550381425E-2</v>
      </c>
      <c r="F21" s="80">
        <f>IF(C21=0,0,E21/C21)</f>
        <v>-6.190099768446948E-2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204208669</v>
      </c>
      <c r="D10" s="744">
        <v>212045748</v>
      </c>
      <c r="E10" s="744">
        <v>219546008</v>
      </c>
    </row>
    <row r="11" spans="1:6" ht="26.1" customHeight="1" x14ac:dyDescent="0.25">
      <c r="A11" s="742">
        <v>2</v>
      </c>
      <c r="B11" s="743" t="s">
        <v>934</v>
      </c>
      <c r="C11" s="744">
        <v>219207273</v>
      </c>
      <c r="D11" s="744">
        <v>267599887</v>
      </c>
      <c r="E11" s="744">
        <v>285501650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423415942</v>
      </c>
      <c r="D12" s="744">
        <f>+D11+D10</f>
        <v>479645635</v>
      </c>
      <c r="E12" s="744">
        <f>+E11+E10</f>
        <v>505047658</v>
      </c>
    </row>
    <row r="13" spans="1:6" ht="26.1" customHeight="1" x14ac:dyDescent="0.25">
      <c r="A13" s="742">
        <v>4</v>
      </c>
      <c r="B13" s="743" t="s">
        <v>507</v>
      </c>
      <c r="C13" s="744">
        <v>196755436</v>
      </c>
      <c r="D13" s="744">
        <v>218353748</v>
      </c>
      <c r="E13" s="744">
        <v>217746204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203675287</v>
      </c>
      <c r="D16" s="744">
        <v>221306295</v>
      </c>
      <c r="E16" s="744">
        <v>210520148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44604</v>
      </c>
      <c r="D19" s="747">
        <v>42530</v>
      </c>
      <c r="E19" s="747">
        <v>41898</v>
      </c>
    </row>
    <row r="20" spans="1:5" ht="26.1" customHeight="1" x14ac:dyDescent="0.25">
      <c r="A20" s="742">
        <v>2</v>
      </c>
      <c r="B20" s="743" t="s">
        <v>381</v>
      </c>
      <c r="C20" s="748">
        <v>10235</v>
      </c>
      <c r="D20" s="748">
        <v>10330</v>
      </c>
      <c r="E20" s="748">
        <v>9847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4.3579872984855887</v>
      </c>
      <c r="D21" s="749">
        <f>IF(D20=0,0,+D19/D20)</f>
        <v>4.1171345595353337</v>
      </c>
      <c r="E21" s="749">
        <f>IF(E20=0,0,+E19/E20)</f>
        <v>4.2548999695338683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92484.049621654412</v>
      </c>
      <c r="D22" s="748">
        <f>IF(D10=0,0,D19*(D12/D10))</f>
        <v>96202.48955216023</v>
      </c>
      <c r="E22" s="748">
        <f>IF(E10=0,0,E19*(E12/E10))</f>
        <v>96382.926602263702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21221.73455021148</v>
      </c>
      <c r="D23" s="748">
        <f>IF(D10=0,0,D20*(D12/D10))</f>
        <v>23366.370022897136</v>
      </c>
      <c r="E23" s="748">
        <f>IF(E10=0,0,E20*(E12/E10))</f>
        <v>22652.219157298456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1.1811031626770883</v>
      </c>
      <c r="D26" s="750">
        <v>1.201266242981607</v>
      </c>
      <c r="E26" s="750">
        <v>1.2865042835381333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52681.925468048845</v>
      </c>
      <c r="D27" s="748">
        <f>D19*D26</f>
        <v>51089.853314007749</v>
      </c>
      <c r="E27" s="748">
        <f>E19*E26</f>
        <v>53901.956471680707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12088.590869999998</v>
      </c>
      <c r="D28" s="748">
        <f>D20*D26</f>
        <v>12409.08029</v>
      </c>
      <c r="E28" s="748">
        <f>E20*E26</f>
        <v>12668.207679999998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109233.20350532079</v>
      </c>
      <c r="D29" s="748">
        <f>D22*D26</f>
        <v>115564.80318980082</v>
      </c>
      <c r="E29" s="748">
        <f>E22*E26</f>
        <v>123997.04793375375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25065.057794748416</v>
      </c>
      <c r="D30" s="748">
        <f>D23*D26</f>
        <v>28069.231529523688</v>
      </c>
      <c r="E30" s="748">
        <f>E23*E26</f>
        <v>29142.176977509029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9492.7796161779206</v>
      </c>
      <c r="D33" s="744">
        <f>IF(D19=0,0,D12/D19)</f>
        <v>11277.818833764402</v>
      </c>
      <c r="E33" s="744">
        <f>IF(E19=0,0,E12/E19)</f>
        <v>12054.218769392333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41369.412994626284</v>
      </c>
      <c r="D34" s="744">
        <f>IF(D20=0,0,D12/D20)</f>
        <v>46432.297676669892</v>
      </c>
      <c r="E34" s="744">
        <f>IF(E20=0,0,E12/E20)</f>
        <v>51289.495074642022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4578.2591023226614</v>
      </c>
      <c r="D35" s="744">
        <f>IF(D22=0,0,D12/D22)</f>
        <v>4985.7923348224776</v>
      </c>
      <c r="E35" s="744">
        <f>IF(E22=0,0,E12/E22)</f>
        <v>5240.0116473340013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19951.995017098194</v>
      </c>
      <c r="D36" s="744">
        <f>IF(D23=0,0,D12/D23)</f>
        <v>20527.177928363988</v>
      </c>
      <c r="E36" s="744">
        <f>IF(E23=0,0,E12/E23)</f>
        <v>22295.725398598559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3876.2567462317006</v>
      </c>
      <c r="D37" s="744">
        <f>IF(D29=0,0,D12/D29)</f>
        <v>4150.4473832940439</v>
      </c>
      <c r="E37" s="744">
        <f>IF(E29=0,0,E12/E29)</f>
        <v>4073.061951199234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16892.677665746829</v>
      </c>
      <c r="D38" s="744">
        <f>IF(D30=0,0,D12/D30)</f>
        <v>17087.950359292903</v>
      </c>
      <c r="E38" s="744">
        <f>IF(E30=0,0,E12/E30)</f>
        <v>17330.471172067177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2208.0420335766325</v>
      </c>
      <c r="D39" s="744">
        <f>IF(D22=0,0,D10/D22)</f>
        <v>2204.1607133776974</v>
      </c>
      <c r="E39" s="744">
        <f>IF(E22=0,0,E10/E22)</f>
        <v>2277.8516459246384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9622.6191368492546</v>
      </c>
      <c r="D40" s="744">
        <f>IF(D23=0,0,D10/D23)</f>
        <v>9074.8262478173747</v>
      </c>
      <c r="E40" s="744">
        <f>IF(E23=0,0,E10/E23)</f>
        <v>9692.0308988474153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4411.161241144292</v>
      </c>
      <c r="D43" s="744">
        <f>IF(D19=0,0,D13/D19)</f>
        <v>5134.11116858688</v>
      </c>
      <c r="E43" s="744">
        <f>IF(E19=0,0,E13/E19)</f>
        <v>5197.0548474867537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19223.784660478748</v>
      </c>
      <c r="D44" s="744">
        <f>IF(D20=0,0,D13/D20)</f>
        <v>21137.826524685381</v>
      </c>
      <c r="E44" s="744">
        <f>IF(E20=0,0,E13/E20)</f>
        <v>22112.948512237228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2127.4526451308343</v>
      </c>
      <c r="D45" s="744">
        <f>IF(D22=0,0,D13/D22)</f>
        <v>2269.730742067858</v>
      </c>
      <c r="E45" s="744">
        <f>IF(E22=0,0,E13/E22)</f>
        <v>2259.1781726919039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9271.4116056097446</v>
      </c>
      <c r="D46" s="744">
        <f>IF(D23=0,0,D13/D23)</f>
        <v>9344.7868790073571</v>
      </c>
      <c r="E46" s="744">
        <f>IF(E23=0,0,E13/E23)</f>
        <v>9612.5771381583618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1801.2420187824662</v>
      </c>
      <c r="D47" s="744">
        <f>IF(D29=0,0,D13/D29)</f>
        <v>1889.4485342685275</v>
      </c>
      <c r="E47" s="744">
        <f>IF(E29=0,0,E13/E29)</f>
        <v>1756.0595806791493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7849.7898393525284</v>
      </c>
      <c r="D48" s="744">
        <f>IF(D30=0,0,D13/D30)</f>
        <v>7779.1138589003358</v>
      </c>
      <c r="E48" s="744">
        <f>IF(E30=0,0,E13/E30)</f>
        <v>7471.8578563313695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4566.3009371356829</v>
      </c>
      <c r="D51" s="744">
        <f>IF(D19=0,0,D16/D19)</f>
        <v>5203.5338584528572</v>
      </c>
      <c r="E51" s="744">
        <f>IF(E19=0,0,E16/E19)</f>
        <v>5024.587044727672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19899.881485100148</v>
      </c>
      <c r="D52" s="744">
        <f>IF(D20=0,0,D16/D20)</f>
        <v>21423.649080348499</v>
      </c>
      <c r="E52" s="744">
        <f>IF(E20=0,0,E16/E20)</f>
        <v>21379.11526353204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2202.2747471939315</v>
      </c>
      <c r="D53" s="744">
        <f>IF(D22=0,0,D16/D22)</f>
        <v>2300.4217045756336</v>
      </c>
      <c r="E53" s="744">
        <f>IF(E22=0,0,E16/E22)</f>
        <v>2184.2058072041941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9597.4853760467158</v>
      </c>
      <c r="D54" s="744">
        <f>IF(D23=0,0,D16/D23)</f>
        <v>9471.1457014135231</v>
      </c>
      <c r="E54" s="744">
        <f>IF(E23=0,0,E16/E23)</f>
        <v>9293.5772225288238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1864.5913555952691</v>
      </c>
      <c r="D55" s="744">
        <f>IF(D29=0,0,D16/D29)</f>
        <v>1914.997377155845</v>
      </c>
      <c r="E55" s="744">
        <f>IF(E29=0,0,E16/E29)</f>
        <v>1697.7835481411767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8125.8654445502079</v>
      </c>
      <c r="D56" s="744">
        <f>IF(D30=0,0,D16/D30)</f>
        <v>7884.3018829078501</v>
      </c>
      <c r="E56" s="744">
        <f>IF(E30=0,0,E16/E30)</f>
        <v>7223.8991672609945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27000880</v>
      </c>
      <c r="D59" s="752">
        <v>28460163</v>
      </c>
      <c r="E59" s="752">
        <v>27207529</v>
      </c>
    </row>
    <row r="60" spans="1:6" ht="26.1" customHeight="1" x14ac:dyDescent="0.25">
      <c r="A60" s="742">
        <v>2</v>
      </c>
      <c r="B60" s="743" t="s">
        <v>970</v>
      </c>
      <c r="C60" s="752">
        <v>9772478</v>
      </c>
      <c r="D60" s="752">
        <v>10526845</v>
      </c>
      <c r="E60" s="752">
        <v>8488460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36773358</v>
      </c>
      <c r="D61" s="755">
        <f>D59+D60</f>
        <v>38987008</v>
      </c>
      <c r="E61" s="755">
        <f>E59+E60</f>
        <v>35695989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8870537</v>
      </c>
      <c r="D64" s="744">
        <v>7503379</v>
      </c>
      <c r="E64" s="752">
        <v>7916881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3169452</v>
      </c>
      <c r="D65" s="752">
        <v>2025011</v>
      </c>
      <c r="E65" s="752">
        <v>1632894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12039989</v>
      </c>
      <c r="D66" s="757">
        <f>D64+D65</f>
        <v>9528390</v>
      </c>
      <c r="E66" s="757">
        <f>E64+E65</f>
        <v>9549775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37342205</v>
      </c>
      <c r="D69" s="752">
        <v>39975318</v>
      </c>
      <c r="E69" s="752">
        <v>40133370</v>
      </c>
    </row>
    <row r="70" spans="1:6" ht="26.1" customHeight="1" x14ac:dyDescent="0.25">
      <c r="A70" s="742">
        <v>2</v>
      </c>
      <c r="B70" s="743" t="s">
        <v>978</v>
      </c>
      <c r="C70" s="752">
        <v>13470174</v>
      </c>
      <c r="D70" s="752">
        <v>15536997</v>
      </c>
      <c r="E70" s="752">
        <v>12528463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50812379</v>
      </c>
      <c r="D71" s="755">
        <f>D69+D70</f>
        <v>55512315</v>
      </c>
      <c r="E71" s="755">
        <f>E69+E70</f>
        <v>52661833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73213622</v>
      </c>
      <c r="D75" s="744">
        <f t="shared" si="0"/>
        <v>75938860</v>
      </c>
      <c r="E75" s="744">
        <f t="shared" si="0"/>
        <v>75257780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26412104</v>
      </c>
      <c r="D76" s="744">
        <f t="shared" si="0"/>
        <v>28088853</v>
      </c>
      <c r="E76" s="744">
        <f t="shared" si="0"/>
        <v>22649817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99625726</v>
      </c>
      <c r="D77" s="757">
        <f>D75+D76</f>
        <v>104027713</v>
      </c>
      <c r="E77" s="757">
        <f>E75+E76</f>
        <v>97907597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315.5</v>
      </c>
      <c r="D80" s="749">
        <v>332.6</v>
      </c>
      <c r="E80" s="749">
        <v>310.2</v>
      </c>
    </row>
    <row r="81" spans="1:5" ht="26.1" customHeight="1" x14ac:dyDescent="0.25">
      <c r="A81" s="742">
        <v>2</v>
      </c>
      <c r="B81" s="743" t="s">
        <v>617</v>
      </c>
      <c r="C81" s="749">
        <v>49.7</v>
      </c>
      <c r="D81" s="749">
        <v>43.8</v>
      </c>
      <c r="E81" s="749">
        <v>44.7</v>
      </c>
    </row>
    <row r="82" spans="1:5" ht="26.1" customHeight="1" x14ac:dyDescent="0.25">
      <c r="A82" s="742">
        <v>3</v>
      </c>
      <c r="B82" s="743" t="s">
        <v>984</v>
      </c>
      <c r="C82" s="749">
        <v>653.4</v>
      </c>
      <c r="D82" s="749">
        <v>678.2</v>
      </c>
      <c r="E82" s="749">
        <v>673.2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1018.5999999999999</v>
      </c>
      <c r="D83" s="759">
        <f>D80+D81+D82</f>
        <v>1054.6000000000001</v>
      </c>
      <c r="E83" s="759">
        <f>E80+E81+E82</f>
        <v>1028.0999999999999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85581.236133122031</v>
      </c>
      <c r="D86" s="752">
        <f>IF(D80=0,0,D59/D80)</f>
        <v>85568.740228502706</v>
      </c>
      <c r="E86" s="752">
        <f>IF(E80=0,0,E59/E80)</f>
        <v>87709.635718891048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30974.573692551505</v>
      </c>
      <c r="D87" s="752">
        <f>IF(D80=0,0,D60/D80)</f>
        <v>31650.165363800359</v>
      </c>
      <c r="E87" s="752">
        <f>IF(E80=0,0,E60/E80)</f>
        <v>27364.474532559641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116555.80982567354</v>
      </c>
      <c r="D88" s="755">
        <f>+D86+D87</f>
        <v>117218.90559230307</v>
      </c>
      <c r="E88" s="755">
        <f>+E86+E87</f>
        <v>115074.11025145069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178481.62977867201</v>
      </c>
      <c r="D91" s="744">
        <f>IF(D81=0,0,D64/D81)</f>
        <v>171310.02283105024</v>
      </c>
      <c r="E91" s="744">
        <f>IF(E81=0,0,E64/E81)</f>
        <v>177111.43176733781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63771.67002012072</v>
      </c>
      <c r="D92" s="744">
        <f>IF(D81=0,0,D65/D81)</f>
        <v>46233.127853881284</v>
      </c>
      <c r="E92" s="744">
        <f>IF(E81=0,0,E65/E81)</f>
        <v>36530.067114093959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242253.29979879272</v>
      </c>
      <c r="D93" s="757">
        <f>+D91+D92</f>
        <v>217543.15068493152</v>
      </c>
      <c r="E93" s="757">
        <f>+E91+E92</f>
        <v>213641.49888143176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57150.604530149983</v>
      </c>
      <c r="D96" s="752">
        <f>IF(D82=0,0,D69/D82)</f>
        <v>58943.258625774106</v>
      </c>
      <c r="E96" s="752">
        <f>IF(E82=0,0,E69/E82)</f>
        <v>59615.819964349372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20615.509641873279</v>
      </c>
      <c r="D97" s="752">
        <f>IF(D82=0,0,D70/D82)</f>
        <v>22909.166912415214</v>
      </c>
      <c r="E97" s="752">
        <f>IF(E82=0,0,E70/E82)</f>
        <v>18610.313428401663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77766.114172023255</v>
      </c>
      <c r="D98" s="757">
        <f>+D96+D97</f>
        <v>81852.425538189316</v>
      </c>
      <c r="E98" s="757">
        <f>+E96+E97</f>
        <v>78226.133392751042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71876.715099155714</v>
      </c>
      <c r="D101" s="744">
        <f>IF(D83=0,0,D75/D83)</f>
        <v>72007.263417409442</v>
      </c>
      <c r="E101" s="744">
        <f>IF(E83=0,0,E75/E83)</f>
        <v>73200.83649450443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25929.809542509331</v>
      </c>
      <c r="D102" s="761">
        <f>IF(D83=0,0,D76/D83)</f>
        <v>26634.60364119097</v>
      </c>
      <c r="E102" s="761">
        <f>IF(E83=0,0,E76/E83)</f>
        <v>22030.752845053987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97806.524641665048</v>
      </c>
      <c r="D103" s="757">
        <f>+D101+D102</f>
        <v>98641.867058600415</v>
      </c>
      <c r="E103" s="757">
        <f>+E101+E102</f>
        <v>95231.589339558413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2233.5603533315398</v>
      </c>
      <c r="D108" s="744">
        <f>IF(D19=0,0,D77/D19)</f>
        <v>2445.9843169527394</v>
      </c>
      <c r="E108" s="744">
        <f>IF(E19=0,0,E77/E19)</f>
        <v>2336.8083679411907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9733.8276502198332</v>
      </c>
      <c r="D109" s="744">
        <f>IF(D20=0,0,D77/D20)</f>
        <v>10070.446563407551</v>
      </c>
      <c r="E109" s="744">
        <f>IF(E20=0,0,E77/E20)</f>
        <v>9942.8858535594591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1077.2206278548751</v>
      </c>
      <c r="D110" s="744">
        <f>IF(D22=0,0,D77/D22)</f>
        <v>1081.3411740617896</v>
      </c>
      <c r="E110" s="744">
        <f>IF(E22=0,0,E77/E22)</f>
        <v>1015.8188846457012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4694.5138138582179</v>
      </c>
      <c r="D111" s="744">
        <f>IF(D23=0,0,D77/D23)</f>
        <v>4452.027118378307</v>
      </c>
      <c r="E111" s="744">
        <f>IF(E23=0,0,E77/E23)</f>
        <v>4322.2077413309216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912.04618012642277</v>
      </c>
      <c r="D112" s="744">
        <f>IF(D29=0,0,D77/D29)</f>
        <v>900.16778576732759</v>
      </c>
      <c r="E112" s="744">
        <f>IF(E29=0,0,E77/E29)</f>
        <v>789.59619306669128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3974.6856686232495</v>
      </c>
      <c r="D113" s="744">
        <f>IF(D30=0,0,D77/D30)</f>
        <v>3706.1119001630632</v>
      </c>
      <c r="E113" s="744">
        <f>IF(E30=0,0,E77/E30)</f>
        <v>3359.6528178235226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479645635</v>
      </c>
      <c r="D12" s="76">
        <v>505047658</v>
      </c>
      <c r="E12" s="76">
        <f t="shared" ref="E12:E21" si="0">D12-C12</f>
        <v>25402023</v>
      </c>
      <c r="F12" s="77">
        <f t="shared" ref="F12:F21" si="1">IF(C12=0,0,E12/C12)</f>
        <v>5.2959979506537157E-2</v>
      </c>
    </row>
    <row r="13" spans="1:8" ht="23.1" customHeight="1" x14ac:dyDescent="0.2">
      <c r="A13" s="74">
        <v>2</v>
      </c>
      <c r="B13" s="75" t="s">
        <v>72</v>
      </c>
      <c r="C13" s="76">
        <v>257058291</v>
      </c>
      <c r="D13" s="76">
        <v>277904920</v>
      </c>
      <c r="E13" s="76">
        <f t="shared" si="0"/>
        <v>20846629</v>
      </c>
      <c r="F13" s="77">
        <f t="shared" si="1"/>
        <v>8.1096894089286539E-2</v>
      </c>
    </row>
    <row r="14" spans="1:8" ht="23.1" customHeight="1" x14ac:dyDescent="0.2">
      <c r="A14" s="74">
        <v>3</v>
      </c>
      <c r="B14" s="75" t="s">
        <v>73</v>
      </c>
      <c r="C14" s="76">
        <v>4233596</v>
      </c>
      <c r="D14" s="76">
        <v>7131143</v>
      </c>
      <c r="E14" s="76">
        <f t="shared" si="0"/>
        <v>2897547</v>
      </c>
      <c r="F14" s="77">
        <f t="shared" si="1"/>
        <v>0.68441745504294693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218353748</v>
      </c>
      <c r="D16" s="79">
        <f>D12-D13-D14-D15</f>
        <v>220011595</v>
      </c>
      <c r="E16" s="79">
        <f t="shared" si="0"/>
        <v>1657847</v>
      </c>
      <c r="F16" s="80">
        <f t="shared" si="1"/>
        <v>7.5924824519155954E-3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2265391</v>
      </c>
      <c r="E17" s="76">
        <f t="shared" si="0"/>
        <v>2265391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218353748</v>
      </c>
      <c r="D18" s="79">
        <f>D16-D17</f>
        <v>217746204</v>
      </c>
      <c r="E18" s="79">
        <f t="shared" si="0"/>
        <v>-607544</v>
      </c>
      <c r="F18" s="80">
        <f t="shared" si="1"/>
        <v>-2.7823841155224871E-3</v>
      </c>
    </row>
    <row r="19" spans="1:7" ht="23.1" customHeight="1" x14ac:dyDescent="0.2">
      <c r="A19" s="74">
        <v>6</v>
      </c>
      <c r="B19" s="75" t="s">
        <v>78</v>
      </c>
      <c r="C19" s="76">
        <v>27519593</v>
      </c>
      <c r="D19" s="76">
        <v>8871000</v>
      </c>
      <c r="E19" s="76">
        <f t="shared" si="0"/>
        <v>-18648593</v>
      </c>
      <c r="F19" s="77">
        <f t="shared" si="1"/>
        <v>-0.67764784893439378</v>
      </c>
      <c r="G19" s="65"/>
    </row>
    <row r="20" spans="1:7" ht="33" customHeight="1" x14ac:dyDescent="0.2">
      <c r="A20" s="74">
        <v>7</v>
      </c>
      <c r="B20" s="82" t="s">
        <v>79</v>
      </c>
      <c r="C20" s="76">
        <v>327257</v>
      </c>
      <c r="D20" s="76">
        <v>245321</v>
      </c>
      <c r="E20" s="76">
        <f t="shared" si="0"/>
        <v>-81936</v>
      </c>
      <c r="F20" s="77">
        <f t="shared" si="1"/>
        <v>-0.25037203176708211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246200598</v>
      </c>
      <c r="D21" s="79">
        <f>SUM(D18:D20)</f>
        <v>226862525</v>
      </c>
      <c r="E21" s="79">
        <f t="shared" si="0"/>
        <v>-19338073</v>
      </c>
      <c r="F21" s="80">
        <f t="shared" si="1"/>
        <v>-7.8546003369171349E-2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75938860</v>
      </c>
      <c r="D24" s="76">
        <v>75257780</v>
      </c>
      <c r="E24" s="76">
        <f t="shared" ref="E24:E33" si="2">D24-C24</f>
        <v>-681080</v>
      </c>
      <c r="F24" s="77">
        <f t="shared" ref="F24:F33" si="3">IF(C24=0,0,E24/C24)</f>
        <v>-8.9687941062059663E-3</v>
      </c>
    </row>
    <row r="25" spans="1:7" ht="23.1" customHeight="1" x14ac:dyDescent="0.2">
      <c r="A25" s="74">
        <v>2</v>
      </c>
      <c r="B25" s="75" t="s">
        <v>83</v>
      </c>
      <c r="C25" s="76">
        <v>28088853</v>
      </c>
      <c r="D25" s="76">
        <v>22649817</v>
      </c>
      <c r="E25" s="76">
        <f t="shared" si="2"/>
        <v>-5439036</v>
      </c>
      <c r="F25" s="77">
        <f t="shared" si="3"/>
        <v>-0.19363681386349241</v>
      </c>
    </row>
    <row r="26" spans="1:7" ht="23.1" customHeight="1" x14ac:dyDescent="0.2">
      <c r="A26" s="74">
        <v>3</v>
      </c>
      <c r="B26" s="75" t="s">
        <v>84</v>
      </c>
      <c r="C26" s="76">
        <v>3200313</v>
      </c>
      <c r="D26" s="76">
        <v>3631661</v>
      </c>
      <c r="E26" s="76">
        <f t="shared" si="2"/>
        <v>431348</v>
      </c>
      <c r="F26" s="77">
        <f t="shared" si="3"/>
        <v>0.1347830665313049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29954294</v>
      </c>
      <c r="D27" s="76">
        <v>31535293</v>
      </c>
      <c r="E27" s="76">
        <f t="shared" si="2"/>
        <v>1580999</v>
      </c>
      <c r="F27" s="77">
        <f t="shared" si="3"/>
        <v>5.2780379333927881E-2</v>
      </c>
    </row>
    <row r="28" spans="1:7" ht="23.1" customHeight="1" x14ac:dyDescent="0.2">
      <c r="A28" s="74">
        <v>5</v>
      </c>
      <c r="B28" s="75" t="s">
        <v>86</v>
      </c>
      <c r="C28" s="76">
        <v>12961930</v>
      </c>
      <c r="D28" s="76">
        <v>13104256</v>
      </c>
      <c r="E28" s="76">
        <f t="shared" si="2"/>
        <v>142326</v>
      </c>
      <c r="F28" s="77">
        <f t="shared" si="3"/>
        <v>1.0980309259500706E-2</v>
      </c>
    </row>
    <row r="29" spans="1:7" ht="23.1" customHeight="1" x14ac:dyDescent="0.2">
      <c r="A29" s="74">
        <v>6</v>
      </c>
      <c r="B29" s="75" t="s">
        <v>87</v>
      </c>
      <c r="C29" s="76">
        <v>6461499</v>
      </c>
      <c r="D29" s="76">
        <v>0</v>
      </c>
      <c r="E29" s="76">
        <f t="shared" si="2"/>
        <v>-6461499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3996300</v>
      </c>
      <c r="D30" s="76">
        <v>3987276</v>
      </c>
      <c r="E30" s="76">
        <f t="shared" si="2"/>
        <v>-9024</v>
      </c>
      <c r="F30" s="77">
        <f t="shared" si="3"/>
        <v>-2.2580887320771716E-3</v>
      </c>
    </row>
    <row r="31" spans="1:7" ht="23.1" customHeight="1" x14ac:dyDescent="0.2">
      <c r="A31" s="74">
        <v>8</v>
      </c>
      <c r="B31" s="75" t="s">
        <v>89</v>
      </c>
      <c r="C31" s="76">
        <v>4164372</v>
      </c>
      <c r="D31" s="76">
        <v>2356019</v>
      </c>
      <c r="E31" s="76">
        <f t="shared" si="2"/>
        <v>-1808353</v>
      </c>
      <c r="F31" s="77">
        <f t="shared" si="3"/>
        <v>-0.43424386678231436</v>
      </c>
    </row>
    <row r="32" spans="1:7" ht="23.1" customHeight="1" x14ac:dyDescent="0.2">
      <c r="A32" s="74">
        <v>9</v>
      </c>
      <c r="B32" s="75" t="s">
        <v>90</v>
      </c>
      <c r="C32" s="76">
        <v>56539874</v>
      </c>
      <c r="D32" s="76">
        <v>57998046</v>
      </c>
      <c r="E32" s="76">
        <f t="shared" si="2"/>
        <v>1458172</v>
      </c>
      <c r="F32" s="77">
        <f t="shared" si="3"/>
        <v>2.5790152981239399E-2</v>
      </c>
    </row>
    <row r="33" spans="1:6" ht="23.1" customHeight="1" x14ac:dyDescent="0.25">
      <c r="A33" s="71"/>
      <c r="B33" s="78" t="s">
        <v>91</v>
      </c>
      <c r="C33" s="79">
        <f>SUM(C24:C32)</f>
        <v>221306295</v>
      </c>
      <c r="D33" s="79">
        <f>SUM(D24:D32)</f>
        <v>210520148</v>
      </c>
      <c r="E33" s="79">
        <f t="shared" si="2"/>
        <v>-10786147</v>
      </c>
      <c r="F33" s="80">
        <f t="shared" si="3"/>
        <v>-4.8738545824012824E-2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24894303</v>
      </c>
      <c r="D35" s="79">
        <f>+D21-D33</f>
        <v>16342377</v>
      </c>
      <c r="E35" s="79">
        <f>D35-C35</f>
        <v>-8551926</v>
      </c>
      <c r="F35" s="80">
        <f>IF(C35=0,0,E35/C35)</f>
        <v>-0.34352944125408935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92682</v>
      </c>
      <c r="D38" s="76">
        <v>51290</v>
      </c>
      <c r="E38" s="76">
        <f>D38-C38</f>
        <v>-41392</v>
      </c>
      <c r="F38" s="77">
        <f>IF(C38=0,0,E38/C38)</f>
        <v>-0.44660236076044973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1355485</v>
      </c>
      <c r="D40" s="76">
        <v>4886057</v>
      </c>
      <c r="E40" s="76">
        <f>D40-C40</f>
        <v>3530572</v>
      </c>
      <c r="F40" s="77">
        <f>IF(C40=0,0,E40/C40)</f>
        <v>2.6046558980733834</v>
      </c>
    </row>
    <row r="41" spans="1:6" ht="23.1" customHeight="1" x14ac:dyDescent="0.25">
      <c r="A41" s="83"/>
      <c r="B41" s="78" t="s">
        <v>97</v>
      </c>
      <c r="C41" s="79">
        <f>SUM(C38:C40)</f>
        <v>1448167</v>
      </c>
      <c r="D41" s="79">
        <f>SUM(D38:D40)</f>
        <v>4937347</v>
      </c>
      <c r="E41" s="79">
        <f>D41-C41</f>
        <v>3489180</v>
      </c>
      <c r="F41" s="80">
        <f>IF(C41=0,0,E41/C41)</f>
        <v>2.4093768191099505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26342470</v>
      </c>
      <c r="D43" s="79">
        <f>D35+D41</f>
        <v>21279724</v>
      </c>
      <c r="E43" s="79">
        <f>D43-C43</f>
        <v>-5062746</v>
      </c>
      <c r="F43" s="80">
        <f>IF(C43=0,0,E43/C43)</f>
        <v>-0.19218949475884381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1362036</v>
      </c>
      <c r="D46" s="76">
        <v>-1295573</v>
      </c>
      <c r="E46" s="76">
        <f>D46-C46</f>
        <v>-2657609</v>
      </c>
      <c r="F46" s="77">
        <f>IF(C46=0,0,E46/C46)</f>
        <v>-1.9512031987407088</v>
      </c>
    </row>
    <row r="47" spans="1:6" ht="23.1" customHeight="1" x14ac:dyDescent="0.2">
      <c r="A47" s="85"/>
      <c r="B47" s="75" t="s">
        <v>101</v>
      </c>
      <c r="C47" s="76">
        <v>-1587712</v>
      </c>
      <c r="D47" s="76">
        <v>586303</v>
      </c>
      <c r="E47" s="76">
        <f>D47-C47</f>
        <v>2174015</v>
      </c>
      <c r="F47" s="77">
        <f>IF(C47=0,0,E47/C47)</f>
        <v>-1.3692754101499516</v>
      </c>
    </row>
    <row r="48" spans="1:6" ht="23.1" customHeight="1" x14ac:dyDescent="0.25">
      <c r="A48" s="83"/>
      <c r="B48" s="78" t="s">
        <v>102</v>
      </c>
      <c r="C48" s="79">
        <f>SUM(C46:C47)</f>
        <v>-225676</v>
      </c>
      <c r="D48" s="79">
        <f>SUM(D46:D47)</f>
        <v>-709270</v>
      </c>
      <c r="E48" s="79">
        <f>D48-C48</f>
        <v>-483594</v>
      </c>
      <c r="F48" s="80">
        <f>IF(C48=0,0,E48/C48)</f>
        <v>2.1428685371949165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26116794</v>
      </c>
      <c r="D50" s="79">
        <f>D43+D48</f>
        <v>20570454</v>
      </c>
      <c r="E50" s="79">
        <f>D50-C50</f>
        <v>-5546340</v>
      </c>
      <c r="F50" s="80">
        <f>IF(C50=0,0,E50/C50)</f>
        <v>-0.21236680122376431</v>
      </c>
    </row>
    <row r="51" spans="1:6" ht="23.1" customHeight="1" x14ac:dyDescent="0.2">
      <c r="A51" s="85"/>
      <c r="B51" s="75" t="s">
        <v>104</v>
      </c>
      <c r="C51" s="76">
        <v>23328</v>
      </c>
      <c r="D51" s="76">
        <v>255545</v>
      </c>
      <c r="E51" s="76">
        <f>D51-C51</f>
        <v>232217</v>
      </c>
      <c r="F51" s="77">
        <f>IF(C51=0,0,E51/C51)</f>
        <v>9.9544324417009609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98162113</v>
      </c>
      <c r="D14" s="113">
        <v>100322769</v>
      </c>
      <c r="E14" s="113">
        <f t="shared" ref="E14:E25" si="0">D14-C14</f>
        <v>2160656</v>
      </c>
      <c r="F14" s="114">
        <f t="shared" ref="F14:F25" si="1">IF(C14=0,0,E14/C14)</f>
        <v>2.2011099129457409E-2</v>
      </c>
    </row>
    <row r="15" spans="1:6" x14ac:dyDescent="0.2">
      <c r="A15" s="115">
        <v>2</v>
      </c>
      <c r="B15" s="116" t="s">
        <v>114</v>
      </c>
      <c r="C15" s="113">
        <v>24475499</v>
      </c>
      <c r="D15" s="113">
        <v>29868404</v>
      </c>
      <c r="E15" s="113">
        <f t="shared" si="0"/>
        <v>5392905</v>
      </c>
      <c r="F15" s="114">
        <f t="shared" si="1"/>
        <v>0.22033891934133804</v>
      </c>
    </row>
    <row r="16" spans="1:6" x14ac:dyDescent="0.2">
      <c r="A16" s="115">
        <v>3</v>
      </c>
      <c r="B16" s="116" t="s">
        <v>115</v>
      </c>
      <c r="C16" s="113">
        <v>30728477</v>
      </c>
      <c r="D16" s="113">
        <v>36142007</v>
      </c>
      <c r="E16" s="113">
        <f t="shared" si="0"/>
        <v>5413530</v>
      </c>
      <c r="F16" s="114">
        <f t="shared" si="1"/>
        <v>0.17617306578519984</v>
      </c>
    </row>
    <row r="17" spans="1:6" x14ac:dyDescent="0.2">
      <c r="A17" s="115">
        <v>4</v>
      </c>
      <c r="B17" s="116" t="s">
        <v>116</v>
      </c>
      <c r="C17" s="113">
        <v>2412193</v>
      </c>
      <c r="D17" s="113">
        <v>0</v>
      </c>
      <c r="E17" s="113">
        <f t="shared" si="0"/>
        <v>-2412193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353256</v>
      </c>
      <c r="D18" s="113">
        <v>291509</v>
      </c>
      <c r="E18" s="113">
        <f t="shared" si="0"/>
        <v>-61747</v>
      </c>
      <c r="F18" s="114">
        <f t="shared" si="1"/>
        <v>-0.17479391715922729</v>
      </c>
    </row>
    <row r="19" spans="1:6" x14ac:dyDescent="0.2">
      <c r="A19" s="115">
        <v>6</v>
      </c>
      <c r="B19" s="116" t="s">
        <v>118</v>
      </c>
      <c r="C19" s="113">
        <v>2328421</v>
      </c>
      <c r="D19" s="113">
        <v>2625959</v>
      </c>
      <c r="E19" s="113">
        <f t="shared" si="0"/>
        <v>297538</v>
      </c>
      <c r="F19" s="114">
        <f t="shared" si="1"/>
        <v>0.12778531030256127</v>
      </c>
    </row>
    <row r="20" spans="1:6" x14ac:dyDescent="0.2">
      <c r="A20" s="115">
        <v>7</v>
      </c>
      <c r="B20" s="116" t="s">
        <v>119</v>
      </c>
      <c r="C20" s="113">
        <v>48707622</v>
      </c>
      <c r="D20" s="113">
        <v>44753224</v>
      </c>
      <c r="E20" s="113">
        <f t="shared" si="0"/>
        <v>-3954398</v>
      </c>
      <c r="F20" s="114">
        <f t="shared" si="1"/>
        <v>-8.1186431150344393E-2</v>
      </c>
    </row>
    <row r="21" spans="1:6" x14ac:dyDescent="0.2">
      <c r="A21" s="115">
        <v>8</v>
      </c>
      <c r="B21" s="116" t="s">
        <v>120</v>
      </c>
      <c r="C21" s="113">
        <v>1314220</v>
      </c>
      <c r="D21" s="113">
        <v>1090524</v>
      </c>
      <c r="E21" s="113">
        <f t="shared" si="0"/>
        <v>-223696</v>
      </c>
      <c r="F21" s="114">
        <f t="shared" si="1"/>
        <v>-0.17021198886031258</v>
      </c>
    </row>
    <row r="22" spans="1:6" x14ac:dyDescent="0.2">
      <c r="A22" s="115">
        <v>9</v>
      </c>
      <c r="B22" s="116" t="s">
        <v>121</v>
      </c>
      <c r="C22" s="113">
        <v>3563947</v>
      </c>
      <c r="D22" s="113">
        <v>4451612</v>
      </c>
      <c r="E22" s="113">
        <f t="shared" si="0"/>
        <v>887665</v>
      </c>
      <c r="F22" s="114">
        <f t="shared" si="1"/>
        <v>0.24906795752013147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212045748</v>
      </c>
      <c r="D25" s="119">
        <f>SUM(D14:D24)</f>
        <v>219546008</v>
      </c>
      <c r="E25" s="119">
        <f t="shared" si="0"/>
        <v>7500260</v>
      </c>
      <c r="F25" s="120">
        <f t="shared" si="1"/>
        <v>3.5370952121143218E-2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68415388</v>
      </c>
      <c r="D27" s="113">
        <v>70829456</v>
      </c>
      <c r="E27" s="113">
        <f t="shared" ref="E27:E38" si="2">D27-C27</f>
        <v>2414068</v>
      </c>
      <c r="F27" s="114">
        <f t="shared" ref="F27:F38" si="3">IF(C27=0,0,E27/C27)</f>
        <v>3.5285453617539958E-2</v>
      </c>
    </row>
    <row r="28" spans="1:6" x14ac:dyDescent="0.2">
      <c r="A28" s="115">
        <v>2</v>
      </c>
      <c r="B28" s="116" t="s">
        <v>114</v>
      </c>
      <c r="C28" s="113">
        <v>20200256</v>
      </c>
      <c r="D28" s="113">
        <v>26050244</v>
      </c>
      <c r="E28" s="113">
        <f t="shared" si="2"/>
        <v>5849988</v>
      </c>
      <c r="F28" s="114">
        <f t="shared" si="3"/>
        <v>0.28959969616226644</v>
      </c>
    </row>
    <row r="29" spans="1:6" x14ac:dyDescent="0.2">
      <c r="A29" s="115">
        <v>3</v>
      </c>
      <c r="B29" s="116" t="s">
        <v>115</v>
      </c>
      <c r="C29" s="113">
        <v>52241500</v>
      </c>
      <c r="D29" s="113">
        <v>64876057</v>
      </c>
      <c r="E29" s="113">
        <f t="shared" si="2"/>
        <v>12634557</v>
      </c>
      <c r="F29" s="114">
        <f t="shared" si="3"/>
        <v>0.24184904721342229</v>
      </c>
    </row>
    <row r="30" spans="1:6" x14ac:dyDescent="0.2">
      <c r="A30" s="115">
        <v>4</v>
      </c>
      <c r="B30" s="116" t="s">
        <v>116</v>
      </c>
      <c r="C30" s="113">
        <v>5300896</v>
      </c>
      <c r="D30" s="113">
        <v>0</v>
      </c>
      <c r="E30" s="113">
        <f t="shared" si="2"/>
        <v>-5300896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685597</v>
      </c>
      <c r="D31" s="113">
        <v>894335</v>
      </c>
      <c r="E31" s="113">
        <f t="shared" si="2"/>
        <v>208738</v>
      </c>
      <c r="F31" s="114">
        <f t="shared" si="3"/>
        <v>0.30446165896291844</v>
      </c>
    </row>
    <row r="32" spans="1:6" x14ac:dyDescent="0.2">
      <c r="A32" s="115">
        <v>6</v>
      </c>
      <c r="B32" s="116" t="s">
        <v>118</v>
      </c>
      <c r="C32" s="113">
        <v>4546403</v>
      </c>
      <c r="D32" s="113">
        <v>3725589</v>
      </c>
      <c r="E32" s="113">
        <f t="shared" si="2"/>
        <v>-820814</v>
      </c>
      <c r="F32" s="114">
        <f t="shared" si="3"/>
        <v>-0.18054140822975878</v>
      </c>
    </row>
    <row r="33" spans="1:6" x14ac:dyDescent="0.2">
      <c r="A33" s="115">
        <v>7</v>
      </c>
      <c r="B33" s="116" t="s">
        <v>119</v>
      </c>
      <c r="C33" s="113">
        <v>104982504</v>
      </c>
      <c r="D33" s="113">
        <v>107453867</v>
      </c>
      <c r="E33" s="113">
        <f t="shared" si="2"/>
        <v>2471363</v>
      </c>
      <c r="F33" s="114">
        <f t="shared" si="3"/>
        <v>2.3540713031573336E-2</v>
      </c>
    </row>
    <row r="34" spans="1:6" x14ac:dyDescent="0.2">
      <c r="A34" s="115">
        <v>8</v>
      </c>
      <c r="B34" s="116" t="s">
        <v>120</v>
      </c>
      <c r="C34" s="113">
        <v>3561352</v>
      </c>
      <c r="D34" s="113">
        <v>3623773</v>
      </c>
      <c r="E34" s="113">
        <f t="shared" si="2"/>
        <v>62421</v>
      </c>
      <c r="F34" s="114">
        <f t="shared" si="3"/>
        <v>1.7527332316491041E-2</v>
      </c>
    </row>
    <row r="35" spans="1:6" x14ac:dyDescent="0.2">
      <c r="A35" s="115">
        <v>9</v>
      </c>
      <c r="B35" s="116" t="s">
        <v>121</v>
      </c>
      <c r="C35" s="113">
        <v>7665991</v>
      </c>
      <c r="D35" s="113">
        <v>8048329</v>
      </c>
      <c r="E35" s="113">
        <f t="shared" si="2"/>
        <v>382338</v>
      </c>
      <c r="F35" s="114">
        <f t="shared" si="3"/>
        <v>4.9874569380527582E-2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267599887</v>
      </c>
      <c r="D38" s="119">
        <f>SUM(D27:D37)</f>
        <v>285501650</v>
      </c>
      <c r="E38" s="119">
        <f t="shared" si="2"/>
        <v>17901763</v>
      </c>
      <c r="F38" s="120">
        <f t="shared" si="3"/>
        <v>6.6897498353577403E-2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166577501</v>
      </c>
      <c r="D41" s="119">
        <f t="shared" si="4"/>
        <v>171152225</v>
      </c>
      <c r="E41" s="123">
        <f t="shared" ref="E41:E52" si="5">D41-C41</f>
        <v>4574724</v>
      </c>
      <c r="F41" s="124">
        <f t="shared" ref="F41:F52" si="6">IF(C41=0,0,E41/C41)</f>
        <v>2.7463036559781263E-2</v>
      </c>
    </row>
    <row r="42" spans="1:6" ht="15.75" x14ac:dyDescent="0.25">
      <c r="A42" s="121">
        <v>2</v>
      </c>
      <c r="B42" s="122" t="s">
        <v>114</v>
      </c>
      <c r="C42" s="119">
        <f t="shared" si="4"/>
        <v>44675755</v>
      </c>
      <c r="D42" s="119">
        <f t="shared" si="4"/>
        <v>55918648</v>
      </c>
      <c r="E42" s="123">
        <f t="shared" si="5"/>
        <v>11242893</v>
      </c>
      <c r="F42" s="124">
        <f t="shared" si="6"/>
        <v>0.2516553553487792</v>
      </c>
    </row>
    <row r="43" spans="1:6" ht="15.75" x14ac:dyDescent="0.25">
      <c r="A43" s="121">
        <v>3</v>
      </c>
      <c r="B43" s="122" t="s">
        <v>115</v>
      </c>
      <c r="C43" s="119">
        <f t="shared" si="4"/>
        <v>82969977</v>
      </c>
      <c r="D43" s="119">
        <f t="shared" si="4"/>
        <v>101018064</v>
      </c>
      <c r="E43" s="123">
        <f t="shared" si="5"/>
        <v>18048087</v>
      </c>
      <c r="F43" s="124">
        <f t="shared" si="6"/>
        <v>0.21752551528367906</v>
      </c>
    </row>
    <row r="44" spans="1:6" ht="15.75" x14ac:dyDescent="0.25">
      <c r="A44" s="121">
        <v>4</v>
      </c>
      <c r="B44" s="122" t="s">
        <v>116</v>
      </c>
      <c r="C44" s="119">
        <f t="shared" si="4"/>
        <v>7713089</v>
      </c>
      <c r="D44" s="119">
        <f t="shared" si="4"/>
        <v>0</v>
      </c>
      <c r="E44" s="123">
        <f t="shared" si="5"/>
        <v>-7713089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1038853</v>
      </c>
      <c r="D45" s="119">
        <f t="shared" si="4"/>
        <v>1185844</v>
      </c>
      <c r="E45" s="123">
        <f t="shared" si="5"/>
        <v>146991</v>
      </c>
      <c r="F45" s="124">
        <f t="shared" si="6"/>
        <v>0.14149355106064093</v>
      </c>
    </row>
    <row r="46" spans="1:6" ht="15.75" x14ac:dyDescent="0.25">
      <c r="A46" s="121">
        <v>6</v>
      </c>
      <c r="B46" s="122" t="s">
        <v>118</v>
      </c>
      <c r="C46" s="119">
        <f t="shared" si="4"/>
        <v>6874824</v>
      </c>
      <c r="D46" s="119">
        <f t="shared" si="4"/>
        <v>6351548</v>
      </c>
      <c r="E46" s="123">
        <f t="shared" si="5"/>
        <v>-523276</v>
      </c>
      <c r="F46" s="124">
        <f t="shared" si="6"/>
        <v>-7.611482126669715E-2</v>
      </c>
    </row>
    <row r="47" spans="1:6" ht="15.75" x14ac:dyDescent="0.25">
      <c r="A47" s="121">
        <v>7</v>
      </c>
      <c r="B47" s="122" t="s">
        <v>119</v>
      </c>
      <c r="C47" s="119">
        <f t="shared" si="4"/>
        <v>153690126</v>
      </c>
      <c r="D47" s="119">
        <f t="shared" si="4"/>
        <v>152207091</v>
      </c>
      <c r="E47" s="123">
        <f t="shared" si="5"/>
        <v>-1483035</v>
      </c>
      <c r="F47" s="124">
        <f t="shared" si="6"/>
        <v>-9.6495138536095669E-3</v>
      </c>
    </row>
    <row r="48" spans="1:6" ht="15.75" x14ac:dyDescent="0.25">
      <c r="A48" s="121">
        <v>8</v>
      </c>
      <c r="B48" s="122" t="s">
        <v>120</v>
      </c>
      <c r="C48" s="119">
        <f t="shared" si="4"/>
        <v>4875572</v>
      </c>
      <c r="D48" s="119">
        <f t="shared" si="4"/>
        <v>4714297</v>
      </c>
      <c r="E48" s="123">
        <f t="shared" si="5"/>
        <v>-161275</v>
      </c>
      <c r="F48" s="124">
        <f t="shared" si="6"/>
        <v>-3.3078170110091697E-2</v>
      </c>
    </row>
    <row r="49" spans="1:6" ht="15.75" x14ac:dyDescent="0.25">
      <c r="A49" s="121">
        <v>9</v>
      </c>
      <c r="B49" s="122" t="s">
        <v>121</v>
      </c>
      <c r="C49" s="119">
        <f t="shared" si="4"/>
        <v>11229938</v>
      </c>
      <c r="D49" s="119">
        <f t="shared" si="4"/>
        <v>12499941</v>
      </c>
      <c r="E49" s="123">
        <f t="shared" si="5"/>
        <v>1270003</v>
      </c>
      <c r="F49" s="124">
        <f t="shared" si="6"/>
        <v>0.11309082917465796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479645635</v>
      </c>
      <c r="D52" s="128">
        <f>SUM(D41:D51)</f>
        <v>505047658</v>
      </c>
      <c r="E52" s="127">
        <f t="shared" si="5"/>
        <v>25402023</v>
      </c>
      <c r="F52" s="129">
        <f t="shared" si="6"/>
        <v>5.2959979506537157E-2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42146127</v>
      </c>
      <c r="D57" s="113">
        <v>39218991</v>
      </c>
      <c r="E57" s="113">
        <f t="shared" ref="E57:E68" si="7">D57-C57</f>
        <v>-2927136</v>
      </c>
      <c r="F57" s="114">
        <f t="shared" ref="F57:F68" si="8">IF(C57=0,0,E57/C57)</f>
        <v>-6.945207563200291E-2</v>
      </c>
    </row>
    <row r="58" spans="1:6" x14ac:dyDescent="0.2">
      <c r="A58" s="115">
        <v>2</v>
      </c>
      <c r="B58" s="116" t="s">
        <v>114</v>
      </c>
      <c r="C58" s="113">
        <v>9660667</v>
      </c>
      <c r="D58" s="113">
        <v>11628291</v>
      </c>
      <c r="E58" s="113">
        <f t="shared" si="7"/>
        <v>1967624</v>
      </c>
      <c r="F58" s="114">
        <f t="shared" si="8"/>
        <v>0.20367372149355734</v>
      </c>
    </row>
    <row r="59" spans="1:6" x14ac:dyDescent="0.2">
      <c r="A59" s="115">
        <v>3</v>
      </c>
      <c r="B59" s="116" t="s">
        <v>115</v>
      </c>
      <c r="C59" s="113">
        <v>10399937</v>
      </c>
      <c r="D59" s="113">
        <v>12657458</v>
      </c>
      <c r="E59" s="113">
        <f t="shared" si="7"/>
        <v>2257521</v>
      </c>
      <c r="F59" s="114">
        <f t="shared" si="8"/>
        <v>0.21707064187023439</v>
      </c>
    </row>
    <row r="60" spans="1:6" x14ac:dyDescent="0.2">
      <c r="A60" s="115">
        <v>4</v>
      </c>
      <c r="B60" s="116" t="s">
        <v>116</v>
      </c>
      <c r="C60" s="113">
        <v>630381</v>
      </c>
      <c r="D60" s="113">
        <v>0</v>
      </c>
      <c r="E60" s="113">
        <f t="shared" si="7"/>
        <v>-630381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105326</v>
      </c>
      <c r="D61" s="113">
        <v>60612</v>
      </c>
      <c r="E61" s="113">
        <f t="shared" si="7"/>
        <v>-44714</v>
      </c>
      <c r="F61" s="114">
        <f t="shared" si="8"/>
        <v>-0.42452955585515445</v>
      </c>
    </row>
    <row r="62" spans="1:6" x14ac:dyDescent="0.2">
      <c r="A62" s="115">
        <v>6</v>
      </c>
      <c r="B62" s="116" t="s">
        <v>118</v>
      </c>
      <c r="C62" s="113">
        <v>1503132</v>
      </c>
      <c r="D62" s="113">
        <v>1988185</v>
      </c>
      <c r="E62" s="113">
        <f t="shared" si="7"/>
        <v>485053</v>
      </c>
      <c r="F62" s="114">
        <f t="shared" si="8"/>
        <v>0.32269487975773253</v>
      </c>
    </row>
    <row r="63" spans="1:6" x14ac:dyDescent="0.2">
      <c r="A63" s="115">
        <v>7</v>
      </c>
      <c r="B63" s="116" t="s">
        <v>119</v>
      </c>
      <c r="C63" s="113">
        <v>32938873</v>
      </c>
      <c r="D63" s="113">
        <v>31085059</v>
      </c>
      <c r="E63" s="113">
        <f t="shared" si="7"/>
        <v>-1853814</v>
      </c>
      <c r="F63" s="114">
        <f t="shared" si="8"/>
        <v>-5.6280431938275484E-2</v>
      </c>
    </row>
    <row r="64" spans="1:6" x14ac:dyDescent="0.2">
      <c r="A64" s="115">
        <v>8</v>
      </c>
      <c r="B64" s="116" t="s">
        <v>120</v>
      </c>
      <c r="C64" s="113">
        <v>1119205</v>
      </c>
      <c r="D64" s="113">
        <v>993725</v>
      </c>
      <c r="E64" s="113">
        <f t="shared" si="7"/>
        <v>-125480</v>
      </c>
      <c r="F64" s="114">
        <f t="shared" si="8"/>
        <v>-0.11211529612537471</v>
      </c>
    </row>
    <row r="65" spans="1:6" x14ac:dyDescent="0.2">
      <c r="A65" s="115">
        <v>9</v>
      </c>
      <c r="B65" s="116" t="s">
        <v>121</v>
      </c>
      <c r="C65" s="113">
        <v>276890</v>
      </c>
      <c r="D65" s="113">
        <v>943085</v>
      </c>
      <c r="E65" s="113">
        <f t="shared" si="7"/>
        <v>666195</v>
      </c>
      <c r="F65" s="114">
        <f t="shared" si="8"/>
        <v>2.4059915489905737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98780538</v>
      </c>
      <c r="D68" s="119">
        <f>SUM(D57:D67)</f>
        <v>98575406</v>
      </c>
      <c r="E68" s="119">
        <f t="shared" si="7"/>
        <v>-205132</v>
      </c>
      <c r="F68" s="120">
        <f t="shared" si="8"/>
        <v>-2.0766438830288614E-3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19898084</v>
      </c>
      <c r="D70" s="113">
        <v>20129801</v>
      </c>
      <c r="E70" s="113">
        <f t="shared" ref="E70:E81" si="9">D70-C70</f>
        <v>231717</v>
      </c>
      <c r="F70" s="114">
        <f t="shared" ref="F70:F81" si="10">IF(C70=0,0,E70/C70)</f>
        <v>1.1645191567188077E-2</v>
      </c>
    </row>
    <row r="71" spans="1:6" x14ac:dyDescent="0.2">
      <c r="A71" s="115">
        <v>2</v>
      </c>
      <c r="B71" s="116" t="s">
        <v>114</v>
      </c>
      <c r="C71" s="113">
        <v>5520277</v>
      </c>
      <c r="D71" s="113">
        <v>6863581</v>
      </c>
      <c r="E71" s="113">
        <f t="shared" si="9"/>
        <v>1343304</v>
      </c>
      <c r="F71" s="114">
        <f t="shared" si="10"/>
        <v>0.2433399628315753</v>
      </c>
    </row>
    <row r="72" spans="1:6" x14ac:dyDescent="0.2">
      <c r="A72" s="115">
        <v>3</v>
      </c>
      <c r="B72" s="116" t="s">
        <v>115</v>
      </c>
      <c r="C72" s="113">
        <v>13152934</v>
      </c>
      <c r="D72" s="113">
        <v>15757381</v>
      </c>
      <c r="E72" s="113">
        <f t="shared" si="9"/>
        <v>2604447</v>
      </c>
      <c r="F72" s="114">
        <f t="shared" si="10"/>
        <v>0.19801262592817695</v>
      </c>
    </row>
    <row r="73" spans="1:6" x14ac:dyDescent="0.2">
      <c r="A73" s="115">
        <v>4</v>
      </c>
      <c r="B73" s="116" t="s">
        <v>116</v>
      </c>
      <c r="C73" s="113">
        <v>1367631</v>
      </c>
      <c r="D73" s="113">
        <v>0</v>
      </c>
      <c r="E73" s="113">
        <f t="shared" si="9"/>
        <v>-1367631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204418</v>
      </c>
      <c r="D74" s="113">
        <v>185955</v>
      </c>
      <c r="E74" s="113">
        <f t="shared" si="9"/>
        <v>-18463</v>
      </c>
      <c r="F74" s="114">
        <f t="shared" si="10"/>
        <v>-9.031983484820319E-2</v>
      </c>
    </row>
    <row r="75" spans="1:6" x14ac:dyDescent="0.2">
      <c r="A75" s="115">
        <v>6</v>
      </c>
      <c r="B75" s="116" t="s">
        <v>118</v>
      </c>
      <c r="C75" s="113">
        <v>3589838</v>
      </c>
      <c r="D75" s="113">
        <v>2820180</v>
      </c>
      <c r="E75" s="113">
        <f t="shared" si="9"/>
        <v>-769658</v>
      </c>
      <c r="F75" s="114">
        <f t="shared" si="10"/>
        <v>-0.21439908987536485</v>
      </c>
    </row>
    <row r="76" spans="1:6" x14ac:dyDescent="0.2">
      <c r="A76" s="115">
        <v>7</v>
      </c>
      <c r="B76" s="116" t="s">
        <v>119</v>
      </c>
      <c r="C76" s="113">
        <v>70795912</v>
      </c>
      <c r="D76" s="113">
        <v>75024670</v>
      </c>
      <c r="E76" s="113">
        <f t="shared" si="9"/>
        <v>4228758</v>
      </c>
      <c r="F76" s="114">
        <f t="shared" si="10"/>
        <v>5.9731669252315017E-2</v>
      </c>
    </row>
    <row r="77" spans="1:6" x14ac:dyDescent="0.2">
      <c r="A77" s="115">
        <v>8</v>
      </c>
      <c r="B77" s="116" t="s">
        <v>120</v>
      </c>
      <c r="C77" s="113">
        <v>3012175</v>
      </c>
      <c r="D77" s="113">
        <v>3302115</v>
      </c>
      <c r="E77" s="113">
        <f t="shared" si="9"/>
        <v>289940</v>
      </c>
      <c r="F77" s="114">
        <f t="shared" si="10"/>
        <v>9.6256027621237139E-2</v>
      </c>
    </row>
    <row r="78" spans="1:6" x14ac:dyDescent="0.2">
      <c r="A78" s="115">
        <v>9</v>
      </c>
      <c r="B78" s="116" t="s">
        <v>121</v>
      </c>
      <c r="C78" s="113">
        <v>908179</v>
      </c>
      <c r="D78" s="113">
        <v>2160322</v>
      </c>
      <c r="E78" s="113">
        <f t="shared" si="9"/>
        <v>1252143</v>
      </c>
      <c r="F78" s="114">
        <f t="shared" si="10"/>
        <v>1.3787403144093842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118449448</v>
      </c>
      <c r="D81" s="119">
        <f>SUM(D70:D80)</f>
        <v>126244005</v>
      </c>
      <c r="E81" s="119">
        <f t="shared" si="9"/>
        <v>7794557</v>
      </c>
      <c r="F81" s="120">
        <f t="shared" si="10"/>
        <v>6.5804924645997506E-2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62044211</v>
      </c>
      <c r="D84" s="119">
        <f t="shared" si="11"/>
        <v>59348792</v>
      </c>
      <c r="E84" s="119">
        <f t="shared" ref="E84:E95" si="12">D84-C84</f>
        <v>-2695419</v>
      </c>
      <c r="F84" s="120">
        <f t="shared" ref="F84:F95" si="13">IF(C84=0,0,E84/C84)</f>
        <v>-4.3443521265827685E-2</v>
      </c>
    </row>
    <row r="85" spans="1:6" ht="15.75" x14ac:dyDescent="0.25">
      <c r="A85" s="130">
        <v>2</v>
      </c>
      <c r="B85" s="122" t="s">
        <v>114</v>
      </c>
      <c r="C85" s="119">
        <f t="shared" si="11"/>
        <v>15180944</v>
      </c>
      <c r="D85" s="119">
        <f t="shared" si="11"/>
        <v>18491872</v>
      </c>
      <c r="E85" s="119">
        <f t="shared" si="12"/>
        <v>3310928</v>
      </c>
      <c r="F85" s="120">
        <f t="shared" si="13"/>
        <v>0.21809763608903374</v>
      </c>
    </row>
    <row r="86" spans="1:6" ht="15.75" x14ac:dyDescent="0.25">
      <c r="A86" s="130">
        <v>3</v>
      </c>
      <c r="B86" s="122" t="s">
        <v>115</v>
      </c>
      <c r="C86" s="119">
        <f t="shared" si="11"/>
        <v>23552871</v>
      </c>
      <c r="D86" s="119">
        <f t="shared" si="11"/>
        <v>28414839</v>
      </c>
      <c r="E86" s="119">
        <f t="shared" si="12"/>
        <v>4861968</v>
      </c>
      <c r="F86" s="120">
        <f t="shared" si="13"/>
        <v>0.20642782784315339</v>
      </c>
    </row>
    <row r="87" spans="1:6" ht="15.75" x14ac:dyDescent="0.25">
      <c r="A87" s="130">
        <v>4</v>
      </c>
      <c r="B87" s="122" t="s">
        <v>116</v>
      </c>
      <c r="C87" s="119">
        <f t="shared" si="11"/>
        <v>1998012</v>
      </c>
      <c r="D87" s="119">
        <f t="shared" si="11"/>
        <v>0</v>
      </c>
      <c r="E87" s="119">
        <f t="shared" si="12"/>
        <v>-1998012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309744</v>
      </c>
      <c r="D88" s="119">
        <f t="shared" si="11"/>
        <v>246567</v>
      </c>
      <c r="E88" s="119">
        <f t="shared" si="12"/>
        <v>-63177</v>
      </c>
      <c r="F88" s="120">
        <f t="shared" si="13"/>
        <v>-0.20396520997985434</v>
      </c>
    </row>
    <row r="89" spans="1:6" ht="15.75" x14ac:dyDescent="0.25">
      <c r="A89" s="130">
        <v>6</v>
      </c>
      <c r="B89" s="122" t="s">
        <v>118</v>
      </c>
      <c r="C89" s="119">
        <f t="shared" si="11"/>
        <v>5092970</v>
      </c>
      <c r="D89" s="119">
        <f t="shared" si="11"/>
        <v>4808365</v>
      </c>
      <c r="E89" s="119">
        <f t="shared" si="12"/>
        <v>-284605</v>
      </c>
      <c r="F89" s="120">
        <f t="shared" si="13"/>
        <v>-5.5881931368140791E-2</v>
      </c>
    </row>
    <row r="90" spans="1:6" ht="15.75" x14ac:dyDescent="0.25">
      <c r="A90" s="130">
        <v>7</v>
      </c>
      <c r="B90" s="122" t="s">
        <v>119</v>
      </c>
      <c r="C90" s="119">
        <f t="shared" si="11"/>
        <v>103734785</v>
      </c>
      <c r="D90" s="119">
        <f t="shared" si="11"/>
        <v>106109729</v>
      </c>
      <c r="E90" s="119">
        <f t="shared" si="12"/>
        <v>2374944</v>
      </c>
      <c r="F90" s="120">
        <f t="shared" si="13"/>
        <v>2.289438398122674E-2</v>
      </c>
    </row>
    <row r="91" spans="1:6" ht="15.75" x14ac:dyDescent="0.25">
      <c r="A91" s="130">
        <v>8</v>
      </c>
      <c r="B91" s="122" t="s">
        <v>120</v>
      </c>
      <c r="C91" s="119">
        <f t="shared" si="11"/>
        <v>4131380</v>
      </c>
      <c r="D91" s="119">
        <f t="shared" si="11"/>
        <v>4295840</v>
      </c>
      <c r="E91" s="119">
        <f t="shared" si="12"/>
        <v>164460</v>
      </c>
      <c r="F91" s="120">
        <f t="shared" si="13"/>
        <v>3.9807521941820891E-2</v>
      </c>
    </row>
    <row r="92" spans="1:6" ht="15.75" x14ac:dyDescent="0.25">
      <c r="A92" s="130">
        <v>9</v>
      </c>
      <c r="B92" s="122" t="s">
        <v>121</v>
      </c>
      <c r="C92" s="119">
        <f t="shared" si="11"/>
        <v>1185069</v>
      </c>
      <c r="D92" s="119">
        <f t="shared" si="11"/>
        <v>3103407</v>
      </c>
      <c r="E92" s="119">
        <f t="shared" si="12"/>
        <v>1918338</v>
      </c>
      <c r="F92" s="120">
        <f t="shared" si="13"/>
        <v>1.6187563762110055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217229986</v>
      </c>
      <c r="D95" s="128">
        <f>SUM(D84:D94)</f>
        <v>224819411</v>
      </c>
      <c r="E95" s="128">
        <f t="shared" si="12"/>
        <v>7589425</v>
      </c>
      <c r="F95" s="129">
        <f t="shared" si="13"/>
        <v>3.4937280712249365E-2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4067</v>
      </c>
      <c r="D100" s="133">
        <v>3799</v>
      </c>
      <c r="E100" s="133">
        <f t="shared" ref="E100:E111" si="14">D100-C100</f>
        <v>-268</v>
      </c>
      <c r="F100" s="114">
        <f t="shared" ref="F100:F111" si="15">IF(C100=0,0,E100/C100)</f>
        <v>-6.5896238013277597E-2</v>
      </c>
    </row>
    <row r="101" spans="1:6" x14ac:dyDescent="0.2">
      <c r="A101" s="115">
        <v>2</v>
      </c>
      <c r="B101" s="116" t="s">
        <v>114</v>
      </c>
      <c r="C101" s="133">
        <v>987</v>
      </c>
      <c r="D101" s="133">
        <v>1109</v>
      </c>
      <c r="E101" s="133">
        <f t="shared" si="14"/>
        <v>122</v>
      </c>
      <c r="F101" s="114">
        <f t="shared" si="15"/>
        <v>0.12360688956433637</v>
      </c>
    </row>
    <row r="102" spans="1:6" x14ac:dyDescent="0.2">
      <c r="A102" s="115">
        <v>3</v>
      </c>
      <c r="B102" s="116" t="s">
        <v>115</v>
      </c>
      <c r="C102" s="133">
        <v>1946</v>
      </c>
      <c r="D102" s="133">
        <v>2111</v>
      </c>
      <c r="E102" s="133">
        <f t="shared" si="14"/>
        <v>165</v>
      </c>
      <c r="F102" s="114">
        <f t="shared" si="15"/>
        <v>8.4789311408016446E-2</v>
      </c>
    </row>
    <row r="103" spans="1:6" x14ac:dyDescent="0.2">
      <c r="A103" s="115">
        <v>4</v>
      </c>
      <c r="B103" s="116" t="s">
        <v>116</v>
      </c>
      <c r="C103" s="133">
        <v>205</v>
      </c>
      <c r="D103" s="133">
        <v>0</v>
      </c>
      <c r="E103" s="133">
        <f t="shared" si="14"/>
        <v>-205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27</v>
      </c>
      <c r="D104" s="133">
        <v>24</v>
      </c>
      <c r="E104" s="133">
        <f t="shared" si="14"/>
        <v>-3</v>
      </c>
      <c r="F104" s="114">
        <f t="shared" si="15"/>
        <v>-0.1111111111111111</v>
      </c>
    </row>
    <row r="105" spans="1:6" x14ac:dyDescent="0.2">
      <c r="A105" s="115">
        <v>6</v>
      </c>
      <c r="B105" s="116" t="s">
        <v>118</v>
      </c>
      <c r="C105" s="133">
        <v>119</v>
      </c>
      <c r="D105" s="133">
        <v>113</v>
      </c>
      <c r="E105" s="133">
        <f t="shared" si="14"/>
        <v>-6</v>
      </c>
      <c r="F105" s="114">
        <f t="shared" si="15"/>
        <v>-5.0420168067226892E-2</v>
      </c>
    </row>
    <row r="106" spans="1:6" x14ac:dyDescent="0.2">
      <c r="A106" s="115">
        <v>7</v>
      </c>
      <c r="B106" s="116" t="s">
        <v>119</v>
      </c>
      <c r="C106" s="133">
        <v>2691</v>
      </c>
      <c r="D106" s="133">
        <v>2418</v>
      </c>
      <c r="E106" s="133">
        <f t="shared" si="14"/>
        <v>-273</v>
      </c>
      <c r="F106" s="114">
        <f t="shared" si="15"/>
        <v>-0.10144927536231885</v>
      </c>
    </row>
    <row r="107" spans="1:6" x14ac:dyDescent="0.2">
      <c r="A107" s="115">
        <v>8</v>
      </c>
      <c r="B107" s="116" t="s">
        <v>120</v>
      </c>
      <c r="C107" s="133">
        <v>34</v>
      </c>
      <c r="D107" s="133">
        <v>31</v>
      </c>
      <c r="E107" s="133">
        <f t="shared" si="14"/>
        <v>-3</v>
      </c>
      <c r="F107" s="114">
        <f t="shared" si="15"/>
        <v>-8.8235294117647065E-2</v>
      </c>
    </row>
    <row r="108" spans="1:6" x14ac:dyDescent="0.2">
      <c r="A108" s="115">
        <v>9</v>
      </c>
      <c r="B108" s="116" t="s">
        <v>121</v>
      </c>
      <c r="C108" s="133">
        <v>254</v>
      </c>
      <c r="D108" s="133">
        <v>242</v>
      </c>
      <c r="E108" s="133">
        <f t="shared" si="14"/>
        <v>-12</v>
      </c>
      <c r="F108" s="114">
        <f t="shared" si="15"/>
        <v>-4.7244094488188976E-2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10330</v>
      </c>
      <c r="D111" s="134">
        <f>SUM(D100:D110)</f>
        <v>9847</v>
      </c>
      <c r="E111" s="134">
        <f t="shared" si="14"/>
        <v>-483</v>
      </c>
      <c r="F111" s="120">
        <f t="shared" si="15"/>
        <v>-4.6757018393030009E-2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19323</v>
      </c>
      <c r="D113" s="133">
        <v>18756</v>
      </c>
      <c r="E113" s="133">
        <f t="shared" ref="E113:E124" si="16">D113-C113</f>
        <v>-567</v>
      </c>
      <c r="F113" s="114">
        <f t="shared" ref="F113:F124" si="17">IF(C113=0,0,E113/C113)</f>
        <v>-2.9343269678621331E-2</v>
      </c>
    </row>
    <row r="114" spans="1:6" x14ac:dyDescent="0.2">
      <c r="A114" s="115">
        <v>2</v>
      </c>
      <c r="B114" s="116" t="s">
        <v>114</v>
      </c>
      <c r="C114" s="133">
        <v>4568</v>
      </c>
      <c r="D114" s="133">
        <v>5501</v>
      </c>
      <c r="E114" s="133">
        <f t="shared" si="16"/>
        <v>933</v>
      </c>
      <c r="F114" s="114">
        <f t="shared" si="17"/>
        <v>0.20424693520140105</v>
      </c>
    </row>
    <row r="115" spans="1:6" x14ac:dyDescent="0.2">
      <c r="A115" s="115">
        <v>3</v>
      </c>
      <c r="B115" s="116" t="s">
        <v>115</v>
      </c>
      <c r="C115" s="133">
        <v>7636</v>
      </c>
      <c r="D115" s="133">
        <v>8183</v>
      </c>
      <c r="E115" s="133">
        <f t="shared" si="16"/>
        <v>547</v>
      </c>
      <c r="F115" s="114">
        <f t="shared" si="17"/>
        <v>7.1634363541121002E-2</v>
      </c>
    </row>
    <row r="116" spans="1:6" x14ac:dyDescent="0.2">
      <c r="A116" s="115">
        <v>4</v>
      </c>
      <c r="B116" s="116" t="s">
        <v>116</v>
      </c>
      <c r="C116" s="133">
        <v>536</v>
      </c>
      <c r="D116" s="133">
        <v>0</v>
      </c>
      <c r="E116" s="133">
        <f t="shared" si="16"/>
        <v>-536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84</v>
      </c>
      <c r="D117" s="133">
        <v>70</v>
      </c>
      <c r="E117" s="133">
        <f t="shared" si="16"/>
        <v>-14</v>
      </c>
      <c r="F117" s="114">
        <f t="shared" si="17"/>
        <v>-0.16666666666666666</v>
      </c>
    </row>
    <row r="118" spans="1:6" x14ac:dyDescent="0.2">
      <c r="A118" s="115">
        <v>6</v>
      </c>
      <c r="B118" s="116" t="s">
        <v>118</v>
      </c>
      <c r="C118" s="133">
        <v>409</v>
      </c>
      <c r="D118" s="133">
        <v>421</v>
      </c>
      <c r="E118" s="133">
        <f t="shared" si="16"/>
        <v>12</v>
      </c>
      <c r="F118" s="114">
        <f t="shared" si="17"/>
        <v>2.9339853300733496E-2</v>
      </c>
    </row>
    <row r="119" spans="1:6" x14ac:dyDescent="0.2">
      <c r="A119" s="115">
        <v>7</v>
      </c>
      <c r="B119" s="116" t="s">
        <v>119</v>
      </c>
      <c r="C119" s="133">
        <v>8939</v>
      </c>
      <c r="D119" s="133">
        <v>8001</v>
      </c>
      <c r="E119" s="133">
        <f t="shared" si="16"/>
        <v>-938</v>
      </c>
      <c r="F119" s="114">
        <f t="shared" si="17"/>
        <v>-0.10493343774471417</v>
      </c>
    </row>
    <row r="120" spans="1:6" x14ac:dyDescent="0.2">
      <c r="A120" s="115">
        <v>8</v>
      </c>
      <c r="B120" s="116" t="s">
        <v>120</v>
      </c>
      <c r="C120" s="133">
        <v>110</v>
      </c>
      <c r="D120" s="133">
        <v>84</v>
      </c>
      <c r="E120" s="133">
        <f t="shared" si="16"/>
        <v>-26</v>
      </c>
      <c r="F120" s="114">
        <f t="shared" si="17"/>
        <v>-0.23636363636363636</v>
      </c>
    </row>
    <row r="121" spans="1:6" x14ac:dyDescent="0.2">
      <c r="A121" s="115">
        <v>9</v>
      </c>
      <c r="B121" s="116" t="s">
        <v>121</v>
      </c>
      <c r="C121" s="133">
        <v>925</v>
      </c>
      <c r="D121" s="133">
        <v>882</v>
      </c>
      <c r="E121" s="133">
        <f t="shared" si="16"/>
        <v>-43</v>
      </c>
      <c r="F121" s="114">
        <f t="shared" si="17"/>
        <v>-4.6486486486486484E-2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42530</v>
      </c>
      <c r="D124" s="134">
        <f>SUM(D113:D123)</f>
        <v>41898</v>
      </c>
      <c r="E124" s="134">
        <f t="shared" si="16"/>
        <v>-632</v>
      </c>
      <c r="F124" s="120">
        <f t="shared" si="17"/>
        <v>-1.4860098753820833E-2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33398</v>
      </c>
      <c r="D126" s="133">
        <v>32754</v>
      </c>
      <c r="E126" s="133">
        <f t="shared" ref="E126:E137" si="18">D126-C126</f>
        <v>-644</v>
      </c>
      <c r="F126" s="114">
        <f t="shared" ref="F126:F137" si="19">IF(C126=0,0,E126/C126)</f>
        <v>-1.9282591771962392E-2</v>
      </c>
    </row>
    <row r="127" spans="1:6" x14ac:dyDescent="0.2">
      <c r="A127" s="115">
        <v>2</v>
      </c>
      <c r="B127" s="116" t="s">
        <v>114</v>
      </c>
      <c r="C127" s="133">
        <v>9772</v>
      </c>
      <c r="D127" s="133">
        <v>11447</v>
      </c>
      <c r="E127" s="133">
        <f t="shared" si="18"/>
        <v>1675</v>
      </c>
      <c r="F127" s="114">
        <f t="shared" si="19"/>
        <v>0.1714081047891936</v>
      </c>
    </row>
    <row r="128" spans="1:6" x14ac:dyDescent="0.2">
      <c r="A128" s="115">
        <v>3</v>
      </c>
      <c r="B128" s="116" t="s">
        <v>115</v>
      </c>
      <c r="C128" s="133">
        <v>39551</v>
      </c>
      <c r="D128" s="133">
        <v>48221</v>
      </c>
      <c r="E128" s="133">
        <f t="shared" si="18"/>
        <v>8670</v>
      </c>
      <c r="F128" s="114">
        <f t="shared" si="19"/>
        <v>0.21921063942757452</v>
      </c>
    </row>
    <row r="129" spans="1:6" x14ac:dyDescent="0.2">
      <c r="A129" s="115">
        <v>4</v>
      </c>
      <c r="B129" s="116" t="s">
        <v>116</v>
      </c>
      <c r="C129" s="133">
        <v>6289</v>
      </c>
      <c r="D129" s="133">
        <v>0</v>
      </c>
      <c r="E129" s="133">
        <f t="shared" si="18"/>
        <v>-6289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510</v>
      </c>
      <c r="D130" s="133">
        <v>539</v>
      </c>
      <c r="E130" s="133">
        <f t="shared" si="18"/>
        <v>29</v>
      </c>
      <c r="F130" s="114">
        <f t="shared" si="19"/>
        <v>5.6862745098039215E-2</v>
      </c>
    </row>
    <row r="131" spans="1:6" x14ac:dyDescent="0.2">
      <c r="A131" s="115">
        <v>6</v>
      </c>
      <c r="B131" s="116" t="s">
        <v>118</v>
      </c>
      <c r="C131" s="133">
        <v>2548</v>
      </c>
      <c r="D131" s="133">
        <v>2377</v>
      </c>
      <c r="E131" s="133">
        <f t="shared" si="18"/>
        <v>-171</v>
      </c>
      <c r="F131" s="114">
        <f t="shared" si="19"/>
        <v>-6.7111459968602821E-2</v>
      </c>
    </row>
    <row r="132" spans="1:6" x14ac:dyDescent="0.2">
      <c r="A132" s="115">
        <v>7</v>
      </c>
      <c r="B132" s="116" t="s">
        <v>119</v>
      </c>
      <c r="C132" s="133">
        <v>66636</v>
      </c>
      <c r="D132" s="133">
        <v>65015</v>
      </c>
      <c r="E132" s="133">
        <f t="shared" si="18"/>
        <v>-1621</v>
      </c>
      <c r="F132" s="114">
        <f t="shared" si="19"/>
        <v>-2.4326190047421814E-2</v>
      </c>
    </row>
    <row r="133" spans="1:6" x14ac:dyDescent="0.2">
      <c r="A133" s="115">
        <v>8</v>
      </c>
      <c r="B133" s="116" t="s">
        <v>120</v>
      </c>
      <c r="C133" s="133">
        <v>2340</v>
      </c>
      <c r="D133" s="133">
        <v>2391</v>
      </c>
      <c r="E133" s="133">
        <f t="shared" si="18"/>
        <v>51</v>
      </c>
      <c r="F133" s="114">
        <f t="shared" si="19"/>
        <v>2.1794871794871794E-2</v>
      </c>
    </row>
    <row r="134" spans="1:6" x14ac:dyDescent="0.2">
      <c r="A134" s="115">
        <v>9</v>
      </c>
      <c r="B134" s="116" t="s">
        <v>121</v>
      </c>
      <c r="C134" s="133">
        <v>8339</v>
      </c>
      <c r="D134" s="133">
        <v>7718</v>
      </c>
      <c r="E134" s="133">
        <f t="shared" si="18"/>
        <v>-621</v>
      </c>
      <c r="F134" s="114">
        <f t="shared" si="19"/>
        <v>-7.4469360834632445E-2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169383</v>
      </c>
      <c r="D137" s="134">
        <f>SUM(D126:D136)</f>
        <v>170462</v>
      </c>
      <c r="E137" s="134">
        <f t="shared" si="18"/>
        <v>1079</v>
      </c>
      <c r="F137" s="120">
        <f t="shared" si="19"/>
        <v>6.3701788255019686E-3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16500000</v>
      </c>
      <c r="D142" s="113">
        <v>17000000</v>
      </c>
      <c r="E142" s="113">
        <f t="shared" ref="E142:E153" si="20">D142-C142</f>
        <v>500000</v>
      </c>
      <c r="F142" s="114">
        <f t="shared" ref="F142:F153" si="21">IF(C142=0,0,E142/C142)</f>
        <v>3.0303030303030304E-2</v>
      </c>
    </row>
    <row r="143" spans="1:6" x14ac:dyDescent="0.2">
      <c r="A143" s="115">
        <v>2</v>
      </c>
      <c r="B143" s="116" t="s">
        <v>114</v>
      </c>
      <c r="C143" s="113">
        <v>4385000</v>
      </c>
      <c r="D143" s="113">
        <v>5500000</v>
      </c>
      <c r="E143" s="113">
        <f t="shared" si="20"/>
        <v>1115000</v>
      </c>
      <c r="F143" s="114">
        <f t="shared" si="21"/>
        <v>0.25427594070695553</v>
      </c>
    </row>
    <row r="144" spans="1:6" x14ac:dyDescent="0.2">
      <c r="A144" s="115">
        <v>3</v>
      </c>
      <c r="B144" s="116" t="s">
        <v>115</v>
      </c>
      <c r="C144" s="113">
        <v>30800000</v>
      </c>
      <c r="D144" s="113">
        <v>35500000</v>
      </c>
      <c r="E144" s="113">
        <f t="shared" si="20"/>
        <v>4700000</v>
      </c>
      <c r="F144" s="114">
        <f t="shared" si="21"/>
        <v>0.15259740259740259</v>
      </c>
    </row>
    <row r="145" spans="1:6" x14ac:dyDescent="0.2">
      <c r="A145" s="115">
        <v>4</v>
      </c>
      <c r="B145" s="116" t="s">
        <v>116</v>
      </c>
      <c r="C145" s="113">
        <v>3300000</v>
      </c>
      <c r="D145" s="113">
        <v>0</v>
      </c>
      <c r="E145" s="113">
        <f t="shared" si="20"/>
        <v>-3300000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260000</v>
      </c>
      <c r="D146" s="113">
        <v>280000</v>
      </c>
      <c r="E146" s="113">
        <f t="shared" si="20"/>
        <v>20000</v>
      </c>
      <c r="F146" s="114">
        <f t="shared" si="21"/>
        <v>7.6923076923076927E-2</v>
      </c>
    </row>
    <row r="147" spans="1:6" x14ac:dyDescent="0.2">
      <c r="A147" s="115">
        <v>6</v>
      </c>
      <c r="B147" s="116" t="s">
        <v>118</v>
      </c>
      <c r="C147" s="113">
        <v>1365000</v>
      </c>
      <c r="D147" s="113">
        <v>1200000</v>
      </c>
      <c r="E147" s="113">
        <f t="shared" si="20"/>
        <v>-165000</v>
      </c>
      <c r="F147" s="114">
        <f t="shared" si="21"/>
        <v>-0.12087912087912088</v>
      </c>
    </row>
    <row r="148" spans="1:6" x14ac:dyDescent="0.2">
      <c r="A148" s="115">
        <v>7</v>
      </c>
      <c r="B148" s="116" t="s">
        <v>119</v>
      </c>
      <c r="C148" s="113">
        <v>27600000</v>
      </c>
      <c r="D148" s="113">
        <v>25370000</v>
      </c>
      <c r="E148" s="113">
        <f t="shared" si="20"/>
        <v>-2230000</v>
      </c>
      <c r="F148" s="114">
        <f t="shared" si="21"/>
        <v>-8.0797101449275363E-2</v>
      </c>
    </row>
    <row r="149" spans="1:6" x14ac:dyDescent="0.2">
      <c r="A149" s="115">
        <v>8</v>
      </c>
      <c r="B149" s="116" t="s">
        <v>120</v>
      </c>
      <c r="C149" s="113">
        <v>845000</v>
      </c>
      <c r="D149" s="113">
        <v>900000</v>
      </c>
      <c r="E149" s="113">
        <f t="shared" si="20"/>
        <v>55000</v>
      </c>
      <c r="F149" s="114">
        <f t="shared" si="21"/>
        <v>6.5088757396449703E-2</v>
      </c>
    </row>
    <row r="150" spans="1:6" x14ac:dyDescent="0.2">
      <c r="A150" s="115">
        <v>9</v>
      </c>
      <c r="B150" s="116" t="s">
        <v>121</v>
      </c>
      <c r="C150" s="113">
        <v>6650000</v>
      </c>
      <c r="D150" s="113">
        <v>6250000</v>
      </c>
      <c r="E150" s="113">
        <f t="shared" si="20"/>
        <v>-400000</v>
      </c>
      <c r="F150" s="114">
        <f t="shared" si="21"/>
        <v>-6.0150375939849621E-2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91705000</v>
      </c>
      <c r="D153" s="119">
        <f>SUM(D142:D152)</f>
        <v>92000000</v>
      </c>
      <c r="E153" s="119">
        <f t="shared" si="20"/>
        <v>295000</v>
      </c>
      <c r="F153" s="120">
        <f t="shared" si="21"/>
        <v>3.2168365956054741E-3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3400000</v>
      </c>
      <c r="D155" s="113">
        <v>3450000</v>
      </c>
      <c r="E155" s="113">
        <f t="shared" ref="E155:E166" si="22">D155-C155</f>
        <v>50000</v>
      </c>
      <c r="F155" s="114">
        <f t="shared" ref="F155:F166" si="23">IF(C155=0,0,E155/C155)</f>
        <v>1.4705882352941176E-2</v>
      </c>
    </row>
    <row r="156" spans="1:6" x14ac:dyDescent="0.2">
      <c r="A156" s="115">
        <v>2</v>
      </c>
      <c r="B156" s="116" t="s">
        <v>114</v>
      </c>
      <c r="C156" s="113">
        <v>950000</v>
      </c>
      <c r="D156" s="113">
        <v>1150000</v>
      </c>
      <c r="E156" s="113">
        <f t="shared" si="22"/>
        <v>200000</v>
      </c>
      <c r="F156" s="114">
        <f t="shared" si="23"/>
        <v>0.21052631578947367</v>
      </c>
    </row>
    <row r="157" spans="1:6" x14ac:dyDescent="0.2">
      <c r="A157" s="115">
        <v>3</v>
      </c>
      <c r="B157" s="116" t="s">
        <v>115</v>
      </c>
      <c r="C157" s="113">
        <v>5900000</v>
      </c>
      <c r="D157" s="113">
        <v>6500000</v>
      </c>
      <c r="E157" s="113">
        <f t="shared" si="22"/>
        <v>600000</v>
      </c>
      <c r="F157" s="114">
        <f t="shared" si="23"/>
        <v>0.10169491525423729</v>
      </c>
    </row>
    <row r="158" spans="1:6" x14ac:dyDescent="0.2">
      <c r="A158" s="115">
        <v>4</v>
      </c>
      <c r="B158" s="116" t="s">
        <v>116</v>
      </c>
      <c r="C158" s="113">
        <v>800000</v>
      </c>
      <c r="D158" s="113">
        <v>0</v>
      </c>
      <c r="E158" s="113">
        <f t="shared" si="22"/>
        <v>-800000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60000</v>
      </c>
      <c r="D159" s="113">
        <v>55000</v>
      </c>
      <c r="E159" s="113">
        <f t="shared" si="22"/>
        <v>-5000</v>
      </c>
      <c r="F159" s="114">
        <f t="shared" si="23"/>
        <v>-8.3333333333333329E-2</v>
      </c>
    </row>
    <row r="160" spans="1:6" x14ac:dyDescent="0.2">
      <c r="A160" s="115">
        <v>6</v>
      </c>
      <c r="B160" s="116" t="s">
        <v>118</v>
      </c>
      <c r="C160" s="113">
        <v>700000</v>
      </c>
      <c r="D160" s="113">
        <v>600000</v>
      </c>
      <c r="E160" s="113">
        <f t="shared" si="22"/>
        <v>-100000</v>
      </c>
      <c r="F160" s="114">
        <f t="shared" si="23"/>
        <v>-0.14285714285714285</v>
      </c>
    </row>
    <row r="161" spans="1:6" x14ac:dyDescent="0.2">
      <c r="A161" s="115">
        <v>7</v>
      </c>
      <c r="B161" s="116" t="s">
        <v>119</v>
      </c>
      <c r="C161" s="113">
        <v>16400000</v>
      </c>
      <c r="D161" s="113">
        <v>15500000</v>
      </c>
      <c r="E161" s="113">
        <f t="shared" si="22"/>
        <v>-900000</v>
      </c>
      <c r="F161" s="114">
        <f t="shared" si="23"/>
        <v>-5.4878048780487805E-2</v>
      </c>
    </row>
    <row r="162" spans="1:6" x14ac:dyDescent="0.2">
      <c r="A162" s="115">
        <v>8</v>
      </c>
      <c r="B162" s="116" t="s">
        <v>120</v>
      </c>
      <c r="C162" s="113">
        <v>700000</v>
      </c>
      <c r="D162" s="113">
        <v>750000</v>
      </c>
      <c r="E162" s="113">
        <f t="shared" si="22"/>
        <v>50000</v>
      </c>
      <c r="F162" s="114">
        <f t="shared" si="23"/>
        <v>7.1428571428571425E-2</v>
      </c>
    </row>
    <row r="163" spans="1:6" x14ac:dyDescent="0.2">
      <c r="A163" s="115">
        <v>9</v>
      </c>
      <c r="B163" s="116" t="s">
        <v>121</v>
      </c>
      <c r="C163" s="113">
        <v>300000</v>
      </c>
      <c r="D163" s="113">
        <v>250000</v>
      </c>
      <c r="E163" s="113">
        <f t="shared" si="22"/>
        <v>-50000</v>
      </c>
      <c r="F163" s="114">
        <f t="shared" si="23"/>
        <v>-0.16666666666666666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29210000</v>
      </c>
      <c r="D166" s="119">
        <f>SUM(D155:D165)</f>
        <v>28255000</v>
      </c>
      <c r="E166" s="119">
        <f t="shared" si="22"/>
        <v>-955000</v>
      </c>
      <c r="F166" s="120">
        <f t="shared" si="23"/>
        <v>-3.269428277986991E-2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10287</v>
      </c>
      <c r="D168" s="133">
        <v>7492</v>
      </c>
      <c r="E168" s="133">
        <f t="shared" ref="E168:E179" si="24">D168-C168</f>
        <v>-2795</v>
      </c>
      <c r="F168" s="114">
        <f t="shared" ref="F168:F179" si="25">IF(C168=0,0,E168/C168)</f>
        <v>-0.27170214834256828</v>
      </c>
    </row>
    <row r="169" spans="1:6" x14ac:dyDescent="0.2">
      <c r="A169" s="115">
        <v>2</v>
      </c>
      <c r="B169" s="116" t="s">
        <v>114</v>
      </c>
      <c r="C169" s="133">
        <v>2383</v>
      </c>
      <c r="D169" s="133">
        <v>2171</v>
      </c>
      <c r="E169" s="133">
        <f t="shared" si="24"/>
        <v>-212</v>
      </c>
      <c r="F169" s="114">
        <f t="shared" si="25"/>
        <v>-8.8963491397398231E-2</v>
      </c>
    </row>
    <row r="170" spans="1:6" x14ac:dyDescent="0.2">
      <c r="A170" s="115">
        <v>3</v>
      </c>
      <c r="B170" s="116" t="s">
        <v>115</v>
      </c>
      <c r="C170" s="133">
        <v>28640</v>
      </c>
      <c r="D170" s="133">
        <v>23383</v>
      </c>
      <c r="E170" s="133">
        <f t="shared" si="24"/>
        <v>-5257</v>
      </c>
      <c r="F170" s="114">
        <f t="shared" si="25"/>
        <v>-0.18355446927374303</v>
      </c>
    </row>
    <row r="171" spans="1:6" x14ac:dyDescent="0.2">
      <c r="A171" s="115">
        <v>4</v>
      </c>
      <c r="B171" s="116" t="s">
        <v>116</v>
      </c>
      <c r="C171" s="133">
        <v>4857</v>
      </c>
      <c r="D171" s="133">
        <v>0</v>
      </c>
      <c r="E171" s="133">
        <f t="shared" si="24"/>
        <v>-4857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324</v>
      </c>
      <c r="D172" s="133">
        <v>193</v>
      </c>
      <c r="E172" s="133">
        <f t="shared" si="24"/>
        <v>-131</v>
      </c>
      <c r="F172" s="114">
        <f t="shared" si="25"/>
        <v>-0.40432098765432101</v>
      </c>
    </row>
    <row r="173" spans="1:6" x14ac:dyDescent="0.2">
      <c r="A173" s="115">
        <v>6</v>
      </c>
      <c r="B173" s="116" t="s">
        <v>118</v>
      </c>
      <c r="C173" s="133">
        <v>1240</v>
      </c>
      <c r="D173" s="133">
        <v>686</v>
      </c>
      <c r="E173" s="133">
        <f t="shared" si="24"/>
        <v>-554</v>
      </c>
      <c r="F173" s="114">
        <f t="shared" si="25"/>
        <v>-0.4467741935483871</v>
      </c>
    </row>
    <row r="174" spans="1:6" x14ac:dyDescent="0.2">
      <c r="A174" s="115">
        <v>7</v>
      </c>
      <c r="B174" s="116" t="s">
        <v>119</v>
      </c>
      <c r="C174" s="133">
        <v>28923</v>
      </c>
      <c r="D174" s="133">
        <v>13770</v>
      </c>
      <c r="E174" s="133">
        <f t="shared" si="24"/>
        <v>-15153</v>
      </c>
      <c r="F174" s="114">
        <f t="shared" si="25"/>
        <v>-0.52390830826677726</v>
      </c>
    </row>
    <row r="175" spans="1:6" x14ac:dyDescent="0.2">
      <c r="A175" s="115">
        <v>8</v>
      </c>
      <c r="B175" s="116" t="s">
        <v>120</v>
      </c>
      <c r="C175" s="133">
        <v>1134</v>
      </c>
      <c r="D175" s="133">
        <v>832</v>
      </c>
      <c r="E175" s="133">
        <f t="shared" si="24"/>
        <v>-302</v>
      </c>
      <c r="F175" s="114">
        <f t="shared" si="25"/>
        <v>-0.26631393298059963</v>
      </c>
    </row>
    <row r="176" spans="1:6" x14ac:dyDescent="0.2">
      <c r="A176" s="115">
        <v>9</v>
      </c>
      <c r="B176" s="116" t="s">
        <v>121</v>
      </c>
      <c r="C176" s="133">
        <v>7119</v>
      </c>
      <c r="D176" s="133">
        <v>4370</v>
      </c>
      <c r="E176" s="133">
        <f t="shared" si="24"/>
        <v>-2749</v>
      </c>
      <c r="F176" s="114">
        <f t="shared" si="25"/>
        <v>-0.38614974013204101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84907</v>
      </c>
      <c r="D179" s="134">
        <f>SUM(D168:D178)</f>
        <v>52897</v>
      </c>
      <c r="E179" s="134">
        <f t="shared" si="24"/>
        <v>-32010</v>
      </c>
      <c r="F179" s="120">
        <f t="shared" si="25"/>
        <v>-0.37700071843310917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28460163</v>
      </c>
      <c r="D15" s="157">
        <v>27207529</v>
      </c>
      <c r="E15" s="157">
        <f>+D15-C15</f>
        <v>-1252634</v>
      </c>
      <c r="F15" s="161">
        <f>IF(C15=0,0,E15/C15)</f>
        <v>-4.4013591910910699E-2</v>
      </c>
    </row>
    <row r="16" spans="1:6" ht="15" customHeight="1" x14ac:dyDescent="0.2">
      <c r="A16" s="147">
        <v>2</v>
      </c>
      <c r="B16" s="160" t="s">
        <v>157</v>
      </c>
      <c r="C16" s="157">
        <v>7503379</v>
      </c>
      <c r="D16" s="157">
        <v>7916881</v>
      </c>
      <c r="E16" s="157">
        <f>+D16-C16</f>
        <v>413502</v>
      </c>
      <c r="F16" s="161">
        <f>IF(C16=0,0,E16/C16)</f>
        <v>5.5108771661407478E-2</v>
      </c>
    </row>
    <row r="17" spans="1:6" ht="15" customHeight="1" x14ac:dyDescent="0.2">
      <c r="A17" s="147">
        <v>3</v>
      </c>
      <c r="B17" s="160" t="s">
        <v>158</v>
      </c>
      <c r="C17" s="157">
        <v>39975318</v>
      </c>
      <c r="D17" s="157">
        <v>40133370</v>
      </c>
      <c r="E17" s="157">
        <f>+D17-C17</f>
        <v>158052</v>
      </c>
      <c r="F17" s="161">
        <f>IF(C17=0,0,E17/C17)</f>
        <v>3.9537396550541511E-3</v>
      </c>
    </row>
    <row r="18" spans="1:6" ht="15.75" customHeight="1" x14ac:dyDescent="0.25">
      <c r="A18" s="147"/>
      <c r="B18" s="162" t="s">
        <v>159</v>
      </c>
      <c r="C18" s="158">
        <f>SUM(C15:C17)</f>
        <v>75938860</v>
      </c>
      <c r="D18" s="158">
        <f>SUM(D15:D17)</f>
        <v>75257780</v>
      </c>
      <c r="E18" s="158">
        <f>+D18-C18</f>
        <v>-681080</v>
      </c>
      <c r="F18" s="159">
        <f>IF(C18=0,0,E18/C18)</f>
        <v>-8.9687941062059663E-3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10526845</v>
      </c>
      <c r="D21" s="157">
        <v>8488460</v>
      </c>
      <c r="E21" s="157">
        <f>+D21-C21</f>
        <v>-2038385</v>
      </c>
      <c r="F21" s="161">
        <f>IF(C21=0,0,E21/C21)</f>
        <v>-0.19363683990787364</v>
      </c>
    </row>
    <row r="22" spans="1:6" ht="15" customHeight="1" x14ac:dyDescent="0.2">
      <c r="A22" s="147">
        <v>2</v>
      </c>
      <c r="B22" s="160" t="s">
        <v>162</v>
      </c>
      <c r="C22" s="157">
        <v>2025011</v>
      </c>
      <c r="D22" s="157">
        <v>1632894</v>
      </c>
      <c r="E22" s="157">
        <f>+D22-C22</f>
        <v>-392117</v>
      </c>
      <c r="F22" s="161">
        <f>IF(C22=0,0,E22/C22)</f>
        <v>-0.19363697283619694</v>
      </c>
    </row>
    <row r="23" spans="1:6" ht="15" customHeight="1" x14ac:dyDescent="0.2">
      <c r="A23" s="147">
        <v>3</v>
      </c>
      <c r="B23" s="160" t="s">
        <v>163</v>
      </c>
      <c r="C23" s="157">
        <v>15536997</v>
      </c>
      <c r="D23" s="157">
        <v>12528463</v>
      </c>
      <c r="E23" s="157">
        <f>+D23-C23</f>
        <v>-3008534</v>
      </c>
      <c r="F23" s="161">
        <f>IF(C23=0,0,E23/C23)</f>
        <v>-0.19363677549786487</v>
      </c>
    </row>
    <row r="24" spans="1:6" ht="15.75" customHeight="1" x14ac:dyDescent="0.25">
      <c r="A24" s="147"/>
      <c r="B24" s="162" t="s">
        <v>164</v>
      </c>
      <c r="C24" s="158">
        <f>SUM(C21:C23)</f>
        <v>28088853</v>
      </c>
      <c r="D24" s="158">
        <f>SUM(D21:D23)</f>
        <v>22649817</v>
      </c>
      <c r="E24" s="158">
        <f>+D24-C24</f>
        <v>-5439036</v>
      </c>
      <c r="F24" s="159">
        <f>IF(C24=0,0,E24/C24)</f>
        <v>-0.19363681386349241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383349</v>
      </c>
      <c r="D27" s="157">
        <v>351733</v>
      </c>
      <c r="E27" s="157">
        <f>+D27-C27</f>
        <v>-31616</v>
      </c>
      <c r="F27" s="161">
        <f>IF(C27=0,0,E27/C27)</f>
        <v>-8.247315109730298E-2</v>
      </c>
    </row>
    <row r="28" spans="1:6" ht="15" customHeight="1" x14ac:dyDescent="0.2">
      <c r="A28" s="147">
        <v>2</v>
      </c>
      <c r="B28" s="160" t="s">
        <v>167</v>
      </c>
      <c r="C28" s="157">
        <v>3200313</v>
      </c>
      <c r="D28" s="157">
        <v>3631661</v>
      </c>
      <c r="E28" s="157">
        <f>+D28-C28</f>
        <v>431348</v>
      </c>
      <c r="F28" s="161">
        <f>IF(C28=0,0,E28/C28)</f>
        <v>0.1347830665313049</v>
      </c>
    </row>
    <row r="29" spans="1:6" ht="15" customHeight="1" x14ac:dyDescent="0.2">
      <c r="A29" s="147">
        <v>3</v>
      </c>
      <c r="B29" s="160" t="s">
        <v>168</v>
      </c>
      <c r="C29" s="157">
        <v>20533330</v>
      </c>
      <c r="D29" s="157">
        <v>21550046</v>
      </c>
      <c r="E29" s="157">
        <f>+D29-C29</f>
        <v>1016716</v>
      </c>
      <c r="F29" s="161">
        <f>IF(C29=0,0,E29/C29)</f>
        <v>4.9515397648603514E-2</v>
      </c>
    </row>
    <row r="30" spans="1:6" ht="15.75" customHeight="1" x14ac:dyDescent="0.25">
      <c r="A30" s="147"/>
      <c r="B30" s="162" t="s">
        <v>169</v>
      </c>
      <c r="C30" s="158">
        <f>SUM(C27:C29)</f>
        <v>24116992</v>
      </c>
      <c r="D30" s="158">
        <f>SUM(D27:D29)</f>
        <v>25533440</v>
      </c>
      <c r="E30" s="158">
        <f>+D30-C30</f>
        <v>1416448</v>
      </c>
      <c r="F30" s="159">
        <f>IF(C30=0,0,E30/C30)</f>
        <v>5.873236596006666E-2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16752117</v>
      </c>
      <c r="D33" s="157">
        <v>16121782</v>
      </c>
      <c r="E33" s="157">
        <f>+D33-C33</f>
        <v>-630335</v>
      </c>
      <c r="F33" s="161">
        <f>IF(C33=0,0,E33/C33)</f>
        <v>-3.7627184671644782E-2</v>
      </c>
    </row>
    <row r="34" spans="1:6" ht="15" customHeight="1" x14ac:dyDescent="0.2">
      <c r="A34" s="147">
        <v>2</v>
      </c>
      <c r="B34" s="160" t="s">
        <v>173</v>
      </c>
      <c r="C34" s="157">
        <v>13202177</v>
      </c>
      <c r="D34" s="157">
        <v>15413511</v>
      </c>
      <c r="E34" s="157">
        <f>+D34-C34</f>
        <v>2211334</v>
      </c>
      <c r="F34" s="161">
        <f>IF(C34=0,0,E34/C34)</f>
        <v>0.16749767860255169</v>
      </c>
    </row>
    <row r="35" spans="1:6" ht="15.75" customHeight="1" x14ac:dyDescent="0.25">
      <c r="A35" s="147"/>
      <c r="B35" s="162" t="s">
        <v>174</v>
      </c>
      <c r="C35" s="158">
        <f>SUM(C33:C34)</f>
        <v>29954294</v>
      </c>
      <c r="D35" s="158">
        <f>SUM(D33:D34)</f>
        <v>31535293</v>
      </c>
      <c r="E35" s="158">
        <f>+D35-C35</f>
        <v>1580999</v>
      </c>
      <c r="F35" s="159">
        <f>IF(C35=0,0,E35/C35)</f>
        <v>5.2780379333927881E-2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5867844</v>
      </c>
      <c r="D38" s="157">
        <v>6025688</v>
      </c>
      <c r="E38" s="157">
        <f>+D38-C38</f>
        <v>157844</v>
      </c>
      <c r="F38" s="161">
        <f>IF(C38=0,0,E38/C38)</f>
        <v>2.6899828966141567E-2</v>
      </c>
    </row>
    <row r="39" spans="1:6" ht="15" customHeight="1" x14ac:dyDescent="0.2">
      <c r="A39" s="147">
        <v>2</v>
      </c>
      <c r="B39" s="160" t="s">
        <v>178</v>
      </c>
      <c r="C39" s="157">
        <v>7016343</v>
      </c>
      <c r="D39" s="157">
        <v>7000825</v>
      </c>
      <c r="E39" s="157">
        <f>+D39-C39</f>
        <v>-15518</v>
      </c>
      <c r="F39" s="161">
        <f>IF(C39=0,0,E39/C39)</f>
        <v>-2.2116934705159082E-3</v>
      </c>
    </row>
    <row r="40" spans="1:6" ht="15" customHeight="1" x14ac:dyDescent="0.2">
      <c r="A40" s="147">
        <v>3</v>
      </c>
      <c r="B40" s="160" t="s">
        <v>179</v>
      </c>
      <c r="C40" s="157">
        <v>77743</v>
      </c>
      <c r="D40" s="157">
        <v>77743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12961930</v>
      </c>
      <c r="D41" s="158">
        <f>SUM(D38:D40)</f>
        <v>13104256</v>
      </c>
      <c r="E41" s="158">
        <f>+D41-C41</f>
        <v>142326</v>
      </c>
      <c r="F41" s="159">
        <f>IF(C41=0,0,E41/C41)</f>
        <v>1.0980309259500706E-2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6461499</v>
      </c>
      <c r="D44" s="157">
        <v>0</v>
      </c>
      <c r="E44" s="157">
        <f>+D44-C44</f>
        <v>-6461499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3996300</v>
      </c>
      <c r="D47" s="157">
        <v>3987276</v>
      </c>
      <c r="E47" s="157">
        <f>+D47-C47</f>
        <v>-9024</v>
      </c>
      <c r="F47" s="161">
        <f>IF(C47=0,0,E47/C47)</f>
        <v>-2.2580887320771716E-3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4164372</v>
      </c>
      <c r="D50" s="157">
        <v>2356019</v>
      </c>
      <c r="E50" s="157">
        <f>+D50-C50</f>
        <v>-1808353</v>
      </c>
      <c r="F50" s="161">
        <f>IF(C50=0,0,E50/C50)</f>
        <v>-0.43424386678231436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315000</v>
      </c>
      <c r="D53" s="157">
        <v>300000</v>
      </c>
      <c r="E53" s="157">
        <f t="shared" ref="E53:E59" si="0">+D53-C53</f>
        <v>-15000</v>
      </c>
      <c r="F53" s="161">
        <f t="shared" ref="F53:F59" si="1">IF(C53=0,0,E53/C53)</f>
        <v>-4.7619047619047616E-2</v>
      </c>
    </row>
    <row r="54" spans="1:6" ht="15" customHeight="1" x14ac:dyDescent="0.2">
      <c r="A54" s="147">
        <v>2</v>
      </c>
      <c r="B54" s="160" t="s">
        <v>189</v>
      </c>
      <c r="C54" s="157">
        <v>772701</v>
      </c>
      <c r="D54" s="157">
        <v>604961</v>
      </c>
      <c r="E54" s="157">
        <f t="shared" si="0"/>
        <v>-167740</v>
      </c>
      <c r="F54" s="161">
        <f t="shared" si="1"/>
        <v>-0.21708267492859462</v>
      </c>
    </row>
    <row r="55" spans="1:6" ht="15" customHeight="1" x14ac:dyDescent="0.2">
      <c r="A55" s="147">
        <v>3</v>
      </c>
      <c r="B55" s="160" t="s">
        <v>190</v>
      </c>
      <c r="C55" s="157">
        <v>28306</v>
      </c>
      <c r="D55" s="157">
        <v>148208</v>
      </c>
      <c r="E55" s="157">
        <f t="shared" si="0"/>
        <v>119902</v>
      </c>
      <c r="F55" s="161">
        <f t="shared" si="1"/>
        <v>4.235921712711086</v>
      </c>
    </row>
    <row r="56" spans="1:6" ht="15" customHeight="1" x14ac:dyDescent="0.2">
      <c r="A56" s="147">
        <v>4</v>
      </c>
      <c r="B56" s="160" t="s">
        <v>191</v>
      </c>
      <c r="C56" s="157">
        <v>1752386</v>
      </c>
      <c r="D56" s="157">
        <v>1874238</v>
      </c>
      <c r="E56" s="157">
        <f t="shared" si="0"/>
        <v>121852</v>
      </c>
      <c r="F56" s="161">
        <f t="shared" si="1"/>
        <v>6.9534908404883397E-2</v>
      </c>
    </row>
    <row r="57" spans="1:6" ht="15" customHeight="1" x14ac:dyDescent="0.2">
      <c r="A57" s="147">
        <v>5</v>
      </c>
      <c r="B57" s="160" t="s">
        <v>192</v>
      </c>
      <c r="C57" s="157">
        <v>380782</v>
      </c>
      <c r="D57" s="157">
        <v>395177</v>
      </c>
      <c r="E57" s="157">
        <f t="shared" si="0"/>
        <v>14395</v>
      </c>
      <c r="F57" s="161">
        <f t="shared" si="1"/>
        <v>3.7803782741831285E-2</v>
      </c>
    </row>
    <row r="58" spans="1:6" ht="15" customHeight="1" x14ac:dyDescent="0.2">
      <c r="A58" s="147">
        <v>6</v>
      </c>
      <c r="B58" s="160" t="s">
        <v>193</v>
      </c>
      <c r="C58" s="157">
        <v>16840</v>
      </c>
      <c r="D58" s="157">
        <v>17522</v>
      </c>
      <c r="E58" s="157">
        <f t="shared" si="0"/>
        <v>682</v>
      </c>
      <c r="F58" s="161">
        <f t="shared" si="1"/>
        <v>4.0498812351543942E-2</v>
      </c>
    </row>
    <row r="59" spans="1:6" ht="15.75" customHeight="1" x14ac:dyDescent="0.25">
      <c r="A59" s="147"/>
      <c r="B59" s="162" t="s">
        <v>194</v>
      </c>
      <c r="C59" s="158">
        <f>SUM(C53:C58)</f>
        <v>3266015</v>
      </c>
      <c r="D59" s="158">
        <f>SUM(D53:D58)</f>
        <v>3340106</v>
      </c>
      <c r="E59" s="158">
        <f t="shared" si="0"/>
        <v>74091</v>
      </c>
      <c r="F59" s="159">
        <f t="shared" si="1"/>
        <v>2.2685443881917261E-2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193289</v>
      </c>
      <c r="D62" s="157">
        <v>185417</v>
      </c>
      <c r="E62" s="157">
        <f t="shared" ref="E62:E90" si="2">+D62-C62</f>
        <v>-7872</v>
      </c>
      <c r="F62" s="161">
        <f t="shared" ref="F62:F90" si="3">IF(C62=0,0,E62/C62)</f>
        <v>-4.0726580405506779E-2</v>
      </c>
    </row>
    <row r="63" spans="1:6" ht="15" customHeight="1" x14ac:dyDescent="0.2">
      <c r="A63" s="147">
        <v>2</v>
      </c>
      <c r="B63" s="160" t="s">
        <v>198</v>
      </c>
      <c r="C63" s="157">
        <v>277401</v>
      </c>
      <c r="D63" s="157">
        <v>171712</v>
      </c>
      <c r="E63" s="157">
        <f t="shared" si="2"/>
        <v>-105689</v>
      </c>
      <c r="F63" s="161">
        <f t="shared" si="3"/>
        <v>-0.38099718458116588</v>
      </c>
    </row>
    <row r="64" spans="1:6" ht="15" customHeight="1" x14ac:dyDescent="0.2">
      <c r="A64" s="147">
        <v>3</v>
      </c>
      <c r="B64" s="160" t="s">
        <v>199</v>
      </c>
      <c r="C64" s="157">
        <v>2549360</v>
      </c>
      <c r="D64" s="157">
        <v>2083666</v>
      </c>
      <c r="E64" s="157">
        <f t="shared" si="2"/>
        <v>-465694</v>
      </c>
      <c r="F64" s="161">
        <f t="shared" si="3"/>
        <v>-0.18267094486459345</v>
      </c>
    </row>
    <row r="65" spans="1:6" ht="15" customHeight="1" x14ac:dyDescent="0.2">
      <c r="A65" s="147">
        <v>4</v>
      </c>
      <c r="B65" s="160" t="s">
        <v>200</v>
      </c>
      <c r="C65" s="157">
        <v>2406673</v>
      </c>
      <c r="D65" s="157">
        <v>486820</v>
      </c>
      <c r="E65" s="157">
        <f t="shared" si="2"/>
        <v>-1919853</v>
      </c>
      <c r="F65" s="161">
        <f t="shared" si="3"/>
        <v>-0.79772075392045372</v>
      </c>
    </row>
    <row r="66" spans="1:6" ht="15" customHeight="1" x14ac:dyDescent="0.2">
      <c r="A66" s="147">
        <v>5</v>
      </c>
      <c r="B66" s="160" t="s">
        <v>201</v>
      </c>
      <c r="C66" s="157">
        <v>874487</v>
      </c>
      <c r="D66" s="157">
        <v>832665</v>
      </c>
      <c r="E66" s="157">
        <f t="shared" si="2"/>
        <v>-41822</v>
      </c>
      <c r="F66" s="161">
        <f t="shared" si="3"/>
        <v>-4.7824610314390038E-2</v>
      </c>
    </row>
    <row r="67" spans="1:6" ht="15" customHeight="1" x14ac:dyDescent="0.2">
      <c r="A67" s="147">
        <v>6</v>
      </c>
      <c r="B67" s="160" t="s">
        <v>202</v>
      </c>
      <c r="C67" s="157">
        <v>2857322</v>
      </c>
      <c r="D67" s="157">
        <v>3071032</v>
      </c>
      <c r="E67" s="157">
        <f t="shared" si="2"/>
        <v>213710</v>
      </c>
      <c r="F67" s="161">
        <f t="shared" si="3"/>
        <v>7.4793810428086152E-2</v>
      </c>
    </row>
    <row r="68" spans="1:6" ht="15" customHeight="1" x14ac:dyDescent="0.2">
      <c r="A68" s="147">
        <v>7</v>
      </c>
      <c r="B68" s="160" t="s">
        <v>203</v>
      </c>
      <c r="C68" s="157">
        <v>3738811</v>
      </c>
      <c r="D68" s="157">
        <v>4774218</v>
      </c>
      <c r="E68" s="157">
        <f t="shared" si="2"/>
        <v>1035407</v>
      </c>
      <c r="F68" s="161">
        <f t="shared" si="3"/>
        <v>0.27693483302579347</v>
      </c>
    </row>
    <row r="69" spans="1:6" ht="15" customHeight="1" x14ac:dyDescent="0.2">
      <c r="A69" s="147">
        <v>8</v>
      </c>
      <c r="B69" s="160" t="s">
        <v>204</v>
      </c>
      <c r="C69" s="157">
        <v>315398</v>
      </c>
      <c r="D69" s="157">
        <v>321937</v>
      </c>
      <c r="E69" s="157">
        <f t="shared" si="2"/>
        <v>6539</v>
      </c>
      <c r="F69" s="161">
        <f t="shared" si="3"/>
        <v>2.0732534765597752E-2</v>
      </c>
    </row>
    <row r="70" spans="1:6" ht="15" customHeight="1" x14ac:dyDescent="0.2">
      <c r="A70" s="147">
        <v>9</v>
      </c>
      <c r="B70" s="160" t="s">
        <v>205</v>
      </c>
      <c r="C70" s="157">
        <v>82668</v>
      </c>
      <c r="D70" s="157">
        <v>91772</v>
      </c>
      <c r="E70" s="157">
        <f t="shared" si="2"/>
        <v>9104</v>
      </c>
      <c r="F70" s="161">
        <f t="shared" si="3"/>
        <v>0.11012725601199981</v>
      </c>
    </row>
    <row r="71" spans="1:6" ht="15" customHeight="1" x14ac:dyDescent="0.2">
      <c r="A71" s="147">
        <v>10</v>
      </c>
      <c r="B71" s="160" t="s">
        <v>206</v>
      </c>
      <c r="C71" s="157">
        <v>163201</v>
      </c>
      <c r="D71" s="157">
        <v>29571</v>
      </c>
      <c r="E71" s="157">
        <f t="shared" si="2"/>
        <v>-133630</v>
      </c>
      <c r="F71" s="161">
        <f t="shared" si="3"/>
        <v>-0.81880625731459977</v>
      </c>
    </row>
    <row r="72" spans="1:6" ht="15" customHeight="1" x14ac:dyDescent="0.2">
      <c r="A72" s="147">
        <v>11</v>
      </c>
      <c r="B72" s="160" t="s">
        <v>207</v>
      </c>
      <c r="C72" s="157">
        <v>126122</v>
      </c>
      <c r="D72" s="157">
        <v>141109</v>
      </c>
      <c r="E72" s="157">
        <f t="shared" si="2"/>
        <v>14987</v>
      </c>
      <c r="F72" s="161">
        <f t="shared" si="3"/>
        <v>0.11882938741853126</v>
      </c>
    </row>
    <row r="73" spans="1:6" ht="15" customHeight="1" x14ac:dyDescent="0.2">
      <c r="A73" s="147">
        <v>12</v>
      </c>
      <c r="B73" s="160" t="s">
        <v>208</v>
      </c>
      <c r="C73" s="157">
        <v>1241148</v>
      </c>
      <c r="D73" s="157">
        <v>2434462</v>
      </c>
      <c r="E73" s="157">
        <f t="shared" si="2"/>
        <v>1193314</v>
      </c>
      <c r="F73" s="161">
        <f t="shared" si="3"/>
        <v>0.96145987424545665</v>
      </c>
    </row>
    <row r="74" spans="1:6" ht="15" customHeight="1" x14ac:dyDescent="0.2">
      <c r="A74" s="147">
        <v>13</v>
      </c>
      <c r="B74" s="160" t="s">
        <v>209</v>
      </c>
      <c r="C74" s="157">
        <v>147972</v>
      </c>
      <c r="D74" s="157">
        <v>100962</v>
      </c>
      <c r="E74" s="157">
        <f t="shared" si="2"/>
        <v>-47010</v>
      </c>
      <c r="F74" s="161">
        <f t="shared" si="3"/>
        <v>-0.3176952396399319</v>
      </c>
    </row>
    <row r="75" spans="1:6" ht="15" customHeight="1" x14ac:dyDescent="0.2">
      <c r="A75" s="147">
        <v>14</v>
      </c>
      <c r="B75" s="160" t="s">
        <v>210</v>
      </c>
      <c r="C75" s="157">
        <v>124565</v>
      </c>
      <c r="D75" s="157">
        <v>163065</v>
      </c>
      <c r="E75" s="157">
        <f t="shared" si="2"/>
        <v>38500</v>
      </c>
      <c r="F75" s="161">
        <f t="shared" si="3"/>
        <v>0.30907558302894073</v>
      </c>
    </row>
    <row r="76" spans="1:6" ht="15" customHeight="1" x14ac:dyDescent="0.2">
      <c r="A76" s="147">
        <v>15</v>
      </c>
      <c r="B76" s="160" t="s">
        <v>211</v>
      </c>
      <c r="C76" s="157">
        <v>813002</v>
      </c>
      <c r="D76" s="157">
        <v>712202</v>
      </c>
      <c r="E76" s="157">
        <f t="shared" si="2"/>
        <v>-100800</v>
      </c>
      <c r="F76" s="161">
        <f t="shared" si="3"/>
        <v>-0.12398493484640874</v>
      </c>
    </row>
    <row r="77" spans="1:6" ht="15" customHeight="1" x14ac:dyDescent="0.2">
      <c r="A77" s="147">
        <v>16</v>
      </c>
      <c r="B77" s="160" t="s">
        <v>212</v>
      </c>
      <c r="C77" s="157">
        <v>1895892</v>
      </c>
      <c r="D77" s="157">
        <v>3179898</v>
      </c>
      <c r="E77" s="157">
        <f t="shared" si="2"/>
        <v>1284006</v>
      </c>
      <c r="F77" s="161">
        <f t="shared" si="3"/>
        <v>0.67725693235690643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1101157</v>
      </c>
      <c r="D80" s="157">
        <v>1092054</v>
      </c>
      <c r="E80" s="157">
        <f t="shared" si="2"/>
        <v>-9103</v>
      </c>
      <c r="F80" s="161">
        <f t="shared" si="3"/>
        <v>-8.2667594175944038E-3</v>
      </c>
    </row>
    <row r="81" spans="1:6" ht="15" customHeight="1" x14ac:dyDescent="0.2">
      <c r="A81" s="147">
        <v>20</v>
      </c>
      <c r="B81" s="160" t="s">
        <v>216</v>
      </c>
      <c r="C81" s="157">
        <v>919352</v>
      </c>
      <c r="D81" s="157">
        <v>990532</v>
      </c>
      <c r="E81" s="157">
        <f t="shared" si="2"/>
        <v>71180</v>
      </c>
      <c r="F81" s="161">
        <f t="shared" si="3"/>
        <v>7.7424098713006553E-2</v>
      </c>
    </row>
    <row r="82" spans="1:6" ht="15" customHeight="1" x14ac:dyDescent="0.2">
      <c r="A82" s="147">
        <v>21</v>
      </c>
      <c r="B82" s="160" t="s">
        <v>217</v>
      </c>
      <c r="C82" s="157">
        <v>767609</v>
      </c>
      <c r="D82" s="157">
        <v>320756</v>
      </c>
      <c r="E82" s="157">
        <f t="shared" si="2"/>
        <v>-446853</v>
      </c>
      <c r="F82" s="161">
        <f t="shared" si="3"/>
        <v>-0.58213621778796232</v>
      </c>
    </row>
    <row r="83" spans="1:6" ht="15" customHeight="1" x14ac:dyDescent="0.2">
      <c r="A83" s="147">
        <v>22</v>
      </c>
      <c r="B83" s="160" t="s">
        <v>218</v>
      </c>
      <c r="C83" s="157">
        <v>762984</v>
      </c>
      <c r="D83" s="157">
        <v>763130</v>
      </c>
      <c r="E83" s="157">
        <f t="shared" si="2"/>
        <v>146</v>
      </c>
      <c r="F83" s="161">
        <f t="shared" si="3"/>
        <v>1.9135394713388484E-4</v>
      </c>
    </row>
    <row r="84" spans="1:6" ht="15" customHeight="1" x14ac:dyDescent="0.2">
      <c r="A84" s="147">
        <v>23</v>
      </c>
      <c r="B84" s="160" t="s">
        <v>219</v>
      </c>
      <c r="C84" s="157">
        <v>652045</v>
      </c>
      <c r="D84" s="157">
        <v>594827</v>
      </c>
      <c r="E84" s="157">
        <f t="shared" si="2"/>
        <v>-57218</v>
      </c>
      <c r="F84" s="161">
        <f t="shared" si="3"/>
        <v>-8.7751612235351856E-2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144384</v>
      </c>
      <c r="D86" s="157">
        <v>154221</v>
      </c>
      <c r="E86" s="157">
        <f t="shared" si="2"/>
        <v>9837</v>
      </c>
      <c r="F86" s="161">
        <f t="shared" si="3"/>
        <v>6.8130817819148939E-2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10202338</v>
      </c>
      <c r="D89" s="157">
        <v>10060133</v>
      </c>
      <c r="E89" s="157">
        <f t="shared" si="2"/>
        <v>-142205</v>
      </c>
      <c r="F89" s="161">
        <f t="shared" si="3"/>
        <v>-1.3938471750298805E-2</v>
      </c>
    </row>
    <row r="90" spans="1:6" ht="15.75" customHeight="1" x14ac:dyDescent="0.25">
      <c r="A90" s="147"/>
      <c r="B90" s="162" t="s">
        <v>225</v>
      </c>
      <c r="C90" s="158">
        <f>SUM(C62:C89)</f>
        <v>32357180</v>
      </c>
      <c r="D90" s="158">
        <f>SUM(D62:D89)</f>
        <v>32756161</v>
      </c>
      <c r="E90" s="158">
        <f t="shared" si="2"/>
        <v>398981</v>
      </c>
      <c r="F90" s="159">
        <f t="shared" si="3"/>
        <v>1.2330524477102145E-2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221306295</v>
      </c>
      <c r="D95" s="158">
        <f>+D93+D90+D59+D50+D47+D44+D41+D35+D30+D24+D18</f>
        <v>210520148</v>
      </c>
      <c r="E95" s="158">
        <f>+D95-C95</f>
        <v>-10786147</v>
      </c>
      <c r="F95" s="159">
        <f>IF(C95=0,0,E95/C95)</f>
        <v>-4.8738545824012824E-2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56124474</v>
      </c>
      <c r="D103" s="157">
        <v>58902500</v>
      </c>
      <c r="E103" s="157">
        <f t="shared" ref="E103:E121" si="4">D103-C103</f>
        <v>2778026</v>
      </c>
      <c r="F103" s="161">
        <f t="shared" ref="F103:F121" si="5">IF(C103=0,0,E103/C103)</f>
        <v>4.9497586382724938E-2</v>
      </c>
    </row>
    <row r="104" spans="1:6" ht="15" customHeight="1" x14ac:dyDescent="0.2">
      <c r="A104" s="147">
        <v>2</v>
      </c>
      <c r="B104" s="169" t="s">
        <v>234</v>
      </c>
      <c r="C104" s="157">
        <v>2059849</v>
      </c>
      <c r="D104" s="157">
        <v>2059869</v>
      </c>
      <c r="E104" s="157">
        <f t="shared" si="4"/>
        <v>20</v>
      </c>
      <c r="F104" s="161">
        <f t="shared" si="5"/>
        <v>9.7094495761582529E-6</v>
      </c>
    </row>
    <row r="105" spans="1:6" ht="15" customHeight="1" x14ac:dyDescent="0.2">
      <c r="A105" s="147">
        <v>3</v>
      </c>
      <c r="B105" s="169" t="s">
        <v>235</v>
      </c>
      <c r="C105" s="157">
        <v>3824509</v>
      </c>
      <c r="D105" s="157">
        <v>4350292</v>
      </c>
      <c r="E105" s="157">
        <f t="shared" si="4"/>
        <v>525783</v>
      </c>
      <c r="F105" s="161">
        <f t="shared" si="5"/>
        <v>0.13747725525028179</v>
      </c>
    </row>
    <row r="106" spans="1:6" ht="15" customHeight="1" x14ac:dyDescent="0.2">
      <c r="A106" s="147">
        <v>4</v>
      </c>
      <c r="B106" s="169" t="s">
        <v>236</v>
      </c>
      <c r="C106" s="157">
        <v>1661010</v>
      </c>
      <c r="D106" s="157">
        <v>1711781</v>
      </c>
      <c r="E106" s="157">
        <f t="shared" si="4"/>
        <v>50771</v>
      </c>
      <c r="F106" s="161">
        <f t="shared" si="5"/>
        <v>3.0566342165309058E-2</v>
      </c>
    </row>
    <row r="107" spans="1:6" ht="15" customHeight="1" x14ac:dyDescent="0.2">
      <c r="A107" s="147">
        <v>5</v>
      </c>
      <c r="B107" s="169" t="s">
        <v>237</v>
      </c>
      <c r="C107" s="157">
        <v>5303858</v>
      </c>
      <c r="D107" s="157">
        <v>6012543</v>
      </c>
      <c r="E107" s="157">
        <f t="shared" si="4"/>
        <v>708685</v>
      </c>
      <c r="F107" s="161">
        <f t="shared" si="5"/>
        <v>0.13361688793327423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1027630</v>
      </c>
      <c r="D109" s="157">
        <v>1267566</v>
      </c>
      <c r="E109" s="157">
        <f t="shared" si="4"/>
        <v>239936</v>
      </c>
      <c r="F109" s="161">
        <f t="shared" si="5"/>
        <v>0.23348481457333864</v>
      </c>
    </row>
    <row r="110" spans="1:6" ht="15" customHeight="1" x14ac:dyDescent="0.2">
      <c r="A110" s="147">
        <v>8</v>
      </c>
      <c r="B110" s="169" t="s">
        <v>240</v>
      </c>
      <c r="C110" s="157">
        <v>1853009</v>
      </c>
      <c r="D110" s="157">
        <v>1730158</v>
      </c>
      <c r="E110" s="157">
        <f t="shared" si="4"/>
        <v>-122851</v>
      </c>
      <c r="F110" s="161">
        <f t="shared" si="5"/>
        <v>-6.6298112961135108E-2</v>
      </c>
    </row>
    <row r="111" spans="1:6" ht="15" customHeight="1" x14ac:dyDescent="0.2">
      <c r="A111" s="147">
        <v>9</v>
      </c>
      <c r="B111" s="169" t="s">
        <v>241</v>
      </c>
      <c r="C111" s="157">
        <v>951877</v>
      </c>
      <c r="D111" s="157">
        <v>980434</v>
      </c>
      <c r="E111" s="157">
        <f t="shared" si="4"/>
        <v>28557</v>
      </c>
      <c r="F111" s="161">
        <f t="shared" si="5"/>
        <v>3.0000724883572142E-2</v>
      </c>
    </row>
    <row r="112" spans="1:6" ht="15" customHeight="1" x14ac:dyDescent="0.2">
      <c r="A112" s="147">
        <v>10</v>
      </c>
      <c r="B112" s="169" t="s">
        <v>242</v>
      </c>
      <c r="C112" s="157">
        <v>3396188</v>
      </c>
      <c r="D112" s="157">
        <v>3389564</v>
      </c>
      <c r="E112" s="157">
        <f t="shared" si="4"/>
        <v>-6624</v>
      </c>
      <c r="F112" s="161">
        <f t="shared" si="5"/>
        <v>-1.9504220614406506E-3</v>
      </c>
    </row>
    <row r="113" spans="1:6" ht="15" customHeight="1" x14ac:dyDescent="0.2">
      <c r="A113" s="147">
        <v>11</v>
      </c>
      <c r="B113" s="169" t="s">
        <v>243</v>
      </c>
      <c r="C113" s="157">
        <v>3153217</v>
      </c>
      <c r="D113" s="157">
        <v>2500274</v>
      </c>
      <c r="E113" s="157">
        <f t="shared" si="4"/>
        <v>-652943</v>
      </c>
      <c r="F113" s="161">
        <f t="shared" si="5"/>
        <v>-0.20707201565892863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6163187</v>
      </c>
      <c r="D115" s="157">
        <v>6469654</v>
      </c>
      <c r="E115" s="157">
        <f t="shared" si="4"/>
        <v>306467</v>
      </c>
      <c r="F115" s="161">
        <f t="shared" si="5"/>
        <v>4.972540992184725E-2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0</v>
      </c>
      <c r="D118" s="157">
        <v>0</v>
      </c>
      <c r="E118" s="157">
        <f t="shared" si="4"/>
        <v>0</v>
      </c>
      <c r="F118" s="161">
        <f t="shared" si="5"/>
        <v>0</v>
      </c>
    </row>
    <row r="119" spans="1:6" ht="15" customHeight="1" x14ac:dyDescent="0.2">
      <c r="A119" s="147">
        <v>17</v>
      </c>
      <c r="B119" s="169" t="s">
        <v>248</v>
      </c>
      <c r="C119" s="157">
        <v>15027295</v>
      </c>
      <c r="D119" s="157">
        <v>17569388</v>
      </c>
      <c r="E119" s="157">
        <f t="shared" si="4"/>
        <v>2542093</v>
      </c>
      <c r="F119" s="161">
        <f t="shared" si="5"/>
        <v>0.16916504267734148</v>
      </c>
    </row>
    <row r="120" spans="1:6" ht="15" customHeight="1" x14ac:dyDescent="0.2">
      <c r="A120" s="147">
        <v>18</v>
      </c>
      <c r="B120" s="169" t="s">
        <v>249</v>
      </c>
      <c r="C120" s="157">
        <v>16958230</v>
      </c>
      <c r="D120" s="157">
        <v>0</v>
      </c>
      <c r="E120" s="157">
        <f t="shared" si="4"/>
        <v>-16958230</v>
      </c>
      <c r="F120" s="161">
        <f t="shared" si="5"/>
        <v>-1</v>
      </c>
    </row>
    <row r="121" spans="1:6" ht="15.75" customHeight="1" x14ac:dyDescent="0.25">
      <c r="A121" s="147"/>
      <c r="B121" s="165" t="s">
        <v>250</v>
      </c>
      <c r="C121" s="158">
        <f>SUM(C103:C120)</f>
        <v>117504333</v>
      </c>
      <c r="D121" s="158">
        <f>SUM(D103:D120)</f>
        <v>106944023</v>
      </c>
      <c r="E121" s="158">
        <f t="shared" si="4"/>
        <v>-10560310</v>
      </c>
      <c r="F121" s="159">
        <f t="shared" si="5"/>
        <v>-8.9871664562361286E-2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1112264</v>
      </c>
      <c r="D124" s="157">
        <v>1047804</v>
      </c>
      <c r="E124" s="157">
        <f t="shared" ref="E124:E130" si="6">D124-C124</f>
        <v>-64460</v>
      </c>
      <c r="F124" s="161">
        <f t="shared" ref="F124:F130" si="7">IF(C124=0,0,E124/C124)</f>
        <v>-5.795386706753073E-2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1755182</v>
      </c>
      <c r="D126" s="157">
        <v>1846633</v>
      </c>
      <c r="E126" s="157">
        <f t="shared" si="6"/>
        <v>91451</v>
      </c>
      <c r="F126" s="161">
        <f t="shared" si="7"/>
        <v>5.2103428590311432E-2</v>
      </c>
    </row>
    <row r="127" spans="1:6" ht="15" customHeight="1" x14ac:dyDescent="0.2">
      <c r="A127" s="147">
        <v>4</v>
      </c>
      <c r="B127" s="169" t="s">
        <v>255</v>
      </c>
      <c r="C127" s="157">
        <v>2448511</v>
      </c>
      <c r="D127" s="157">
        <v>2207906</v>
      </c>
      <c r="E127" s="157">
        <f t="shared" si="6"/>
        <v>-240605</v>
      </c>
      <c r="F127" s="161">
        <f t="shared" si="7"/>
        <v>-9.8265844017037293E-2</v>
      </c>
    </row>
    <row r="128" spans="1:6" ht="15" customHeight="1" x14ac:dyDescent="0.2">
      <c r="A128" s="147">
        <v>5</v>
      </c>
      <c r="B128" s="169" t="s">
        <v>256</v>
      </c>
      <c r="C128" s="157">
        <v>1649599</v>
      </c>
      <c r="D128" s="157">
        <v>1626449</v>
      </c>
      <c r="E128" s="157">
        <f t="shared" si="6"/>
        <v>-23150</v>
      </c>
      <c r="F128" s="161">
        <f t="shared" si="7"/>
        <v>-1.403371364798354E-2</v>
      </c>
    </row>
    <row r="129" spans="1:6" ht="15" customHeight="1" x14ac:dyDescent="0.2">
      <c r="A129" s="147">
        <v>6</v>
      </c>
      <c r="B129" s="169" t="s">
        <v>257</v>
      </c>
      <c r="C129" s="157">
        <v>4674081</v>
      </c>
      <c r="D129" s="157">
        <v>4835268</v>
      </c>
      <c r="E129" s="157">
        <f t="shared" si="6"/>
        <v>161187</v>
      </c>
      <c r="F129" s="161">
        <f t="shared" si="7"/>
        <v>3.4485281705644383E-2</v>
      </c>
    </row>
    <row r="130" spans="1:6" ht="15.75" customHeight="1" x14ac:dyDescent="0.25">
      <c r="A130" s="147"/>
      <c r="B130" s="165" t="s">
        <v>258</v>
      </c>
      <c r="C130" s="158">
        <f>SUM(C124:C129)</f>
        <v>11639637</v>
      </c>
      <c r="D130" s="158">
        <f>SUM(D124:D129)</f>
        <v>11564060</v>
      </c>
      <c r="E130" s="158">
        <f t="shared" si="6"/>
        <v>-75577</v>
      </c>
      <c r="F130" s="159">
        <f t="shared" si="7"/>
        <v>-6.4930719059365857E-3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18016268</v>
      </c>
      <c r="D133" s="157">
        <v>17749198</v>
      </c>
      <c r="E133" s="157">
        <f t="shared" ref="E133:E167" si="8">D133-C133</f>
        <v>-267070</v>
      </c>
      <c r="F133" s="161">
        <f t="shared" ref="F133:F167" si="9">IF(C133=0,0,E133/C133)</f>
        <v>-1.4823824778805466E-2</v>
      </c>
    </row>
    <row r="134" spans="1:6" ht="15" customHeight="1" x14ac:dyDescent="0.2">
      <c r="A134" s="147">
        <v>2</v>
      </c>
      <c r="B134" s="169" t="s">
        <v>261</v>
      </c>
      <c r="C134" s="157">
        <v>2556264</v>
      </c>
      <c r="D134" s="157">
        <v>2490713</v>
      </c>
      <c r="E134" s="157">
        <f t="shared" si="8"/>
        <v>-65551</v>
      </c>
      <c r="F134" s="161">
        <f t="shared" si="9"/>
        <v>-2.5643282540457481E-2</v>
      </c>
    </row>
    <row r="135" spans="1:6" ht="15" customHeight="1" x14ac:dyDescent="0.2">
      <c r="A135" s="147">
        <v>3</v>
      </c>
      <c r="B135" s="169" t="s">
        <v>262</v>
      </c>
      <c r="C135" s="157">
        <v>396534</v>
      </c>
      <c r="D135" s="157">
        <v>390198</v>
      </c>
      <c r="E135" s="157">
        <f t="shared" si="8"/>
        <v>-6336</v>
      </c>
      <c r="F135" s="161">
        <f t="shared" si="9"/>
        <v>-1.597845329782566E-2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6803348</v>
      </c>
      <c r="D137" s="157">
        <v>6694816</v>
      </c>
      <c r="E137" s="157">
        <f t="shared" si="8"/>
        <v>-108532</v>
      </c>
      <c r="F137" s="161">
        <f t="shared" si="9"/>
        <v>-1.595273385985841E-2</v>
      </c>
    </row>
    <row r="138" spans="1:6" ht="15" customHeight="1" x14ac:dyDescent="0.2">
      <c r="A138" s="147">
        <v>6</v>
      </c>
      <c r="B138" s="169" t="s">
        <v>265</v>
      </c>
      <c r="C138" s="157">
        <v>1034908</v>
      </c>
      <c r="D138" s="157">
        <v>1062639</v>
      </c>
      <c r="E138" s="157">
        <f t="shared" si="8"/>
        <v>27731</v>
      </c>
      <c r="F138" s="161">
        <f t="shared" si="9"/>
        <v>2.6795618547735645E-2</v>
      </c>
    </row>
    <row r="139" spans="1:6" ht="15" customHeight="1" x14ac:dyDescent="0.2">
      <c r="A139" s="147">
        <v>7</v>
      </c>
      <c r="B139" s="169" t="s">
        <v>266</v>
      </c>
      <c r="C139" s="157">
        <v>3692533</v>
      </c>
      <c r="D139" s="157">
        <v>4244945</v>
      </c>
      <c r="E139" s="157">
        <f t="shared" si="8"/>
        <v>552412</v>
      </c>
      <c r="F139" s="161">
        <f t="shared" si="9"/>
        <v>0.14960245446689305</v>
      </c>
    </row>
    <row r="140" spans="1:6" ht="15" customHeight="1" x14ac:dyDescent="0.2">
      <c r="A140" s="147">
        <v>8</v>
      </c>
      <c r="B140" s="169" t="s">
        <v>267</v>
      </c>
      <c r="C140" s="157">
        <v>755676</v>
      </c>
      <c r="D140" s="157">
        <v>720845</v>
      </c>
      <c r="E140" s="157">
        <f t="shared" si="8"/>
        <v>-34831</v>
      </c>
      <c r="F140" s="161">
        <f t="shared" si="9"/>
        <v>-4.6092505253574285E-2</v>
      </c>
    </row>
    <row r="141" spans="1:6" ht="15" customHeight="1" x14ac:dyDescent="0.2">
      <c r="A141" s="147">
        <v>9</v>
      </c>
      <c r="B141" s="169" t="s">
        <v>268</v>
      </c>
      <c r="C141" s="157">
        <v>1100163</v>
      </c>
      <c r="D141" s="157">
        <v>1103819</v>
      </c>
      <c r="E141" s="157">
        <f t="shared" si="8"/>
        <v>3656</v>
      </c>
      <c r="F141" s="161">
        <f t="shared" si="9"/>
        <v>3.3231439341261247E-3</v>
      </c>
    </row>
    <row r="142" spans="1:6" ht="15" customHeight="1" x14ac:dyDescent="0.2">
      <c r="A142" s="147">
        <v>10</v>
      </c>
      <c r="B142" s="169" t="s">
        <v>269</v>
      </c>
      <c r="C142" s="157">
        <v>7487753</v>
      </c>
      <c r="D142" s="157">
        <v>7684942</v>
      </c>
      <c r="E142" s="157">
        <f t="shared" si="8"/>
        <v>197189</v>
      </c>
      <c r="F142" s="161">
        <f t="shared" si="9"/>
        <v>2.6334869753315848E-2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1094252</v>
      </c>
      <c r="D145" s="157">
        <v>1131801</v>
      </c>
      <c r="E145" s="157">
        <f t="shared" si="8"/>
        <v>37549</v>
      </c>
      <c r="F145" s="161">
        <f t="shared" si="9"/>
        <v>3.4314764789097944E-2</v>
      </c>
    </row>
    <row r="146" spans="1:6" ht="15" customHeight="1" x14ac:dyDescent="0.2">
      <c r="A146" s="147">
        <v>14</v>
      </c>
      <c r="B146" s="169" t="s">
        <v>273</v>
      </c>
      <c r="C146" s="157">
        <v>0</v>
      </c>
      <c r="D146" s="157">
        <v>0</v>
      </c>
      <c r="E146" s="157">
        <f t="shared" si="8"/>
        <v>0</v>
      </c>
      <c r="F146" s="161">
        <f t="shared" si="9"/>
        <v>0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1322920</v>
      </c>
      <c r="D150" s="157">
        <v>1249534</v>
      </c>
      <c r="E150" s="157">
        <f t="shared" si="8"/>
        <v>-73386</v>
      </c>
      <c r="F150" s="161">
        <f t="shared" si="9"/>
        <v>-5.5472742115925379E-2</v>
      </c>
    </row>
    <row r="151" spans="1:6" ht="15" customHeight="1" x14ac:dyDescent="0.2">
      <c r="A151" s="147">
        <v>19</v>
      </c>
      <c r="B151" s="169" t="s">
        <v>278</v>
      </c>
      <c r="C151" s="157">
        <v>109148</v>
      </c>
      <c r="D151" s="157">
        <v>90807</v>
      </c>
      <c r="E151" s="157">
        <f t="shared" si="8"/>
        <v>-18341</v>
      </c>
      <c r="F151" s="161">
        <f t="shared" si="9"/>
        <v>-0.16803789350240042</v>
      </c>
    </row>
    <row r="152" spans="1:6" ht="15" customHeight="1" x14ac:dyDescent="0.2">
      <c r="A152" s="147">
        <v>20</v>
      </c>
      <c r="B152" s="169" t="s">
        <v>279</v>
      </c>
      <c r="C152" s="157">
        <v>332509</v>
      </c>
      <c r="D152" s="157">
        <v>364203</v>
      </c>
      <c r="E152" s="157">
        <f t="shared" si="8"/>
        <v>31694</v>
      </c>
      <c r="F152" s="161">
        <f t="shared" si="9"/>
        <v>9.5317720723348848E-2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12691211</v>
      </c>
      <c r="D156" s="157">
        <v>12920123</v>
      </c>
      <c r="E156" s="157">
        <f t="shared" si="8"/>
        <v>228912</v>
      </c>
      <c r="F156" s="161">
        <f t="shared" si="9"/>
        <v>1.8037049419476203E-2</v>
      </c>
    </row>
    <row r="157" spans="1:6" ht="15" customHeight="1" x14ac:dyDescent="0.2">
      <c r="A157" s="147">
        <v>25</v>
      </c>
      <c r="B157" s="169" t="s">
        <v>284</v>
      </c>
      <c r="C157" s="157">
        <v>1515570</v>
      </c>
      <c r="D157" s="157">
        <v>1407343</v>
      </c>
      <c r="E157" s="157">
        <f t="shared" si="8"/>
        <v>-108227</v>
      </c>
      <c r="F157" s="161">
        <f t="shared" si="9"/>
        <v>-7.1410096531338049E-2</v>
      </c>
    </row>
    <row r="158" spans="1:6" ht="15" customHeight="1" x14ac:dyDescent="0.2">
      <c r="A158" s="147">
        <v>26</v>
      </c>
      <c r="B158" s="169" t="s">
        <v>285</v>
      </c>
      <c r="C158" s="157">
        <v>74222</v>
      </c>
      <c r="D158" s="157">
        <v>0</v>
      </c>
      <c r="E158" s="157">
        <f t="shared" si="8"/>
        <v>-74222</v>
      </c>
      <c r="F158" s="161">
        <f t="shared" si="9"/>
        <v>-1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138841</v>
      </c>
      <c r="E159" s="157">
        <f t="shared" si="8"/>
        <v>138841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2896891</v>
      </c>
      <c r="D160" s="157">
        <v>3128938</v>
      </c>
      <c r="E160" s="157">
        <f t="shared" si="8"/>
        <v>232047</v>
      </c>
      <c r="F160" s="161">
        <f t="shared" si="9"/>
        <v>8.0102081852579193E-2</v>
      </c>
    </row>
    <row r="161" spans="1:6" ht="15" customHeight="1" x14ac:dyDescent="0.2">
      <c r="A161" s="147">
        <v>29</v>
      </c>
      <c r="B161" s="169" t="s">
        <v>288</v>
      </c>
      <c r="C161" s="157">
        <v>905188</v>
      </c>
      <c r="D161" s="157">
        <v>967822</v>
      </c>
      <c r="E161" s="157">
        <f t="shared" si="8"/>
        <v>62634</v>
      </c>
      <c r="F161" s="161">
        <f t="shared" si="9"/>
        <v>6.9194465680057618E-2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177999</v>
      </c>
      <c r="D163" s="157">
        <v>148047</v>
      </c>
      <c r="E163" s="157">
        <f t="shared" si="8"/>
        <v>-29952</v>
      </c>
      <c r="F163" s="161">
        <f t="shared" si="9"/>
        <v>-0.16827060826184417</v>
      </c>
    </row>
    <row r="164" spans="1:6" ht="15" customHeight="1" x14ac:dyDescent="0.2">
      <c r="A164" s="147">
        <v>32</v>
      </c>
      <c r="B164" s="169" t="s">
        <v>291</v>
      </c>
      <c r="C164" s="157">
        <v>873582</v>
      </c>
      <c r="D164" s="157">
        <v>800049</v>
      </c>
      <c r="E164" s="157">
        <f t="shared" si="8"/>
        <v>-73533</v>
      </c>
      <c r="F164" s="161">
        <f t="shared" si="9"/>
        <v>-8.4174124466850284E-2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2230331</v>
      </c>
      <c r="D166" s="157">
        <v>2097175</v>
      </c>
      <c r="E166" s="157">
        <f t="shared" si="8"/>
        <v>-133156</v>
      </c>
      <c r="F166" s="161">
        <f t="shared" si="9"/>
        <v>-5.9702349113203379E-2</v>
      </c>
    </row>
    <row r="167" spans="1:6" ht="15.75" customHeight="1" x14ac:dyDescent="0.25">
      <c r="A167" s="147"/>
      <c r="B167" s="165" t="s">
        <v>294</v>
      </c>
      <c r="C167" s="158">
        <f>SUM(C133:C166)</f>
        <v>66067270</v>
      </c>
      <c r="D167" s="158">
        <f>SUM(D133:D166)</f>
        <v>66586798</v>
      </c>
      <c r="E167" s="158">
        <f t="shared" si="8"/>
        <v>519528</v>
      </c>
      <c r="F167" s="159">
        <f t="shared" si="9"/>
        <v>7.8636214270697124E-3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19212084</v>
      </c>
      <c r="D170" s="157">
        <v>18651936</v>
      </c>
      <c r="E170" s="157">
        <f t="shared" ref="E170:E183" si="10">D170-C170</f>
        <v>-560148</v>
      </c>
      <c r="F170" s="161">
        <f t="shared" ref="F170:F183" si="11">IF(C170=0,0,E170/C170)</f>
        <v>-2.9156024926811689E-2</v>
      </c>
    </row>
    <row r="171" spans="1:6" ht="15" customHeight="1" x14ac:dyDescent="0.2">
      <c r="A171" s="147">
        <v>2</v>
      </c>
      <c r="B171" s="169" t="s">
        <v>297</v>
      </c>
      <c r="C171" s="157">
        <v>0</v>
      </c>
      <c r="D171" s="157">
        <v>0</v>
      </c>
      <c r="E171" s="157">
        <f t="shared" si="10"/>
        <v>0</v>
      </c>
      <c r="F171" s="161">
        <f t="shared" si="11"/>
        <v>0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2076441</v>
      </c>
      <c r="D173" s="157">
        <v>1856551</v>
      </c>
      <c r="E173" s="157">
        <f t="shared" si="10"/>
        <v>-219890</v>
      </c>
      <c r="F173" s="161">
        <f t="shared" si="11"/>
        <v>-0.10589754295932319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4806530</v>
      </c>
      <c r="D175" s="157">
        <v>4916780</v>
      </c>
      <c r="E175" s="157">
        <f t="shared" si="10"/>
        <v>110250</v>
      </c>
      <c r="F175" s="161">
        <f t="shared" si="11"/>
        <v>2.2937545380971303E-2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26095055</v>
      </c>
      <c r="D183" s="158">
        <f>SUM(D170:D182)</f>
        <v>25425267</v>
      </c>
      <c r="E183" s="158">
        <f t="shared" si="10"/>
        <v>-669788</v>
      </c>
      <c r="F183" s="159">
        <f t="shared" si="11"/>
        <v>-2.5667238486372226E-2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221306295</v>
      </c>
      <c r="D188" s="158">
        <f>+D186+D183+D167+D130+D121</f>
        <v>210520148</v>
      </c>
      <c r="E188" s="158">
        <f>D188-C188</f>
        <v>-10786147</v>
      </c>
      <c r="F188" s="159">
        <f>IF(C188=0,0,E188/C188)</f>
        <v>-4.8738545824012824E-2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196755436</v>
      </c>
      <c r="D11" s="183">
        <v>218353748</v>
      </c>
      <c r="E11" s="76">
        <v>217746204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14584411</v>
      </c>
      <c r="D12" s="185">
        <v>27846850</v>
      </c>
      <c r="E12" s="185">
        <v>9116321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211339847</v>
      </c>
      <c r="D13" s="76">
        <f>+D11+D12</f>
        <v>246200598</v>
      </c>
      <c r="E13" s="76">
        <f>+E11+E12</f>
        <v>226862525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203675287</v>
      </c>
      <c r="D14" s="185">
        <v>221306295</v>
      </c>
      <c r="E14" s="185">
        <v>210520148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7664560</v>
      </c>
      <c r="D15" s="76">
        <f>+D13-D14</f>
        <v>24894303</v>
      </c>
      <c r="E15" s="76">
        <f>+E13-E14</f>
        <v>16342377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455490</v>
      </c>
      <c r="D16" s="185">
        <v>1222491</v>
      </c>
      <c r="E16" s="185">
        <v>4228077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8120050</v>
      </c>
      <c r="D17" s="76">
        <f>D15+D16</f>
        <v>26116794</v>
      </c>
      <c r="E17" s="76">
        <f>E15+E16</f>
        <v>20570454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3.618852099656944E-2</v>
      </c>
      <c r="D20" s="189">
        <f>IF(+D27=0,0,+D24/+D27)</f>
        <v>0.10061430847304635</v>
      </c>
      <c r="E20" s="189">
        <f>IF(+E27=0,0,+E24/+E27)</f>
        <v>7.0718483826529649E-2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2.1506139202677535E-3</v>
      </c>
      <c r="D21" s="189">
        <f>IF(D27=0,0,+D26/D27)</f>
        <v>4.9408929657328788E-3</v>
      </c>
      <c r="E21" s="189">
        <f>IF(E27=0,0,+E26/E27)</f>
        <v>1.8296187570622194E-2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3.8339134916837193E-2</v>
      </c>
      <c r="D22" s="189">
        <f>IF(D27=0,0,+D28/D27)</f>
        <v>0.10555520143877922</v>
      </c>
      <c r="E22" s="189">
        <f>IF(E27=0,0,+E28/E27)</f>
        <v>8.9014671397151843E-2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7664560</v>
      </c>
      <c r="D24" s="76">
        <f>+D15</f>
        <v>24894303</v>
      </c>
      <c r="E24" s="76">
        <f>+E15</f>
        <v>16342377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211339847</v>
      </c>
      <c r="D25" s="76">
        <f>+D13</f>
        <v>246200598</v>
      </c>
      <c r="E25" s="76">
        <f>+E13</f>
        <v>226862525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455490</v>
      </c>
      <c r="D26" s="76">
        <f>+D16</f>
        <v>1222491</v>
      </c>
      <c r="E26" s="76">
        <f>+E16</f>
        <v>4228077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211795337</v>
      </c>
      <c r="D27" s="76">
        <f>+D25+D26</f>
        <v>247423089</v>
      </c>
      <c r="E27" s="76">
        <f>+E25+E26</f>
        <v>231090602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8120050</v>
      </c>
      <c r="D28" s="76">
        <f>+D17</f>
        <v>26116794</v>
      </c>
      <c r="E28" s="76">
        <f>+E17</f>
        <v>20570454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52820335</v>
      </c>
      <c r="D31" s="76">
        <v>73637750</v>
      </c>
      <c r="E31" s="76">
        <v>96806371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67247606</v>
      </c>
      <c r="D32" s="76">
        <v>89918628</v>
      </c>
      <c r="E32" s="76">
        <v>113586026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-6496401</v>
      </c>
      <c r="D33" s="76">
        <f>+D32-C32</f>
        <v>22671022</v>
      </c>
      <c r="E33" s="76">
        <f>+E32-D32</f>
        <v>23667398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0.91190000000000004</v>
      </c>
      <c r="D34" s="193">
        <f>IF(C32=0,0,+D33/C32)</f>
        <v>0.33712757001342175</v>
      </c>
      <c r="E34" s="193">
        <f>IF(D32=0,0,+E33/D32)</f>
        <v>0.26320906497817115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0.46501169600655551</v>
      </c>
      <c r="D38" s="195">
        <f>IF((D40+D41)=0,0,+D39/(D40+D41))</f>
        <v>0.43635936137167514</v>
      </c>
      <c r="E38" s="195">
        <f>IF((E40+E41)=0,0,+E39/(E40+E41))</f>
        <v>0.40944165013162076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203675287</v>
      </c>
      <c r="D39" s="76">
        <v>221306295</v>
      </c>
      <c r="E39" s="196">
        <v>210520148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423415942</v>
      </c>
      <c r="D40" s="76">
        <v>479645635</v>
      </c>
      <c r="E40" s="196">
        <v>505047658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14584411</v>
      </c>
      <c r="D41" s="76">
        <v>27519593</v>
      </c>
      <c r="E41" s="196">
        <v>9116321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1.4666739463387963</v>
      </c>
      <c r="D43" s="197">
        <f>IF(D38=0,0,IF((D46-D47)=0,0,((+D44-D45)/(D46-D47)/D38)))</f>
        <v>1.5647147224307691</v>
      </c>
      <c r="E43" s="197">
        <f>IF(E38=0,0,IF((E46-E47)=0,0,((+E44-E45)/(E46-E47)/E38)))</f>
        <v>1.7234503824196221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101704474</v>
      </c>
      <c r="D44" s="76">
        <v>114144204</v>
      </c>
      <c r="E44" s="196">
        <v>118317341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823172</v>
      </c>
      <c r="D45" s="76">
        <v>1185069</v>
      </c>
      <c r="E45" s="196">
        <v>3103407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158613621</v>
      </c>
      <c r="D46" s="76">
        <v>176670460</v>
      </c>
      <c r="E46" s="196">
        <v>175772877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10698278</v>
      </c>
      <c r="D47" s="76">
        <v>11229938</v>
      </c>
      <c r="E47" s="76">
        <v>12499941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0.78960634313301048</v>
      </c>
      <c r="D49" s="198">
        <f>IF(D38=0,0,IF(D51=0,0,(D50/D51)/D38))</f>
        <v>0.83774352500687743</v>
      </c>
      <c r="E49" s="198">
        <f>IF(E38=0,0,IF(E51=0,0,(E50/E51)/E38))</f>
        <v>0.83724600399898852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70035314</v>
      </c>
      <c r="D50" s="199">
        <v>77225155</v>
      </c>
      <c r="E50" s="199">
        <v>77840664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190740350</v>
      </c>
      <c r="D51" s="199">
        <v>211253256</v>
      </c>
      <c r="E51" s="199">
        <v>227070873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0.62342515249641528</v>
      </c>
      <c r="D53" s="198">
        <f>IF(D38=0,0,IF(D55=0,0,(D54/D55)/D38))</f>
        <v>0.64570689004722315</v>
      </c>
      <c r="E53" s="198">
        <f>IF(E38=0,0,IF(E55=0,0,(E54/E55)/E38))</f>
        <v>0.68699589140864115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20754012</v>
      </c>
      <c r="D54" s="199">
        <v>25550883</v>
      </c>
      <c r="E54" s="199">
        <v>28414839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71590248</v>
      </c>
      <c r="D55" s="199">
        <v>90683066</v>
      </c>
      <c r="E55" s="199">
        <v>101018064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5068840.4618282262</v>
      </c>
      <c r="D57" s="88">
        <f>+D60*D38</f>
        <v>4666904.8240093961</v>
      </c>
      <c r="E57" s="88">
        <f>+E60*E38</f>
        <v>3847332.3864778788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3025038</v>
      </c>
      <c r="D58" s="199">
        <v>4233596</v>
      </c>
      <c r="E58" s="199">
        <v>7131143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7875420</v>
      </c>
      <c r="D59" s="199">
        <v>6461499</v>
      </c>
      <c r="E59" s="199">
        <v>2265391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10900458</v>
      </c>
      <c r="D60" s="76">
        <v>10695095</v>
      </c>
      <c r="E60" s="201">
        <v>9396534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2.488687035373234E-2</v>
      </c>
      <c r="D62" s="202">
        <f>IF(D63=0,0,+D57/D63)</f>
        <v>2.1087989494421731E-2</v>
      </c>
      <c r="E62" s="202">
        <f>IF(E63=0,0,+E57/E63)</f>
        <v>1.8275364249116331E-2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203675287</v>
      </c>
      <c r="D63" s="199">
        <v>221306295</v>
      </c>
      <c r="E63" s="199">
        <v>210520148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1.9263855815481046</v>
      </c>
      <c r="D67" s="203">
        <f>IF(D69=0,0,D68/D69)</f>
        <v>3.078436386549638</v>
      </c>
      <c r="E67" s="203">
        <f>IF(E69=0,0,E68/E69)</f>
        <v>2.4084327948282627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48912681</v>
      </c>
      <c r="D68" s="204">
        <v>91144165</v>
      </c>
      <c r="E68" s="204">
        <v>73423487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25390909</v>
      </c>
      <c r="D69" s="204">
        <v>29607292</v>
      </c>
      <c r="E69" s="204">
        <v>30486002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37.033572883971878</v>
      </c>
      <c r="D71" s="203">
        <f>IF((D77/365)=0,0,+D74/(D77/365))</f>
        <v>80.793611600678517</v>
      </c>
      <c r="E71" s="203">
        <f>IF((E77/365)=0,0,+E74/(E77/365))</f>
        <v>50.213029177002625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19361929</v>
      </c>
      <c r="D72" s="183">
        <v>46117517</v>
      </c>
      <c r="E72" s="183">
        <v>27158493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19361929</v>
      </c>
      <c r="D74" s="204">
        <f>+D72+D73</f>
        <v>46117517</v>
      </c>
      <c r="E74" s="204">
        <f>+E72+E73</f>
        <v>27158493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203675287</v>
      </c>
      <c r="D75" s="204">
        <f>+D14</f>
        <v>221306295</v>
      </c>
      <c r="E75" s="204">
        <f>+E14</f>
        <v>210520148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12845628</v>
      </c>
      <c r="D76" s="204">
        <v>12961930</v>
      </c>
      <c r="E76" s="204">
        <v>13104256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190829659</v>
      </c>
      <c r="D77" s="204">
        <f>+D75-D76</f>
        <v>208344365</v>
      </c>
      <c r="E77" s="204">
        <f>+E75-E76</f>
        <v>197415892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40.582656430392099</v>
      </c>
      <c r="D79" s="203">
        <f>IF((D84/365)=0,0,+D83/(D84/365))</f>
        <v>36.081846394502925</v>
      </c>
      <c r="E79" s="203">
        <f>IF((E84/365)=0,0,+E83/(E84/365))</f>
        <v>49.089160149032956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23676854</v>
      </c>
      <c r="D80" s="212">
        <v>25147640</v>
      </c>
      <c r="E80" s="212">
        <v>27767137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1517735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1800530</v>
      </c>
      <c r="D82" s="212">
        <v>3562417</v>
      </c>
      <c r="E82" s="212">
        <v>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21876324</v>
      </c>
      <c r="D83" s="212">
        <f>+D80+D81-D82</f>
        <v>21585223</v>
      </c>
      <c r="E83" s="212">
        <f>+E80+E81-E82</f>
        <v>29284872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196755436</v>
      </c>
      <c r="D84" s="204">
        <f>+D11</f>
        <v>218353748</v>
      </c>
      <c r="E84" s="204">
        <f>+E11</f>
        <v>217746204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48.565206444140848</v>
      </c>
      <c r="D86" s="203">
        <f>IF((D90/365)=0,0,+D87/(D90/365))</f>
        <v>51.869229004585748</v>
      </c>
      <c r="E86" s="203">
        <f>IF((E90/365)=0,0,+E87/(E90/365))</f>
        <v>56.365222765348591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25390909</v>
      </c>
      <c r="D87" s="76">
        <f>+D69</f>
        <v>29607292</v>
      </c>
      <c r="E87" s="76">
        <f>+E69</f>
        <v>30486002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203675287</v>
      </c>
      <c r="D88" s="76">
        <f t="shared" si="0"/>
        <v>221306295</v>
      </c>
      <c r="E88" s="76">
        <f t="shared" si="0"/>
        <v>210520148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12845628</v>
      </c>
      <c r="D89" s="201">
        <f t="shared" si="0"/>
        <v>12961930</v>
      </c>
      <c r="E89" s="201">
        <f t="shared" si="0"/>
        <v>13104256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190829659</v>
      </c>
      <c r="D90" s="76">
        <f>+D88-D89</f>
        <v>208344365</v>
      </c>
      <c r="E90" s="76">
        <f>+E88-E89</f>
        <v>197415892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27.892461421693493</v>
      </c>
      <c r="D94" s="214">
        <f>IF(D96=0,0,(D95/D96)*100)</f>
        <v>30.855165045396081</v>
      </c>
      <c r="E94" s="214">
        <f>IF(E96=0,0,(E95/E96)*100)</f>
        <v>41.590647508775675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67247606</v>
      </c>
      <c r="D95" s="76">
        <f>+D32</f>
        <v>89918628</v>
      </c>
      <c r="E95" s="76">
        <f>+E32</f>
        <v>113586026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241095990</v>
      </c>
      <c r="D96" s="76">
        <v>291421640</v>
      </c>
      <c r="E96" s="76">
        <v>273104731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18.367494512620166</v>
      </c>
      <c r="D98" s="214">
        <f>IF(D104=0,0,(D101/D104)*100)</f>
        <v>33.02280210210688</v>
      </c>
      <c r="E98" s="214">
        <f>IF(E104=0,0,(E101/E104)*100)</f>
        <v>28.467398279889881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8120050</v>
      </c>
      <c r="D99" s="76">
        <f>+D28</f>
        <v>26116794</v>
      </c>
      <c r="E99" s="76">
        <f>+E28</f>
        <v>20570454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12845628</v>
      </c>
      <c r="D100" s="201">
        <f>+D76</f>
        <v>12961930</v>
      </c>
      <c r="E100" s="201">
        <f>+E76</f>
        <v>13104256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20965678</v>
      </c>
      <c r="D101" s="76">
        <f>+D99+D100</f>
        <v>39078724</v>
      </c>
      <c r="E101" s="76">
        <f>+E99+E100</f>
        <v>33674710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25390909</v>
      </c>
      <c r="D102" s="204">
        <f>+D69</f>
        <v>29607292</v>
      </c>
      <c r="E102" s="204">
        <f>+E69</f>
        <v>30486002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88754643</v>
      </c>
      <c r="D103" s="216">
        <v>88731315</v>
      </c>
      <c r="E103" s="216">
        <v>87806192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114145552</v>
      </c>
      <c r="D104" s="204">
        <f>+D102+D103</f>
        <v>118338607</v>
      </c>
      <c r="E104" s="204">
        <f>+E102+E103</f>
        <v>118292194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56.893181713040562</v>
      </c>
      <c r="D106" s="214">
        <f>IF(D109=0,0,(D107/D109)*100)</f>
        <v>49.667698466604044</v>
      </c>
      <c r="E106" s="214">
        <f>IF(E109=0,0,(E107/E109)*100)</f>
        <v>43.599595293200451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88754643</v>
      </c>
      <c r="D107" s="204">
        <f>+D103</f>
        <v>88731315</v>
      </c>
      <c r="E107" s="204">
        <f>+E103</f>
        <v>87806192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67247606</v>
      </c>
      <c r="D108" s="204">
        <f>+D32</f>
        <v>89918628</v>
      </c>
      <c r="E108" s="204">
        <f>+E32</f>
        <v>113586026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156002249</v>
      </c>
      <c r="D109" s="204">
        <f>+D107+D108</f>
        <v>178649943</v>
      </c>
      <c r="E109" s="204">
        <f>+E107+E108</f>
        <v>201392218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0.27236514162166858</v>
      </c>
      <c r="D111" s="214">
        <f>IF((+D113+D115)=0,0,((+D112+D113+D114)/(+D113+D115)))</f>
        <v>10.716171745246077</v>
      </c>
      <c r="E111" s="214">
        <f>IF((+E113+E115)=0,0,((+E112+E113+E114)/(+E113+E115)))</f>
        <v>8.876637972707309</v>
      </c>
    </row>
    <row r="112" spans="1:6" ht="24" customHeight="1" x14ac:dyDescent="0.2">
      <c r="A112" s="85">
        <v>16</v>
      </c>
      <c r="B112" s="75" t="s">
        <v>373</v>
      </c>
      <c r="C112" s="218">
        <f>+C17</f>
        <v>8120050</v>
      </c>
      <c r="D112" s="76">
        <f>+D17</f>
        <v>26116794</v>
      </c>
      <c r="E112" s="76">
        <f>+E17</f>
        <v>20570454</v>
      </c>
    </row>
    <row r="113" spans="1:8" ht="24" customHeight="1" x14ac:dyDescent="0.2">
      <c r="A113" s="85">
        <v>17</v>
      </c>
      <c r="B113" s="75" t="s">
        <v>88</v>
      </c>
      <c r="C113" s="218">
        <v>2222925</v>
      </c>
      <c r="D113" s="76">
        <v>3996300</v>
      </c>
      <c r="E113" s="76">
        <v>3987276</v>
      </c>
    </row>
    <row r="114" spans="1:8" ht="24" customHeight="1" x14ac:dyDescent="0.2">
      <c r="A114" s="85">
        <v>18</v>
      </c>
      <c r="B114" s="75" t="s">
        <v>374</v>
      </c>
      <c r="C114" s="218">
        <v>12845628</v>
      </c>
      <c r="D114" s="76">
        <v>12961930</v>
      </c>
      <c r="E114" s="76">
        <v>13104256</v>
      </c>
    </row>
    <row r="115" spans="1:8" ht="24" customHeight="1" x14ac:dyDescent="0.2">
      <c r="A115" s="85">
        <v>19</v>
      </c>
      <c r="B115" s="75" t="s">
        <v>104</v>
      </c>
      <c r="C115" s="218">
        <v>82915000</v>
      </c>
      <c r="D115" s="76">
        <v>23328</v>
      </c>
      <c r="E115" s="76">
        <v>255545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8.6654589405827416</v>
      </c>
      <c r="D119" s="214">
        <f>IF(+D121=0,0,(+D120)/(+D121))</f>
        <v>9.5827740159065815</v>
      </c>
      <c r="E119" s="214">
        <f>IF(+E121=0,0,(+E120)/(+E121))</f>
        <v>10.127900813293024</v>
      </c>
    </row>
    <row r="120" spans="1:8" ht="24" customHeight="1" x14ac:dyDescent="0.2">
      <c r="A120" s="85">
        <v>21</v>
      </c>
      <c r="B120" s="75" t="s">
        <v>378</v>
      </c>
      <c r="C120" s="218">
        <v>111313262</v>
      </c>
      <c r="D120" s="218">
        <v>124211246</v>
      </c>
      <c r="E120" s="218">
        <v>132718605</v>
      </c>
    </row>
    <row r="121" spans="1:8" ht="24" customHeight="1" x14ac:dyDescent="0.2">
      <c r="A121" s="85">
        <v>22</v>
      </c>
      <c r="B121" s="75" t="s">
        <v>374</v>
      </c>
      <c r="C121" s="218">
        <v>12845628</v>
      </c>
      <c r="D121" s="218">
        <v>12961930</v>
      </c>
      <c r="E121" s="218">
        <v>13104256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44604</v>
      </c>
      <c r="D124" s="218">
        <v>42530</v>
      </c>
      <c r="E124" s="218">
        <v>41898</v>
      </c>
    </row>
    <row r="125" spans="1:8" ht="24" customHeight="1" x14ac:dyDescent="0.2">
      <c r="A125" s="85">
        <v>2</v>
      </c>
      <c r="B125" s="75" t="s">
        <v>381</v>
      </c>
      <c r="C125" s="218">
        <v>10235</v>
      </c>
      <c r="D125" s="218">
        <v>10330</v>
      </c>
      <c r="E125" s="218">
        <v>9847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4.3579872984855887</v>
      </c>
      <c r="D126" s="219">
        <f>IF(D125=0,0,D124/D125)</f>
        <v>4.1171345595353337</v>
      </c>
      <c r="E126" s="219">
        <f>IF(E125=0,0,E124/E125)</f>
        <v>4.2548999695338683</v>
      </c>
    </row>
    <row r="127" spans="1:8" ht="24" customHeight="1" x14ac:dyDescent="0.2">
      <c r="A127" s="85">
        <v>4</v>
      </c>
      <c r="B127" s="75" t="s">
        <v>383</v>
      </c>
      <c r="C127" s="218">
        <v>144</v>
      </c>
      <c r="D127" s="218">
        <v>144</v>
      </c>
      <c r="E127" s="218">
        <v>139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156</v>
      </c>
      <c r="E128" s="218">
        <v>156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156</v>
      </c>
      <c r="D129" s="218">
        <v>156</v>
      </c>
      <c r="E129" s="218">
        <v>156</v>
      </c>
    </row>
    <row r="130" spans="1:7" ht="24" customHeight="1" x14ac:dyDescent="0.2">
      <c r="A130" s="85">
        <v>7</v>
      </c>
      <c r="B130" s="75" t="s">
        <v>386</v>
      </c>
      <c r="C130" s="193">
        <v>0.84860000000000002</v>
      </c>
      <c r="D130" s="193">
        <v>0.80910000000000004</v>
      </c>
      <c r="E130" s="193">
        <v>0.82579999999999998</v>
      </c>
    </row>
    <row r="131" spans="1:7" ht="24" customHeight="1" x14ac:dyDescent="0.2">
      <c r="A131" s="85">
        <v>8</v>
      </c>
      <c r="B131" s="75" t="s">
        <v>387</v>
      </c>
      <c r="C131" s="193">
        <v>0.7833</v>
      </c>
      <c r="D131" s="193">
        <v>0.74690000000000001</v>
      </c>
      <c r="E131" s="193">
        <v>0.73580000000000001</v>
      </c>
    </row>
    <row r="132" spans="1:7" ht="24" customHeight="1" x14ac:dyDescent="0.2">
      <c r="A132" s="85">
        <v>9</v>
      </c>
      <c r="B132" s="75" t="s">
        <v>388</v>
      </c>
      <c r="C132" s="219">
        <v>1018.6</v>
      </c>
      <c r="D132" s="219">
        <v>1054.5999999999999</v>
      </c>
      <c r="E132" s="219">
        <v>1028.0999999999999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0.34933815269525209</v>
      </c>
      <c r="D135" s="227">
        <f>IF(D149=0,0,D143/D149)</f>
        <v>0.34492239671898611</v>
      </c>
      <c r="E135" s="227">
        <f>IF(E149=0,0,E143/E149)</f>
        <v>0.32328223567368763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0.45047984990607653</v>
      </c>
      <c r="D136" s="227">
        <f>IF(D149=0,0,D144/D149)</f>
        <v>0.44043610654353188</v>
      </c>
      <c r="E136" s="227">
        <f>IF(E149=0,0,E144/E149)</f>
        <v>0.44960286302327535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0.1690778284394403</v>
      </c>
      <c r="D137" s="227">
        <f>IF(D149=0,0,D145/D149)</f>
        <v>0.18906263162386538</v>
      </c>
      <c r="E137" s="227">
        <f>IF(E149=0,0,E145/E149)</f>
        <v>0.20001689424723557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4.0318888134826059E-3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2.5266592347625873E-2</v>
      </c>
      <c r="D139" s="227">
        <f>IF(D149=0,0,D147/D149)</f>
        <v>2.3412989049717923E-2</v>
      </c>
      <c r="E139" s="227">
        <f>IF(E149=0,0,E147/E149)</f>
        <v>2.4750022699837962E-2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1.8056877981226318E-3</v>
      </c>
      <c r="D140" s="227">
        <f>IF(D149=0,0,D148/D149)</f>
        <v>2.1658760638987155E-3</v>
      </c>
      <c r="E140" s="227">
        <f>IF(E149=0,0,E148/E149)</f>
        <v>2.3479843559634922E-3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147915343</v>
      </c>
      <c r="D143" s="229">
        <f>+D46-D147</f>
        <v>165440522</v>
      </c>
      <c r="E143" s="229">
        <f>+E46-E147</f>
        <v>163272936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190740350</v>
      </c>
      <c r="D144" s="229">
        <f>+D51</f>
        <v>211253256</v>
      </c>
      <c r="E144" s="229">
        <f>+E51</f>
        <v>227070873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71590248</v>
      </c>
      <c r="D145" s="229">
        <f>+D55</f>
        <v>90683066</v>
      </c>
      <c r="E145" s="229">
        <f>+E55</f>
        <v>101018064</v>
      </c>
    </row>
    <row r="146" spans="1:7" ht="20.100000000000001" customHeight="1" x14ac:dyDescent="0.2">
      <c r="A146" s="226">
        <v>11</v>
      </c>
      <c r="B146" s="224" t="s">
        <v>400</v>
      </c>
      <c r="C146" s="228">
        <v>1707166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10698278</v>
      </c>
      <c r="D147" s="229">
        <f>+D47</f>
        <v>11229938</v>
      </c>
      <c r="E147" s="229">
        <f>+E47</f>
        <v>12499941</v>
      </c>
    </row>
    <row r="148" spans="1:7" ht="20.100000000000001" customHeight="1" x14ac:dyDescent="0.2">
      <c r="A148" s="226">
        <v>13</v>
      </c>
      <c r="B148" s="224" t="s">
        <v>402</v>
      </c>
      <c r="C148" s="230">
        <v>764557</v>
      </c>
      <c r="D148" s="229">
        <v>1038853</v>
      </c>
      <c r="E148" s="229">
        <v>1185844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423415942</v>
      </c>
      <c r="D149" s="229">
        <f>SUM(D143:D148)</f>
        <v>479645635</v>
      </c>
      <c r="E149" s="229">
        <f>SUM(E143:E148)</f>
        <v>505047658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0.5218934179199487</v>
      </c>
      <c r="D152" s="227">
        <f>IF(D166=0,0,D160/D166)</f>
        <v>0.51999789292441423</v>
      </c>
      <c r="E152" s="227">
        <f>IF(E166=0,0,E160/E166)</f>
        <v>0.51247324902919522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0.36231659062604915</v>
      </c>
      <c r="D153" s="227">
        <f>IF(D166=0,0,D161/D166)</f>
        <v>0.35549951653543815</v>
      </c>
      <c r="E153" s="227">
        <f>IF(E166=0,0,E161/E166)</f>
        <v>0.34623640215835277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0.10736758986548003</v>
      </c>
      <c r="D154" s="227">
        <f>IF(D166=0,0,D162/D166)</f>
        <v>0.11762134441236856</v>
      </c>
      <c r="E154" s="227">
        <f>IF(E166=0,0,E162/E166)</f>
        <v>0.12638961588596992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2.6859471307166334E-3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4.2585498015876126E-3</v>
      </c>
      <c r="D156" s="227">
        <f>IF(D166=0,0,D164/D166)</f>
        <v>5.4553656326249544E-3</v>
      </c>
      <c r="E156" s="227">
        <f>IF(E166=0,0,E164/E166)</f>
        <v>1.3803999335270921E-2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1.4779046562178311E-3</v>
      </c>
      <c r="D157" s="227">
        <f>IF(D166=0,0,D165/D166)</f>
        <v>1.4258804951541083E-3</v>
      </c>
      <c r="E157" s="227">
        <f>IF(E166=0,0,E165/E166)</f>
        <v>1.0967335912111255E-3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100881302</v>
      </c>
      <c r="D160" s="229">
        <f>+D44-D164</f>
        <v>112959135</v>
      </c>
      <c r="E160" s="229">
        <f>+E44-E164</f>
        <v>115213934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70035314</v>
      </c>
      <c r="D161" s="229">
        <f>+D50</f>
        <v>77225155</v>
      </c>
      <c r="E161" s="229">
        <f>+E50</f>
        <v>77840664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20754012</v>
      </c>
      <c r="D162" s="229">
        <f>+D54</f>
        <v>25550883</v>
      </c>
      <c r="E162" s="229">
        <f>+E54</f>
        <v>28414839</v>
      </c>
    </row>
    <row r="163" spans="1:6" ht="20.100000000000001" customHeight="1" x14ac:dyDescent="0.2">
      <c r="A163" s="226">
        <v>11</v>
      </c>
      <c r="B163" s="224" t="s">
        <v>415</v>
      </c>
      <c r="C163" s="228">
        <v>519190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823172</v>
      </c>
      <c r="D164" s="229">
        <f>+D45</f>
        <v>1185069</v>
      </c>
      <c r="E164" s="229">
        <f>+E45</f>
        <v>3103407</v>
      </c>
    </row>
    <row r="165" spans="1:6" ht="20.100000000000001" customHeight="1" x14ac:dyDescent="0.2">
      <c r="A165" s="226">
        <v>13</v>
      </c>
      <c r="B165" s="224" t="s">
        <v>417</v>
      </c>
      <c r="C165" s="230">
        <v>285677</v>
      </c>
      <c r="D165" s="229">
        <v>309744</v>
      </c>
      <c r="E165" s="229">
        <v>246567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193298667</v>
      </c>
      <c r="D166" s="229">
        <f>SUM(D160:D165)</f>
        <v>217229986</v>
      </c>
      <c r="E166" s="229">
        <f>SUM(E160:E165)</f>
        <v>224819411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3252</v>
      </c>
      <c r="D169" s="218">
        <v>3098</v>
      </c>
      <c r="E169" s="218">
        <v>2804</v>
      </c>
    </row>
    <row r="170" spans="1:6" ht="20.100000000000001" customHeight="1" x14ac:dyDescent="0.2">
      <c r="A170" s="226">
        <v>2</v>
      </c>
      <c r="B170" s="224" t="s">
        <v>420</v>
      </c>
      <c r="C170" s="218">
        <v>4826</v>
      </c>
      <c r="D170" s="218">
        <v>5054</v>
      </c>
      <c r="E170" s="218">
        <v>4908</v>
      </c>
    </row>
    <row r="171" spans="1:6" ht="20.100000000000001" customHeight="1" x14ac:dyDescent="0.2">
      <c r="A171" s="226">
        <v>3</v>
      </c>
      <c r="B171" s="224" t="s">
        <v>421</v>
      </c>
      <c r="C171" s="218">
        <v>2138</v>
      </c>
      <c r="D171" s="218">
        <v>2151</v>
      </c>
      <c r="E171" s="218">
        <v>2111</v>
      </c>
    </row>
    <row r="172" spans="1:6" ht="20.100000000000001" customHeight="1" x14ac:dyDescent="0.2">
      <c r="A172" s="226">
        <v>4</v>
      </c>
      <c r="B172" s="224" t="s">
        <v>422</v>
      </c>
      <c r="C172" s="218">
        <v>2106</v>
      </c>
      <c r="D172" s="218">
        <v>2151</v>
      </c>
      <c r="E172" s="218">
        <v>2111</v>
      </c>
    </row>
    <row r="173" spans="1:6" ht="20.100000000000001" customHeight="1" x14ac:dyDescent="0.2">
      <c r="A173" s="226">
        <v>5</v>
      </c>
      <c r="B173" s="224" t="s">
        <v>423</v>
      </c>
      <c r="C173" s="218">
        <v>32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19</v>
      </c>
      <c r="D174" s="218">
        <v>27</v>
      </c>
      <c r="E174" s="218">
        <v>24</v>
      </c>
    </row>
    <row r="175" spans="1:6" ht="20.100000000000001" customHeight="1" x14ac:dyDescent="0.2">
      <c r="A175" s="226">
        <v>7</v>
      </c>
      <c r="B175" s="224" t="s">
        <v>425</v>
      </c>
      <c r="C175" s="218">
        <v>209</v>
      </c>
      <c r="D175" s="218">
        <v>254</v>
      </c>
      <c r="E175" s="218">
        <v>242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10235</v>
      </c>
      <c r="D176" s="218">
        <f>+D169+D170+D171+D174</f>
        <v>10330</v>
      </c>
      <c r="E176" s="218">
        <f>+E169+E170+E171+E174</f>
        <v>9847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1.02963</v>
      </c>
      <c r="D179" s="231">
        <v>1.0921000000000001</v>
      </c>
      <c r="E179" s="231">
        <v>1.10877</v>
      </c>
    </row>
    <row r="180" spans="1:6" ht="20.100000000000001" customHeight="1" x14ac:dyDescent="0.2">
      <c r="A180" s="226">
        <v>2</v>
      </c>
      <c r="B180" s="224" t="s">
        <v>420</v>
      </c>
      <c r="C180" s="231">
        <v>1.4068799999999999</v>
      </c>
      <c r="D180" s="231">
        <v>1.3859999999999999</v>
      </c>
      <c r="E180" s="231">
        <v>1.52013</v>
      </c>
    </row>
    <row r="181" spans="1:6" ht="20.100000000000001" customHeight="1" x14ac:dyDescent="0.2">
      <c r="A181" s="226">
        <v>3</v>
      </c>
      <c r="B181" s="224" t="s">
        <v>421</v>
      </c>
      <c r="C181" s="231">
        <v>0.90426300000000004</v>
      </c>
      <c r="D181" s="231">
        <v>0.93072999999999995</v>
      </c>
      <c r="E181" s="231">
        <v>0.98575999999999997</v>
      </c>
    </row>
    <row r="182" spans="1:6" ht="20.100000000000001" customHeight="1" x14ac:dyDescent="0.2">
      <c r="A182" s="226">
        <v>4</v>
      </c>
      <c r="B182" s="224" t="s">
        <v>422</v>
      </c>
      <c r="C182" s="231">
        <v>0.90081</v>
      </c>
      <c r="D182" s="231">
        <v>0.93072999999999995</v>
      </c>
      <c r="E182" s="231">
        <v>0.98575999999999997</v>
      </c>
    </row>
    <row r="183" spans="1:6" ht="20.100000000000001" customHeight="1" x14ac:dyDescent="0.2">
      <c r="A183" s="226">
        <v>5</v>
      </c>
      <c r="B183" s="224" t="s">
        <v>423</v>
      </c>
      <c r="C183" s="231">
        <v>1.1315299999999999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0.91139000000000003</v>
      </c>
      <c r="D184" s="231">
        <v>0.70038</v>
      </c>
      <c r="E184" s="231">
        <v>0.72829999999999995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0.97809999999999997</v>
      </c>
      <c r="D185" s="231">
        <v>0.97824999999999995</v>
      </c>
      <c r="E185" s="231">
        <v>0.94379000000000002</v>
      </c>
    </row>
    <row r="186" spans="1:6" ht="20.100000000000001" customHeight="1" x14ac:dyDescent="0.2">
      <c r="A186" s="226">
        <v>8</v>
      </c>
      <c r="B186" s="224" t="s">
        <v>429</v>
      </c>
      <c r="C186" s="231">
        <v>1.181103</v>
      </c>
      <c r="D186" s="231">
        <v>1.2012659999999999</v>
      </c>
      <c r="E186" s="231">
        <v>1.2865040000000001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6629</v>
      </c>
      <c r="D189" s="218">
        <v>7232</v>
      </c>
      <c r="E189" s="218">
        <v>6894</v>
      </c>
    </row>
    <row r="190" spans="1:6" ht="20.100000000000001" customHeight="1" x14ac:dyDescent="0.2">
      <c r="A190" s="226">
        <v>2</v>
      </c>
      <c r="B190" s="224" t="s">
        <v>433</v>
      </c>
      <c r="C190" s="218">
        <v>78336</v>
      </c>
      <c r="D190" s="218">
        <v>84907</v>
      </c>
      <c r="E190" s="218">
        <v>52897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84965</v>
      </c>
      <c r="D191" s="218">
        <f>+D190+D189</f>
        <v>92139</v>
      </c>
      <c r="E191" s="218">
        <f>+E190+E189</f>
        <v>59791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4050424</v>
      </c>
      <c r="D14" s="258">
        <v>3095986</v>
      </c>
      <c r="E14" s="258">
        <f t="shared" ref="E14:E24" si="0">D14-C14</f>
        <v>-954438</v>
      </c>
      <c r="F14" s="259">
        <f t="shared" ref="F14:F24" si="1">IF(C14=0,0,E14/C14)</f>
        <v>-0.23563903433319575</v>
      </c>
    </row>
    <row r="15" spans="1:7" ht="20.25" customHeight="1" x14ac:dyDescent="0.3">
      <c r="A15" s="256">
        <v>2</v>
      </c>
      <c r="B15" s="257" t="s">
        <v>442</v>
      </c>
      <c r="C15" s="258">
        <v>1499223</v>
      </c>
      <c r="D15" s="258">
        <v>1192066</v>
      </c>
      <c r="E15" s="258">
        <f t="shared" si="0"/>
        <v>-307157</v>
      </c>
      <c r="F15" s="259">
        <f t="shared" si="1"/>
        <v>-0.20487745985753955</v>
      </c>
    </row>
    <row r="16" spans="1:7" ht="20.25" customHeight="1" x14ac:dyDescent="0.3">
      <c r="A16" s="256">
        <v>3</v>
      </c>
      <c r="B16" s="257" t="s">
        <v>443</v>
      </c>
      <c r="C16" s="258">
        <v>3124031</v>
      </c>
      <c r="D16" s="258">
        <v>2239987</v>
      </c>
      <c r="E16" s="258">
        <f t="shared" si="0"/>
        <v>-884044</v>
      </c>
      <c r="F16" s="259">
        <f t="shared" si="1"/>
        <v>-0.2829818270049177</v>
      </c>
    </row>
    <row r="17" spans="1:6" ht="20.25" customHeight="1" x14ac:dyDescent="0.3">
      <c r="A17" s="256">
        <v>4</v>
      </c>
      <c r="B17" s="257" t="s">
        <v>444</v>
      </c>
      <c r="C17" s="258">
        <v>996254</v>
      </c>
      <c r="D17" s="258">
        <v>713884</v>
      </c>
      <c r="E17" s="258">
        <f t="shared" si="0"/>
        <v>-282370</v>
      </c>
      <c r="F17" s="259">
        <f t="shared" si="1"/>
        <v>-0.28343173528036025</v>
      </c>
    </row>
    <row r="18" spans="1:6" ht="20.25" customHeight="1" x14ac:dyDescent="0.3">
      <c r="A18" s="256">
        <v>5</v>
      </c>
      <c r="B18" s="257" t="s">
        <v>381</v>
      </c>
      <c r="C18" s="260">
        <v>144</v>
      </c>
      <c r="D18" s="260">
        <v>115</v>
      </c>
      <c r="E18" s="260">
        <f t="shared" si="0"/>
        <v>-29</v>
      </c>
      <c r="F18" s="259">
        <f t="shared" si="1"/>
        <v>-0.2013888888888889</v>
      </c>
    </row>
    <row r="19" spans="1:6" ht="20.25" customHeight="1" x14ac:dyDescent="0.3">
      <c r="A19" s="256">
        <v>6</v>
      </c>
      <c r="B19" s="257" t="s">
        <v>380</v>
      </c>
      <c r="C19" s="260">
        <v>798</v>
      </c>
      <c r="D19" s="260">
        <v>602</v>
      </c>
      <c r="E19" s="260">
        <f t="shared" si="0"/>
        <v>-196</v>
      </c>
      <c r="F19" s="259">
        <f t="shared" si="1"/>
        <v>-0.24561403508771928</v>
      </c>
    </row>
    <row r="20" spans="1:6" ht="20.25" customHeight="1" x14ac:dyDescent="0.3">
      <c r="A20" s="256">
        <v>7</v>
      </c>
      <c r="B20" s="257" t="s">
        <v>445</v>
      </c>
      <c r="C20" s="260">
        <v>1016</v>
      </c>
      <c r="D20" s="260">
        <v>925</v>
      </c>
      <c r="E20" s="260">
        <f t="shared" si="0"/>
        <v>-91</v>
      </c>
      <c r="F20" s="259">
        <f t="shared" si="1"/>
        <v>-8.9566929133858261E-2</v>
      </c>
    </row>
    <row r="21" spans="1:6" ht="20.25" customHeight="1" x14ac:dyDescent="0.3">
      <c r="A21" s="256">
        <v>8</v>
      </c>
      <c r="B21" s="257" t="s">
        <v>446</v>
      </c>
      <c r="C21" s="260">
        <v>299</v>
      </c>
      <c r="D21" s="260">
        <v>188</v>
      </c>
      <c r="E21" s="260">
        <f t="shared" si="0"/>
        <v>-111</v>
      </c>
      <c r="F21" s="259">
        <f t="shared" si="1"/>
        <v>-0.37123745819397991</v>
      </c>
    </row>
    <row r="22" spans="1:6" ht="20.25" customHeight="1" x14ac:dyDescent="0.3">
      <c r="A22" s="256">
        <v>9</v>
      </c>
      <c r="B22" s="257" t="s">
        <v>447</v>
      </c>
      <c r="C22" s="260">
        <v>124</v>
      </c>
      <c r="D22" s="260">
        <v>104</v>
      </c>
      <c r="E22" s="260">
        <f t="shared" si="0"/>
        <v>-20</v>
      </c>
      <c r="F22" s="259">
        <f t="shared" si="1"/>
        <v>-0.16129032258064516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7174455</v>
      </c>
      <c r="D23" s="263">
        <f>+D14+D16</f>
        <v>5335973</v>
      </c>
      <c r="E23" s="263">
        <f t="shared" si="0"/>
        <v>-1838482</v>
      </c>
      <c r="F23" s="264">
        <f t="shared" si="1"/>
        <v>-0.25625388966827445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2495477</v>
      </c>
      <c r="D24" s="263">
        <f>+D15+D17</f>
        <v>1905950</v>
      </c>
      <c r="E24" s="263">
        <f t="shared" si="0"/>
        <v>-589527</v>
      </c>
      <c r="F24" s="264">
        <f t="shared" si="1"/>
        <v>-0.23623820215533944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5322990</v>
      </c>
      <c r="D40" s="258">
        <v>6763542</v>
      </c>
      <c r="E40" s="258">
        <f t="shared" ref="E40:E50" si="4">D40-C40</f>
        <v>1440552</v>
      </c>
      <c r="F40" s="259">
        <f t="shared" ref="F40:F50" si="5">IF(C40=0,0,E40/C40)</f>
        <v>0.27062834985600198</v>
      </c>
    </row>
    <row r="41" spans="1:6" ht="20.25" customHeight="1" x14ac:dyDescent="0.3">
      <c r="A41" s="256">
        <v>2</v>
      </c>
      <c r="B41" s="257" t="s">
        <v>442</v>
      </c>
      <c r="C41" s="258">
        <v>2029217</v>
      </c>
      <c r="D41" s="258">
        <v>2766769</v>
      </c>
      <c r="E41" s="258">
        <f t="shared" si="4"/>
        <v>737552</v>
      </c>
      <c r="F41" s="259">
        <f t="shared" si="5"/>
        <v>0.36346630251964179</v>
      </c>
    </row>
    <row r="42" spans="1:6" ht="20.25" customHeight="1" x14ac:dyDescent="0.3">
      <c r="A42" s="256">
        <v>3</v>
      </c>
      <c r="B42" s="257" t="s">
        <v>443</v>
      </c>
      <c r="C42" s="258">
        <v>5685531</v>
      </c>
      <c r="D42" s="258">
        <v>8287112</v>
      </c>
      <c r="E42" s="258">
        <f t="shared" si="4"/>
        <v>2601581</v>
      </c>
      <c r="F42" s="259">
        <f t="shared" si="5"/>
        <v>0.45757924809485695</v>
      </c>
    </row>
    <row r="43" spans="1:6" ht="20.25" customHeight="1" x14ac:dyDescent="0.3">
      <c r="A43" s="256">
        <v>4</v>
      </c>
      <c r="B43" s="257" t="s">
        <v>444</v>
      </c>
      <c r="C43" s="258">
        <v>1628336</v>
      </c>
      <c r="D43" s="258">
        <v>2252437</v>
      </c>
      <c r="E43" s="258">
        <f t="shared" si="4"/>
        <v>624101</v>
      </c>
      <c r="F43" s="259">
        <f t="shared" si="5"/>
        <v>0.38327531909876095</v>
      </c>
    </row>
    <row r="44" spans="1:6" ht="20.25" customHeight="1" x14ac:dyDescent="0.3">
      <c r="A44" s="256">
        <v>5</v>
      </c>
      <c r="B44" s="257" t="s">
        <v>381</v>
      </c>
      <c r="C44" s="260">
        <v>208</v>
      </c>
      <c r="D44" s="260">
        <v>252</v>
      </c>
      <c r="E44" s="260">
        <f t="shared" si="4"/>
        <v>44</v>
      </c>
      <c r="F44" s="259">
        <f t="shared" si="5"/>
        <v>0.21153846153846154</v>
      </c>
    </row>
    <row r="45" spans="1:6" ht="20.25" customHeight="1" x14ac:dyDescent="0.3">
      <c r="A45" s="256">
        <v>6</v>
      </c>
      <c r="B45" s="257" t="s">
        <v>380</v>
      </c>
      <c r="C45" s="260">
        <v>891</v>
      </c>
      <c r="D45" s="260">
        <v>1171</v>
      </c>
      <c r="E45" s="260">
        <f t="shared" si="4"/>
        <v>280</v>
      </c>
      <c r="F45" s="259">
        <f t="shared" si="5"/>
        <v>0.31425364758698093</v>
      </c>
    </row>
    <row r="46" spans="1:6" ht="20.25" customHeight="1" x14ac:dyDescent="0.3">
      <c r="A46" s="256">
        <v>7</v>
      </c>
      <c r="B46" s="257" t="s">
        <v>445</v>
      </c>
      <c r="C46" s="260">
        <v>2246</v>
      </c>
      <c r="D46" s="260">
        <v>2720</v>
      </c>
      <c r="E46" s="260">
        <f t="shared" si="4"/>
        <v>474</v>
      </c>
      <c r="F46" s="259">
        <f t="shared" si="5"/>
        <v>0.21104185218165628</v>
      </c>
    </row>
    <row r="47" spans="1:6" ht="20.25" customHeight="1" x14ac:dyDescent="0.3">
      <c r="A47" s="256">
        <v>8</v>
      </c>
      <c r="B47" s="257" t="s">
        <v>446</v>
      </c>
      <c r="C47" s="260">
        <v>519</v>
      </c>
      <c r="D47" s="260">
        <v>475</v>
      </c>
      <c r="E47" s="260">
        <f t="shared" si="4"/>
        <v>-44</v>
      </c>
      <c r="F47" s="259">
        <f t="shared" si="5"/>
        <v>-8.477842003853564E-2</v>
      </c>
    </row>
    <row r="48" spans="1:6" ht="20.25" customHeight="1" x14ac:dyDescent="0.3">
      <c r="A48" s="256">
        <v>9</v>
      </c>
      <c r="B48" s="257" t="s">
        <v>447</v>
      </c>
      <c r="C48" s="260">
        <v>162</v>
      </c>
      <c r="D48" s="260">
        <v>210</v>
      </c>
      <c r="E48" s="260">
        <f t="shared" si="4"/>
        <v>48</v>
      </c>
      <c r="F48" s="259">
        <f t="shared" si="5"/>
        <v>0.29629629629629628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11008521</v>
      </c>
      <c r="D49" s="263">
        <f>+D40+D42</f>
        <v>15050654</v>
      </c>
      <c r="E49" s="263">
        <f t="shared" si="4"/>
        <v>4042133</v>
      </c>
      <c r="F49" s="264">
        <f t="shared" si="5"/>
        <v>0.36718220367658833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3657553</v>
      </c>
      <c r="D50" s="263">
        <f>+D41+D43</f>
        <v>5019206</v>
      </c>
      <c r="E50" s="263">
        <f t="shared" si="4"/>
        <v>1361653</v>
      </c>
      <c r="F50" s="264">
        <f t="shared" si="5"/>
        <v>0.37228524097941984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242889</v>
      </c>
      <c r="D79" s="258">
        <v>0</v>
      </c>
      <c r="E79" s="258">
        <f t="shared" ref="E79:E89" si="10">D79-C79</f>
        <v>-242889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119268</v>
      </c>
      <c r="D80" s="258">
        <v>0</v>
      </c>
      <c r="E80" s="258">
        <f t="shared" si="10"/>
        <v>-119268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190529</v>
      </c>
      <c r="D81" s="258">
        <v>0</v>
      </c>
      <c r="E81" s="258">
        <f t="shared" si="10"/>
        <v>-190529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46680</v>
      </c>
      <c r="D82" s="258">
        <v>0</v>
      </c>
      <c r="E82" s="258">
        <f t="shared" si="10"/>
        <v>-46680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12</v>
      </c>
      <c r="D83" s="260">
        <v>0</v>
      </c>
      <c r="E83" s="260">
        <f t="shared" si="10"/>
        <v>-12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43</v>
      </c>
      <c r="D84" s="260">
        <v>0</v>
      </c>
      <c r="E84" s="260">
        <f t="shared" si="10"/>
        <v>-43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63</v>
      </c>
      <c r="D85" s="260">
        <v>0</v>
      </c>
      <c r="E85" s="260">
        <f t="shared" si="10"/>
        <v>-63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28</v>
      </c>
      <c r="D86" s="260">
        <v>0</v>
      </c>
      <c r="E86" s="260">
        <f t="shared" si="10"/>
        <v>-28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9</v>
      </c>
      <c r="D87" s="260">
        <v>0</v>
      </c>
      <c r="E87" s="260">
        <f t="shared" si="10"/>
        <v>-9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433418</v>
      </c>
      <c r="D88" s="263">
        <f>+D79+D81</f>
        <v>0</v>
      </c>
      <c r="E88" s="263">
        <f t="shared" si="10"/>
        <v>-433418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165948</v>
      </c>
      <c r="D89" s="263">
        <f>+D80+D82</f>
        <v>0</v>
      </c>
      <c r="E89" s="263">
        <f t="shared" si="10"/>
        <v>-165948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912818</v>
      </c>
      <c r="D105" s="258">
        <v>1310984</v>
      </c>
      <c r="E105" s="258">
        <f t="shared" ref="E105:E115" si="14">D105-C105</f>
        <v>398166</v>
      </c>
      <c r="F105" s="259">
        <f t="shared" ref="F105:F115" si="15">IF(C105=0,0,E105/C105)</f>
        <v>0.43619429064720461</v>
      </c>
    </row>
    <row r="106" spans="1:6" ht="20.25" customHeight="1" x14ac:dyDescent="0.3">
      <c r="A106" s="256">
        <v>2</v>
      </c>
      <c r="B106" s="257" t="s">
        <v>442</v>
      </c>
      <c r="C106" s="258">
        <v>307983</v>
      </c>
      <c r="D106" s="258">
        <v>489514</v>
      </c>
      <c r="E106" s="258">
        <f t="shared" si="14"/>
        <v>181531</v>
      </c>
      <c r="F106" s="259">
        <f t="shared" si="15"/>
        <v>0.58941889649753398</v>
      </c>
    </row>
    <row r="107" spans="1:6" ht="20.25" customHeight="1" x14ac:dyDescent="0.3">
      <c r="A107" s="256">
        <v>3</v>
      </c>
      <c r="B107" s="257" t="s">
        <v>443</v>
      </c>
      <c r="C107" s="258">
        <v>714287</v>
      </c>
      <c r="D107" s="258">
        <v>909039</v>
      </c>
      <c r="E107" s="258">
        <f t="shared" si="14"/>
        <v>194752</v>
      </c>
      <c r="F107" s="259">
        <f t="shared" si="15"/>
        <v>0.27265230922584338</v>
      </c>
    </row>
    <row r="108" spans="1:6" ht="20.25" customHeight="1" x14ac:dyDescent="0.3">
      <c r="A108" s="256">
        <v>4</v>
      </c>
      <c r="B108" s="257" t="s">
        <v>444</v>
      </c>
      <c r="C108" s="258">
        <v>127929</v>
      </c>
      <c r="D108" s="258">
        <v>219624</v>
      </c>
      <c r="E108" s="258">
        <f t="shared" si="14"/>
        <v>91695</v>
      </c>
      <c r="F108" s="259">
        <f t="shared" si="15"/>
        <v>0.71676476795722632</v>
      </c>
    </row>
    <row r="109" spans="1:6" ht="20.25" customHeight="1" x14ac:dyDescent="0.3">
      <c r="A109" s="256">
        <v>5</v>
      </c>
      <c r="B109" s="257" t="s">
        <v>381</v>
      </c>
      <c r="C109" s="260">
        <v>34</v>
      </c>
      <c r="D109" s="260">
        <v>46</v>
      </c>
      <c r="E109" s="260">
        <f t="shared" si="14"/>
        <v>12</v>
      </c>
      <c r="F109" s="259">
        <f t="shared" si="15"/>
        <v>0.35294117647058826</v>
      </c>
    </row>
    <row r="110" spans="1:6" ht="20.25" customHeight="1" x14ac:dyDescent="0.3">
      <c r="A110" s="256">
        <v>6</v>
      </c>
      <c r="B110" s="257" t="s">
        <v>380</v>
      </c>
      <c r="C110" s="260">
        <v>194</v>
      </c>
      <c r="D110" s="260">
        <v>223</v>
      </c>
      <c r="E110" s="260">
        <f t="shared" si="14"/>
        <v>29</v>
      </c>
      <c r="F110" s="259">
        <f t="shared" si="15"/>
        <v>0.14948453608247422</v>
      </c>
    </row>
    <row r="111" spans="1:6" ht="20.25" customHeight="1" x14ac:dyDescent="0.3">
      <c r="A111" s="256">
        <v>7</v>
      </c>
      <c r="B111" s="257" t="s">
        <v>445</v>
      </c>
      <c r="C111" s="260">
        <v>230</v>
      </c>
      <c r="D111" s="260">
        <v>312</v>
      </c>
      <c r="E111" s="260">
        <f t="shared" si="14"/>
        <v>82</v>
      </c>
      <c r="F111" s="259">
        <f t="shared" si="15"/>
        <v>0.35652173913043478</v>
      </c>
    </row>
    <row r="112" spans="1:6" ht="20.25" customHeight="1" x14ac:dyDescent="0.3">
      <c r="A112" s="256">
        <v>8</v>
      </c>
      <c r="B112" s="257" t="s">
        <v>446</v>
      </c>
      <c r="C112" s="260">
        <v>88</v>
      </c>
      <c r="D112" s="260">
        <v>145</v>
      </c>
      <c r="E112" s="260">
        <f t="shared" si="14"/>
        <v>57</v>
      </c>
      <c r="F112" s="259">
        <f t="shared" si="15"/>
        <v>0.64772727272727271</v>
      </c>
    </row>
    <row r="113" spans="1:6" ht="20.25" customHeight="1" x14ac:dyDescent="0.3">
      <c r="A113" s="256">
        <v>9</v>
      </c>
      <c r="B113" s="257" t="s">
        <v>447</v>
      </c>
      <c r="C113" s="260">
        <v>34</v>
      </c>
      <c r="D113" s="260">
        <v>43</v>
      </c>
      <c r="E113" s="260">
        <f t="shared" si="14"/>
        <v>9</v>
      </c>
      <c r="F113" s="259">
        <f t="shared" si="15"/>
        <v>0.26470588235294118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1627105</v>
      </c>
      <c r="D114" s="263">
        <f>+D105+D107</f>
        <v>2220023</v>
      </c>
      <c r="E114" s="263">
        <f t="shared" si="14"/>
        <v>592918</v>
      </c>
      <c r="F114" s="264">
        <f t="shared" si="15"/>
        <v>0.3644005764840007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435912</v>
      </c>
      <c r="D115" s="263">
        <f>+D106+D108</f>
        <v>709138</v>
      </c>
      <c r="E115" s="263">
        <f t="shared" si="14"/>
        <v>273226</v>
      </c>
      <c r="F115" s="264">
        <f t="shared" si="15"/>
        <v>0.62679164602029769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1225483</v>
      </c>
      <c r="D118" s="258">
        <v>3597321</v>
      </c>
      <c r="E118" s="258">
        <f t="shared" ref="E118:E128" si="16">D118-C118</f>
        <v>2371838</v>
      </c>
      <c r="F118" s="259">
        <f t="shared" ref="F118:F128" si="17">IF(C118=0,0,E118/C118)</f>
        <v>1.935431172851847</v>
      </c>
    </row>
    <row r="119" spans="1:6" ht="20.25" customHeight="1" x14ac:dyDescent="0.3">
      <c r="A119" s="256">
        <v>2</v>
      </c>
      <c r="B119" s="257" t="s">
        <v>442</v>
      </c>
      <c r="C119" s="258">
        <v>448723</v>
      </c>
      <c r="D119" s="258">
        <v>1388831</v>
      </c>
      <c r="E119" s="258">
        <f t="shared" si="16"/>
        <v>940108</v>
      </c>
      <c r="F119" s="259">
        <f t="shared" si="17"/>
        <v>2.0950742440213674</v>
      </c>
    </row>
    <row r="120" spans="1:6" ht="20.25" customHeight="1" x14ac:dyDescent="0.3">
      <c r="A120" s="256">
        <v>3</v>
      </c>
      <c r="B120" s="257" t="s">
        <v>443</v>
      </c>
      <c r="C120" s="258">
        <v>1090004</v>
      </c>
      <c r="D120" s="258">
        <v>3163088</v>
      </c>
      <c r="E120" s="258">
        <f t="shared" si="16"/>
        <v>2073084</v>
      </c>
      <c r="F120" s="259">
        <f t="shared" si="17"/>
        <v>1.9019049471378087</v>
      </c>
    </row>
    <row r="121" spans="1:6" ht="20.25" customHeight="1" x14ac:dyDescent="0.3">
      <c r="A121" s="256">
        <v>4</v>
      </c>
      <c r="B121" s="257" t="s">
        <v>444</v>
      </c>
      <c r="C121" s="258">
        <v>318499</v>
      </c>
      <c r="D121" s="258">
        <v>777803</v>
      </c>
      <c r="E121" s="258">
        <f t="shared" si="16"/>
        <v>459304</v>
      </c>
      <c r="F121" s="259">
        <f t="shared" si="17"/>
        <v>1.4420893001233912</v>
      </c>
    </row>
    <row r="122" spans="1:6" ht="20.25" customHeight="1" x14ac:dyDescent="0.3">
      <c r="A122" s="256">
        <v>5</v>
      </c>
      <c r="B122" s="257" t="s">
        <v>381</v>
      </c>
      <c r="C122" s="260">
        <v>49</v>
      </c>
      <c r="D122" s="260">
        <v>134</v>
      </c>
      <c r="E122" s="260">
        <f t="shared" si="16"/>
        <v>85</v>
      </c>
      <c r="F122" s="259">
        <f t="shared" si="17"/>
        <v>1.7346938775510203</v>
      </c>
    </row>
    <row r="123" spans="1:6" ht="20.25" customHeight="1" x14ac:dyDescent="0.3">
      <c r="A123" s="256">
        <v>6</v>
      </c>
      <c r="B123" s="257" t="s">
        <v>380</v>
      </c>
      <c r="C123" s="260">
        <v>230</v>
      </c>
      <c r="D123" s="260">
        <v>669</v>
      </c>
      <c r="E123" s="260">
        <f t="shared" si="16"/>
        <v>439</v>
      </c>
      <c r="F123" s="259">
        <f t="shared" si="17"/>
        <v>1.9086956521739131</v>
      </c>
    </row>
    <row r="124" spans="1:6" ht="20.25" customHeight="1" x14ac:dyDescent="0.3">
      <c r="A124" s="256">
        <v>7</v>
      </c>
      <c r="B124" s="257" t="s">
        <v>445</v>
      </c>
      <c r="C124" s="260">
        <v>382</v>
      </c>
      <c r="D124" s="260">
        <v>1169</v>
      </c>
      <c r="E124" s="260">
        <f t="shared" si="16"/>
        <v>787</v>
      </c>
      <c r="F124" s="259">
        <f t="shared" si="17"/>
        <v>2.0602094240837698</v>
      </c>
    </row>
    <row r="125" spans="1:6" ht="20.25" customHeight="1" x14ac:dyDescent="0.3">
      <c r="A125" s="256">
        <v>8</v>
      </c>
      <c r="B125" s="257" t="s">
        <v>446</v>
      </c>
      <c r="C125" s="260">
        <v>117</v>
      </c>
      <c r="D125" s="260">
        <v>233</v>
      </c>
      <c r="E125" s="260">
        <f t="shared" si="16"/>
        <v>116</v>
      </c>
      <c r="F125" s="259">
        <f t="shared" si="17"/>
        <v>0.99145299145299148</v>
      </c>
    </row>
    <row r="126" spans="1:6" ht="20.25" customHeight="1" x14ac:dyDescent="0.3">
      <c r="A126" s="256">
        <v>9</v>
      </c>
      <c r="B126" s="257" t="s">
        <v>447</v>
      </c>
      <c r="C126" s="260">
        <v>47</v>
      </c>
      <c r="D126" s="260">
        <v>119</v>
      </c>
      <c r="E126" s="260">
        <f t="shared" si="16"/>
        <v>72</v>
      </c>
      <c r="F126" s="259">
        <f t="shared" si="17"/>
        <v>1.5319148936170213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2315487</v>
      </c>
      <c r="D127" s="263">
        <f>+D118+D120</f>
        <v>6760409</v>
      </c>
      <c r="E127" s="263">
        <f t="shared" si="16"/>
        <v>4444922</v>
      </c>
      <c r="F127" s="264">
        <f t="shared" si="17"/>
        <v>1.9196488686829163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767222</v>
      </c>
      <c r="D128" s="263">
        <f>+D119+D121</f>
        <v>2166634</v>
      </c>
      <c r="E128" s="263">
        <f t="shared" si="16"/>
        <v>1399412</v>
      </c>
      <c r="F128" s="264">
        <f t="shared" si="17"/>
        <v>1.8239987904413586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12720895</v>
      </c>
      <c r="D183" s="258">
        <v>15100571</v>
      </c>
      <c r="E183" s="258">
        <f t="shared" ref="E183:E193" si="26">D183-C183</f>
        <v>2379676</v>
      </c>
      <c r="F183" s="259">
        <f t="shared" ref="F183:F193" si="27">IF(C183=0,0,E183/C183)</f>
        <v>0.18706828411051266</v>
      </c>
    </row>
    <row r="184" spans="1:6" ht="20.25" customHeight="1" x14ac:dyDescent="0.3">
      <c r="A184" s="256">
        <v>2</v>
      </c>
      <c r="B184" s="257" t="s">
        <v>442</v>
      </c>
      <c r="C184" s="258">
        <v>5256253</v>
      </c>
      <c r="D184" s="258">
        <v>5791111</v>
      </c>
      <c r="E184" s="258">
        <f t="shared" si="26"/>
        <v>534858</v>
      </c>
      <c r="F184" s="259">
        <f t="shared" si="27"/>
        <v>0.1017565174279092</v>
      </c>
    </row>
    <row r="185" spans="1:6" ht="20.25" customHeight="1" x14ac:dyDescent="0.3">
      <c r="A185" s="256">
        <v>3</v>
      </c>
      <c r="B185" s="257" t="s">
        <v>443</v>
      </c>
      <c r="C185" s="258">
        <v>9395874</v>
      </c>
      <c r="D185" s="258">
        <v>11451018</v>
      </c>
      <c r="E185" s="258">
        <f t="shared" si="26"/>
        <v>2055144</v>
      </c>
      <c r="F185" s="259">
        <f t="shared" si="27"/>
        <v>0.21872834820901174</v>
      </c>
    </row>
    <row r="186" spans="1:6" ht="20.25" customHeight="1" x14ac:dyDescent="0.3">
      <c r="A186" s="256">
        <v>4</v>
      </c>
      <c r="B186" s="257" t="s">
        <v>444</v>
      </c>
      <c r="C186" s="258">
        <v>2402579</v>
      </c>
      <c r="D186" s="258">
        <v>2899833</v>
      </c>
      <c r="E186" s="258">
        <f t="shared" si="26"/>
        <v>497254</v>
      </c>
      <c r="F186" s="259">
        <f t="shared" si="27"/>
        <v>0.20696676363191388</v>
      </c>
    </row>
    <row r="187" spans="1:6" ht="20.25" customHeight="1" x14ac:dyDescent="0.3">
      <c r="A187" s="256">
        <v>5</v>
      </c>
      <c r="B187" s="257" t="s">
        <v>381</v>
      </c>
      <c r="C187" s="260">
        <v>540</v>
      </c>
      <c r="D187" s="260">
        <v>562</v>
      </c>
      <c r="E187" s="260">
        <f t="shared" si="26"/>
        <v>22</v>
      </c>
      <c r="F187" s="259">
        <f t="shared" si="27"/>
        <v>4.0740740740740744E-2</v>
      </c>
    </row>
    <row r="188" spans="1:6" ht="20.25" customHeight="1" x14ac:dyDescent="0.3">
      <c r="A188" s="256">
        <v>6</v>
      </c>
      <c r="B188" s="257" t="s">
        <v>380</v>
      </c>
      <c r="C188" s="260">
        <v>2412</v>
      </c>
      <c r="D188" s="260">
        <v>2836</v>
      </c>
      <c r="E188" s="260">
        <f t="shared" si="26"/>
        <v>424</v>
      </c>
      <c r="F188" s="259">
        <f t="shared" si="27"/>
        <v>0.175787728026534</v>
      </c>
    </row>
    <row r="189" spans="1:6" ht="20.25" customHeight="1" x14ac:dyDescent="0.3">
      <c r="A189" s="256">
        <v>7</v>
      </c>
      <c r="B189" s="257" t="s">
        <v>445</v>
      </c>
      <c r="C189" s="260">
        <v>3452</v>
      </c>
      <c r="D189" s="260">
        <v>4150</v>
      </c>
      <c r="E189" s="260">
        <f t="shared" si="26"/>
        <v>698</v>
      </c>
      <c r="F189" s="259">
        <f t="shared" si="27"/>
        <v>0.2022016222479722</v>
      </c>
    </row>
    <row r="190" spans="1:6" ht="20.25" customHeight="1" x14ac:dyDescent="0.3">
      <c r="A190" s="256">
        <v>8</v>
      </c>
      <c r="B190" s="257" t="s">
        <v>446</v>
      </c>
      <c r="C190" s="260">
        <v>1332</v>
      </c>
      <c r="D190" s="260">
        <v>1130</v>
      </c>
      <c r="E190" s="260">
        <f t="shared" si="26"/>
        <v>-202</v>
      </c>
      <c r="F190" s="259">
        <f t="shared" si="27"/>
        <v>-0.15165165165165165</v>
      </c>
    </row>
    <row r="191" spans="1:6" ht="20.25" customHeight="1" x14ac:dyDescent="0.3">
      <c r="A191" s="256">
        <v>9</v>
      </c>
      <c r="B191" s="257" t="s">
        <v>447</v>
      </c>
      <c r="C191" s="260">
        <v>497</v>
      </c>
      <c r="D191" s="260">
        <v>506</v>
      </c>
      <c r="E191" s="260">
        <f t="shared" si="26"/>
        <v>9</v>
      </c>
      <c r="F191" s="259">
        <f t="shared" si="27"/>
        <v>1.8108651911468814E-2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22116769</v>
      </c>
      <c r="D192" s="263">
        <f>+D183+D185</f>
        <v>26551589</v>
      </c>
      <c r="E192" s="263">
        <f t="shared" si="26"/>
        <v>4434820</v>
      </c>
      <c r="F192" s="264">
        <f t="shared" si="27"/>
        <v>0.20051843919878171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7658832</v>
      </c>
      <c r="D193" s="263">
        <f>+D184+D186</f>
        <v>8690944</v>
      </c>
      <c r="E193" s="263">
        <f t="shared" si="26"/>
        <v>1032112</v>
      </c>
      <c r="F193" s="264">
        <f t="shared" si="27"/>
        <v>0.13476101839027152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24475499</v>
      </c>
      <c r="D198" s="263">
        <f t="shared" si="28"/>
        <v>29868404</v>
      </c>
      <c r="E198" s="263">
        <f t="shared" ref="E198:E208" si="29">D198-C198</f>
        <v>5392905</v>
      </c>
      <c r="F198" s="273">
        <f t="shared" ref="F198:F208" si="30">IF(C198=0,0,E198/C198)</f>
        <v>0.22033891934133804</v>
      </c>
    </row>
    <row r="199" spans="1:9" ht="20.25" customHeight="1" x14ac:dyDescent="0.3">
      <c r="A199" s="271"/>
      <c r="B199" s="272" t="s">
        <v>466</v>
      </c>
      <c r="C199" s="263">
        <f t="shared" si="28"/>
        <v>9660667</v>
      </c>
      <c r="D199" s="263">
        <f t="shared" si="28"/>
        <v>11628291</v>
      </c>
      <c r="E199" s="263">
        <f t="shared" si="29"/>
        <v>1967624</v>
      </c>
      <c r="F199" s="273">
        <f t="shared" si="30"/>
        <v>0.20367372149355734</v>
      </c>
    </row>
    <row r="200" spans="1:9" ht="20.25" customHeight="1" x14ac:dyDescent="0.3">
      <c r="A200" s="271"/>
      <c r="B200" s="272" t="s">
        <v>467</v>
      </c>
      <c r="C200" s="263">
        <f t="shared" si="28"/>
        <v>20200256</v>
      </c>
      <c r="D200" s="263">
        <f t="shared" si="28"/>
        <v>26050244</v>
      </c>
      <c r="E200" s="263">
        <f t="shared" si="29"/>
        <v>5849988</v>
      </c>
      <c r="F200" s="273">
        <f t="shared" si="30"/>
        <v>0.28959969616226644</v>
      </c>
    </row>
    <row r="201" spans="1:9" ht="20.25" customHeight="1" x14ac:dyDescent="0.3">
      <c r="A201" s="271"/>
      <c r="B201" s="272" t="s">
        <v>468</v>
      </c>
      <c r="C201" s="263">
        <f t="shared" si="28"/>
        <v>5520277</v>
      </c>
      <c r="D201" s="263">
        <f t="shared" si="28"/>
        <v>6863581</v>
      </c>
      <c r="E201" s="263">
        <f t="shared" si="29"/>
        <v>1343304</v>
      </c>
      <c r="F201" s="273">
        <f t="shared" si="30"/>
        <v>0.2433399628315753</v>
      </c>
    </row>
    <row r="202" spans="1:9" ht="20.25" customHeight="1" x14ac:dyDescent="0.3">
      <c r="A202" s="271"/>
      <c r="B202" s="272" t="s">
        <v>138</v>
      </c>
      <c r="C202" s="274">
        <f t="shared" si="28"/>
        <v>987</v>
      </c>
      <c r="D202" s="274">
        <f t="shared" si="28"/>
        <v>1109</v>
      </c>
      <c r="E202" s="274">
        <f t="shared" si="29"/>
        <v>122</v>
      </c>
      <c r="F202" s="273">
        <f t="shared" si="30"/>
        <v>0.12360688956433637</v>
      </c>
    </row>
    <row r="203" spans="1:9" ht="20.25" customHeight="1" x14ac:dyDescent="0.3">
      <c r="A203" s="271"/>
      <c r="B203" s="272" t="s">
        <v>140</v>
      </c>
      <c r="C203" s="274">
        <f t="shared" si="28"/>
        <v>4568</v>
      </c>
      <c r="D203" s="274">
        <f t="shared" si="28"/>
        <v>5501</v>
      </c>
      <c r="E203" s="274">
        <f t="shared" si="29"/>
        <v>933</v>
      </c>
      <c r="F203" s="273">
        <f t="shared" si="30"/>
        <v>0.20424693520140105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7389</v>
      </c>
      <c r="D204" s="274">
        <f t="shared" si="28"/>
        <v>9276</v>
      </c>
      <c r="E204" s="274">
        <f t="shared" si="29"/>
        <v>1887</v>
      </c>
      <c r="F204" s="273">
        <f t="shared" si="30"/>
        <v>0.25537961835160372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2383</v>
      </c>
      <c r="D205" s="274">
        <f t="shared" si="28"/>
        <v>2171</v>
      </c>
      <c r="E205" s="274">
        <f t="shared" si="29"/>
        <v>-212</v>
      </c>
      <c r="F205" s="273">
        <f t="shared" si="30"/>
        <v>-8.8963491397398231E-2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873</v>
      </c>
      <c r="D206" s="274">
        <f t="shared" si="28"/>
        <v>982</v>
      </c>
      <c r="E206" s="274">
        <f t="shared" si="29"/>
        <v>109</v>
      </c>
      <c r="F206" s="273">
        <f t="shared" si="30"/>
        <v>0.12485681557846506</v>
      </c>
    </row>
    <row r="207" spans="1:9" ht="20.25" customHeight="1" x14ac:dyDescent="0.3">
      <c r="A207" s="271"/>
      <c r="B207" s="262" t="s">
        <v>471</v>
      </c>
      <c r="C207" s="263">
        <f>+C198+C200</f>
        <v>44675755</v>
      </c>
      <c r="D207" s="263">
        <f>+D198+D200</f>
        <v>55918648</v>
      </c>
      <c r="E207" s="263">
        <f t="shared" si="29"/>
        <v>11242893</v>
      </c>
      <c r="F207" s="273">
        <f t="shared" si="30"/>
        <v>0.2516553553487792</v>
      </c>
    </row>
    <row r="208" spans="1:9" ht="20.25" customHeight="1" x14ac:dyDescent="0.3">
      <c r="A208" s="271"/>
      <c r="B208" s="262" t="s">
        <v>472</v>
      </c>
      <c r="C208" s="263">
        <f>+C199+C201</f>
        <v>15180944</v>
      </c>
      <c r="D208" s="263">
        <f>+D199+D201</f>
        <v>18491872</v>
      </c>
      <c r="E208" s="263">
        <f t="shared" si="29"/>
        <v>3310928</v>
      </c>
      <c r="F208" s="273">
        <f t="shared" si="30"/>
        <v>0.21809763608903374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2019081</v>
      </c>
      <c r="D26" s="258">
        <v>0</v>
      </c>
      <c r="E26" s="258">
        <f t="shared" ref="E26:E36" si="2">D26-C26</f>
        <v>-2019081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473526</v>
      </c>
      <c r="D27" s="258">
        <v>0</v>
      </c>
      <c r="E27" s="258">
        <f t="shared" si="2"/>
        <v>-473526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4591255</v>
      </c>
      <c r="D28" s="258">
        <v>0</v>
      </c>
      <c r="E28" s="258">
        <f t="shared" si="2"/>
        <v>-4591255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1186256</v>
      </c>
      <c r="D29" s="258">
        <v>0</v>
      </c>
      <c r="E29" s="258">
        <f t="shared" si="2"/>
        <v>-1186256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160</v>
      </c>
      <c r="D30" s="260">
        <v>0</v>
      </c>
      <c r="E30" s="260">
        <f t="shared" si="2"/>
        <v>-160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437</v>
      </c>
      <c r="D31" s="260">
        <v>0</v>
      </c>
      <c r="E31" s="260">
        <f t="shared" si="2"/>
        <v>-437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1266</v>
      </c>
      <c r="D32" s="260">
        <v>0</v>
      </c>
      <c r="E32" s="260">
        <f t="shared" si="2"/>
        <v>-1266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4091</v>
      </c>
      <c r="D33" s="260">
        <v>0</v>
      </c>
      <c r="E33" s="260">
        <f t="shared" si="2"/>
        <v>-4091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46</v>
      </c>
      <c r="D34" s="260">
        <v>0</v>
      </c>
      <c r="E34" s="260">
        <f t="shared" si="2"/>
        <v>-46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6610336</v>
      </c>
      <c r="D35" s="263">
        <f>+D26+D28</f>
        <v>0</v>
      </c>
      <c r="E35" s="263">
        <f t="shared" si="2"/>
        <v>-6610336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1659782</v>
      </c>
      <c r="D36" s="263">
        <f>+D27+D29</f>
        <v>0</v>
      </c>
      <c r="E36" s="263">
        <f t="shared" si="2"/>
        <v>-1659782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98280</v>
      </c>
      <c r="D86" s="258">
        <v>0</v>
      </c>
      <c r="E86" s="258">
        <f t="shared" ref="E86:E96" si="12">D86-C86</f>
        <v>-98280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22839</v>
      </c>
      <c r="D87" s="258">
        <v>0</v>
      </c>
      <c r="E87" s="258">
        <f t="shared" si="12"/>
        <v>-22839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285922</v>
      </c>
      <c r="D88" s="258">
        <v>0</v>
      </c>
      <c r="E88" s="258">
        <f t="shared" si="12"/>
        <v>-285922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78962</v>
      </c>
      <c r="D89" s="258">
        <v>0</v>
      </c>
      <c r="E89" s="258">
        <f t="shared" si="12"/>
        <v>-78962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9</v>
      </c>
      <c r="D90" s="260">
        <v>0</v>
      </c>
      <c r="E90" s="260">
        <f t="shared" si="12"/>
        <v>-9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19</v>
      </c>
      <c r="D91" s="260">
        <v>0</v>
      </c>
      <c r="E91" s="260">
        <f t="shared" si="12"/>
        <v>-19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65</v>
      </c>
      <c r="D92" s="260">
        <v>0</v>
      </c>
      <c r="E92" s="260">
        <f t="shared" si="12"/>
        <v>-65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271</v>
      </c>
      <c r="D93" s="260">
        <v>0</v>
      </c>
      <c r="E93" s="260">
        <f t="shared" si="12"/>
        <v>-271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384202</v>
      </c>
      <c r="D95" s="263">
        <f>+D86+D88</f>
        <v>0</v>
      </c>
      <c r="E95" s="263">
        <f t="shared" si="12"/>
        <v>-384202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101801</v>
      </c>
      <c r="D96" s="263">
        <f>+D87+D89</f>
        <v>0</v>
      </c>
      <c r="E96" s="263">
        <f t="shared" si="12"/>
        <v>-101801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294832</v>
      </c>
      <c r="D98" s="258">
        <v>0</v>
      </c>
      <c r="E98" s="258">
        <f t="shared" ref="E98:E108" si="14">D98-C98</f>
        <v>-294832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134016</v>
      </c>
      <c r="D99" s="258">
        <v>0</v>
      </c>
      <c r="E99" s="258">
        <f t="shared" si="14"/>
        <v>-134016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423719</v>
      </c>
      <c r="D100" s="258">
        <v>0</v>
      </c>
      <c r="E100" s="258">
        <f t="shared" si="14"/>
        <v>-423719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102413</v>
      </c>
      <c r="D101" s="258">
        <v>0</v>
      </c>
      <c r="E101" s="258">
        <f t="shared" si="14"/>
        <v>-102413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36</v>
      </c>
      <c r="D102" s="260">
        <v>0</v>
      </c>
      <c r="E102" s="260">
        <f t="shared" si="14"/>
        <v>-36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80</v>
      </c>
      <c r="D103" s="260">
        <v>0</v>
      </c>
      <c r="E103" s="260">
        <f t="shared" si="14"/>
        <v>-80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101</v>
      </c>
      <c r="D104" s="260">
        <v>0</v>
      </c>
      <c r="E104" s="260">
        <f t="shared" si="14"/>
        <v>-101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495</v>
      </c>
      <c r="D105" s="260">
        <v>0</v>
      </c>
      <c r="E105" s="260">
        <f t="shared" si="14"/>
        <v>-495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3</v>
      </c>
      <c r="D106" s="260">
        <v>0</v>
      </c>
      <c r="E106" s="260">
        <f t="shared" si="14"/>
        <v>-3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718551</v>
      </c>
      <c r="D107" s="263">
        <f>+D98+D100</f>
        <v>0</v>
      </c>
      <c r="E107" s="263">
        <f t="shared" si="14"/>
        <v>-718551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236429</v>
      </c>
      <c r="D108" s="263">
        <f>+D99+D101</f>
        <v>0</v>
      </c>
      <c r="E108" s="263">
        <f t="shared" si="14"/>
        <v>-236429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2412193</v>
      </c>
      <c r="D112" s="263">
        <f t="shared" si="16"/>
        <v>0</v>
      </c>
      <c r="E112" s="263">
        <f t="shared" ref="E112:E122" si="17">D112-C112</f>
        <v>-2412193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630381</v>
      </c>
      <c r="D113" s="263">
        <f t="shared" si="16"/>
        <v>0</v>
      </c>
      <c r="E113" s="263">
        <f t="shared" si="17"/>
        <v>-630381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5300896</v>
      </c>
      <c r="D114" s="263">
        <f t="shared" si="16"/>
        <v>0</v>
      </c>
      <c r="E114" s="263">
        <f t="shared" si="17"/>
        <v>-5300896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1367631</v>
      </c>
      <c r="D115" s="263">
        <f t="shared" si="16"/>
        <v>0</v>
      </c>
      <c r="E115" s="263">
        <f t="shared" si="17"/>
        <v>-1367631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205</v>
      </c>
      <c r="D116" s="287">
        <f t="shared" si="16"/>
        <v>0</v>
      </c>
      <c r="E116" s="287">
        <f t="shared" si="17"/>
        <v>-205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536</v>
      </c>
      <c r="D117" s="287">
        <f t="shared" si="16"/>
        <v>0</v>
      </c>
      <c r="E117" s="287">
        <f t="shared" si="17"/>
        <v>-536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1432</v>
      </c>
      <c r="D118" s="287">
        <f t="shared" si="16"/>
        <v>0</v>
      </c>
      <c r="E118" s="287">
        <f t="shared" si="17"/>
        <v>-1432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4857</v>
      </c>
      <c r="D119" s="287">
        <f t="shared" si="16"/>
        <v>0</v>
      </c>
      <c r="E119" s="287">
        <f t="shared" si="17"/>
        <v>-4857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49</v>
      </c>
      <c r="D120" s="287">
        <f t="shared" si="16"/>
        <v>0</v>
      </c>
      <c r="E120" s="287">
        <f t="shared" si="17"/>
        <v>-49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7713089</v>
      </c>
      <c r="D121" s="263">
        <f>+D112+D114</f>
        <v>0</v>
      </c>
      <c r="E121" s="263">
        <f t="shared" si="17"/>
        <v>-7713089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1998012</v>
      </c>
      <c r="D122" s="263">
        <f>+D113+D115</f>
        <v>0</v>
      </c>
      <c r="E122" s="263">
        <f t="shared" si="17"/>
        <v>-1998012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47972840</v>
      </c>
      <c r="D13" s="22">
        <v>28465876</v>
      </c>
      <c r="E13" s="22">
        <f t="shared" ref="E13:E22" si="0">D13-C13</f>
        <v>-19506964</v>
      </c>
      <c r="F13" s="306">
        <f t="shared" ref="F13:F22" si="1">IF(C13=0,0,E13/C13)</f>
        <v>-0.40662516540609228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25147640</v>
      </c>
      <c r="D15" s="22">
        <v>27767137</v>
      </c>
      <c r="E15" s="22">
        <f t="shared" si="0"/>
        <v>2619497</v>
      </c>
      <c r="F15" s="306">
        <f t="shared" si="1"/>
        <v>0.10416472480121396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6319474</v>
      </c>
      <c r="D17" s="22">
        <v>2663150</v>
      </c>
      <c r="E17" s="22">
        <f t="shared" si="0"/>
        <v>-3656324</v>
      </c>
      <c r="F17" s="306">
        <f t="shared" si="1"/>
        <v>-0.57858043248536195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1517735</v>
      </c>
      <c r="E18" s="22">
        <f t="shared" si="0"/>
        <v>1517735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2649756</v>
      </c>
      <c r="D19" s="22">
        <v>2719853</v>
      </c>
      <c r="E19" s="22">
        <f t="shared" si="0"/>
        <v>70097</v>
      </c>
      <c r="F19" s="306">
        <f t="shared" si="1"/>
        <v>2.645413389006384E-2</v>
      </c>
    </row>
    <row r="20" spans="1:11" ht="24" customHeight="1" x14ac:dyDescent="0.2">
      <c r="A20" s="304">
        <v>8</v>
      </c>
      <c r="B20" s="305" t="s">
        <v>23</v>
      </c>
      <c r="C20" s="22">
        <v>2789213</v>
      </c>
      <c r="D20" s="22">
        <v>4945131</v>
      </c>
      <c r="E20" s="22">
        <f t="shared" si="0"/>
        <v>2155918</v>
      </c>
      <c r="F20" s="306">
        <f t="shared" si="1"/>
        <v>0.77294849837570667</v>
      </c>
    </row>
    <row r="21" spans="1:11" ht="24" customHeight="1" x14ac:dyDescent="0.2">
      <c r="A21" s="304">
        <v>9</v>
      </c>
      <c r="B21" s="305" t="s">
        <v>24</v>
      </c>
      <c r="C21" s="22">
        <v>9036167</v>
      </c>
      <c r="D21" s="22">
        <v>7456493</v>
      </c>
      <c r="E21" s="22">
        <f t="shared" si="0"/>
        <v>-1579674</v>
      </c>
      <c r="F21" s="306">
        <f t="shared" si="1"/>
        <v>-0.1748168222211918</v>
      </c>
    </row>
    <row r="22" spans="1:11" ht="24" customHeight="1" x14ac:dyDescent="0.25">
      <c r="A22" s="307"/>
      <c r="B22" s="308" t="s">
        <v>25</v>
      </c>
      <c r="C22" s="309">
        <f>SUM(C13:C21)</f>
        <v>93915090</v>
      </c>
      <c r="D22" s="309">
        <f>SUM(D13:D21)</f>
        <v>75535375</v>
      </c>
      <c r="E22" s="309">
        <f t="shared" si="0"/>
        <v>-18379715</v>
      </c>
      <c r="F22" s="310">
        <f t="shared" si="1"/>
        <v>-0.19570566348815724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13223292</v>
      </c>
      <c r="D25" s="22">
        <v>13953158</v>
      </c>
      <c r="E25" s="22">
        <f>D25-C25</f>
        <v>729866</v>
      </c>
      <c r="F25" s="306">
        <f>IF(C25=0,0,E25/C25)</f>
        <v>5.5195483847743816E-2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6312325</v>
      </c>
      <c r="D27" s="22">
        <v>6312325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65932</v>
      </c>
      <c r="D28" s="22">
        <v>62809</v>
      </c>
      <c r="E28" s="22">
        <f>D28-C28</f>
        <v>-3123</v>
      </c>
      <c r="F28" s="306">
        <f>IF(C28=0,0,E28/C28)</f>
        <v>-4.7366984165503855E-2</v>
      </c>
    </row>
    <row r="29" spans="1:11" ht="35.1" customHeight="1" x14ac:dyDescent="0.25">
      <c r="A29" s="307"/>
      <c r="B29" s="308" t="s">
        <v>32</v>
      </c>
      <c r="C29" s="309">
        <f>SUM(C25:C28)</f>
        <v>19601549</v>
      </c>
      <c r="D29" s="309">
        <f>SUM(D25:D28)</f>
        <v>20328292</v>
      </c>
      <c r="E29" s="309">
        <f>D29-C29</f>
        <v>726743</v>
      </c>
      <c r="F29" s="310">
        <f>IF(C29=0,0,E29/C29)</f>
        <v>3.7075794367067622E-2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38819627</v>
      </c>
      <c r="E31" s="22">
        <f>D31-C31</f>
        <v>38819627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14919838</v>
      </c>
      <c r="D32" s="22">
        <v>0</v>
      </c>
      <c r="E32" s="22">
        <f>D32-C32</f>
        <v>-14919838</v>
      </c>
      <c r="F32" s="306">
        <f>IF(C32=0,0,E32/C32)</f>
        <v>-1</v>
      </c>
    </row>
    <row r="33" spans="1:8" ht="24" customHeight="1" x14ac:dyDescent="0.2">
      <c r="A33" s="304">
        <v>7</v>
      </c>
      <c r="B33" s="305" t="s">
        <v>35</v>
      </c>
      <c r="C33" s="22">
        <v>36966559</v>
      </c>
      <c r="D33" s="22">
        <v>15933679</v>
      </c>
      <c r="E33" s="22">
        <f>D33-C33</f>
        <v>-21032880</v>
      </c>
      <c r="F33" s="306">
        <f>IF(C33=0,0,E33/C33)</f>
        <v>-0.56897045786706846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252998135</v>
      </c>
      <c r="D36" s="22">
        <v>255439409</v>
      </c>
      <c r="E36" s="22">
        <f>D36-C36</f>
        <v>2441274</v>
      </c>
      <c r="F36" s="306">
        <f>IF(C36=0,0,E36/C36)</f>
        <v>9.6493754785978957E-3</v>
      </c>
    </row>
    <row r="37" spans="1:8" ht="24" customHeight="1" x14ac:dyDescent="0.2">
      <c r="A37" s="304">
        <v>2</v>
      </c>
      <c r="B37" s="305" t="s">
        <v>39</v>
      </c>
      <c r="C37" s="22">
        <v>126840826</v>
      </c>
      <c r="D37" s="22">
        <v>134829314</v>
      </c>
      <c r="E37" s="22">
        <f>D37-C37</f>
        <v>7988488</v>
      </c>
      <c r="F37" s="22">
        <f>IF(C37=0,0,E37/C37)</f>
        <v>6.2980416100412343E-2</v>
      </c>
    </row>
    <row r="38" spans="1:8" ht="24" customHeight="1" x14ac:dyDescent="0.25">
      <c r="A38" s="307"/>
      <c r="B38" s="308" t="s">
        <v>40</v>
      </c>
      <c r="C38" s="309">
        <f>C36-C37</f>
        <v>126157309</v>
      </c>
      <c r="D38" s="309">
        <f>D36-D37</f>
        <v>120610095</v>
      </c>
      <c r="E38" s="309">
        <f>D38-C38</f>
        <v>-5547214</v>
      </c>
      <c r="F38" s="310">
        <f>IF(C38=0,0,E38/C38)</f>
        <v>-4.3970611326213369E-2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1631461</v>
      </c>
      <c r="D40" s="22">
        <v>1879662</v>
      </c>
      <c r="E40" s="22">
        <f>D40-C40</f>
        <v>248201</v>
      </c>
      <c r="F40" s="306">
        <f>IF(C40=0,0,E40/C40)</f>
        <v>0.15213419137815737</v>
      </c>
    </row>
    <row r="41" spans="1:8" ht="24" customHeight="1" x14ac:dyDescent="0.25">
      <c r="A41" s="307"/>
      <c r="B41" s="308" t="s">
        <v>42</v>
      </c>
      <c r="C41" s="309">
        <f>+C38+C40</f>
        <v>127788770</v>
      </c>
      <c r="D41" s="309">
        <f>+D38+D40</f>
        <v>122489757</v>
      </c>
      <c r="E41" s="309">
        <f>D41-C41</f>
        <v>-5299013</v>
      </c>
      <c r="F41" s="310">
        <f>IF(C41=0,0,E41/C41)</f>
        <v>-4.1466969280633974E-2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293191806</v>
      </c>
      <c r="D43" s="309">
        <f>D22+D29+D31+D32+D33+D41</f>
        <v>273106730</v>
      </c>
      <c r="E43" s="309">
        <f>D43-C43</f>
        <v>-20085076</v>
      </c>
      <c r="F43" s="310">
        <f>IF(C43=0,0,E43/C43)</f>
        <v>-6.8504902214081662E-2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11891063</v>
      </c>
      <c r="D49" s="22">
        <v>13352496</v>
      </c>
      <c r="E49" s="22">
        <f t="shared" ref="E49:E56" si="2">D49-C49</f>
        <v>1461433</v>
      </c>
      <c r="F49" s="306">
        <f t="shared" ref="F49:F56" si="3">IF(C49=0,0,E49/C49)</f>
        <v>0.12290179607996359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10062117</v>
      </c>
      <c r="D50" s="22">
        <v>9070645</v>
      </c>
      <c r="E50" s="22">
        <f t="shared" si="2"/>
        <v>-991472</v>
      </c>
      <c r="F50" s="306">
        <f t="shared" si="3"/>
        <v>-9.8535129337096752E-2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3562417</v>
      </c>
      <c r="D51" s="22">
        <v>0</v>
      </c>
      <c r="E51" s="22">
        <f t="shared" si="2"/>
        <v>-3562417</v>
      </c>
      <c r="F51" s="306">
        <f t="shared" si="3"/>
        <v>-1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1445398</v>
      </c>
      <c r="E52" s="22">
        <f t="shared" si="2"/>
        <v>1445398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669578</v>
      </c>
      <c r="E53" s="22">
        <f t="shared" si="2"/>
        <v>669578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4665737</v>
      </c>
      <c r="D55" s="22">
        <v>6458439</v>
      </c>
      <c r="E55" s="22">
        <f t="shared" si="2"/>
        <v>1792702</v>
      </c>
      <c r="F55" s="306">
        <f t="shared" si="3"/>
        <v>0.38422697207322232</v>
      </c>
    </row>
    <row r="56" spans="1:6" ht="24" customHeight="1" x14ac:dyDescent="0.25">
      <c r="A56" s="307"/>
      <c r="B56" s="308" t="s">
        <v>54</v>
      </c>
      <c r="C56" s="309">
        <f>SUM(C49:C55)</f>
        <v>30181334</v>
      </c>
      <c r="D56" s="309">
        <f>SUM(D49:D55)</f>
        <v>30996556</v>
      </c>
      <c r="E56" s="309">
        <f t="shared" si="2"/>
        <v>815222</v>
      </c>
      <c r="F56" s="310">
        <f t="shared" si="3"/>
        <v>2.7010800781701698E-2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88731315</v>
      </c>
      <c r="D59" s="22">
        <v>87806192</v>
      </c>
      <c r="E59" s="22">
        <f>D59-C59</f>
        <v>-925123</v>
      </c>
      <c r="F59" s="306">
        <f>IF(C59=0,0,E59/C59)</f>
        <v>-1.0426116191335606E-2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88731315</v>
      </c>
      <c r="D61" s="309">
        <f>SUM(D59:D60)</f>
        <v>87806192</v>
      </c>
      <c r="E61" s="309">
        <f>D61-C61</f>
        <v>-925123</v>
      </c>
      <c r="F61" s="310">
        <f>IF(C61=0,0,E61/C61)</f>
        <v>-1.0426116191335606E-2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56785518</v>
      </c>
      <c r="D63" s="22">
        <v>18941059</v>
      </c>
      <c r="E63" s="22">
        <f>D63-C63</f>
        <v>-37844459</v>
      </c>
      <c r="F63" s="306">
        <f>IF(C63=0,0,E63/C63)</f>
        <v>-0.66644560678305342</v>
      </c>
    </row>
    <row r="64" spans="1:6" ht="24" customHeight="1" x14ac:dyDescent="0.2">
      <c r="A64" s="304">
        <v>4</v>
      </c>
      <c r="B64" s="305" t="s">
        <v>60</v>
      </c>
      <c r="C64" s="22">
        <v>26866681</v>
      </c>
      <c r="D64" s="22">
        <v>22700592</v>
      </c>
      <c r="E64" s="22">
        <f>D64-C64</f>
        <v>-4166089</v>
      </c>
      <c r="F64" s="306">
        <f>IF(C64=0,0,E64/C64)</f>
        <v>-0.15506526466741463</v>
      </c>
    </row>
    <row r="65" spans="1:6" ht="24" customHeight="1" x14ac:dyDescent="0.25">
      <c r="A65" s="307"/>
      <c r="B65" s="308" t="s">
        <v>61</v>
      </c>
      <c r="C65" s="309">
        <f>SUM(C61:C64)</f>
        <v>172383514</v>
      </c>
      <c r="D65" s="309">
        <f>SUM(D61:D64)</f>
        <v>129447843</v>
      </c>
      <c r="E65" s="309">
        <f>D65-C65</f>
        <v>-42935671</v>
      </c>
      <c r="F65" s="310">
        <f>IF(C65=0,0,E65/C65)</f>
        <v>-0.24907063328573287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74346080</v>
      </c>
      <c r="D70" s="22">
        <v>95882676</v>
      </c>
      <c r="E70" s="22">
        <f>D70-C70</f>
        <v>21536596</v>
      </c>
      <c r="F70" s="306">
        <f>IF(C70=0,0,E70/C70)</f>
        <v>0.28968031670264255</v>
      </c>
    </row>
    <row r="71" spans="1:6" ht="24" customHeight="1" x14ac:dyDescent="0.2">
      <c r="A71" s="304">
        <v>2</v>
      </c>
      <c r="B71" s="305" t="s">
        <v>65</v>
      </c>
      <c r="C71" s="22">
        <v>2279087</v>
      </c>
      <c r="D71" s="22">
        <v>2047687</v>
      </c>
      <c r="E71" s="22">
        <f>D71-C71</f>
        <v>-231400</v>
      </c>
      <c r="F71" s="306">
        <f>IF(C71=0,0,E71/C71)</f>
        <v>-0.10153188535584644</v>
      </c>
    </row>
    <row r="72" spans="1:6" ht="24" customHeight="1" x14ac:dyDescent="0.2">
      <c r="A72" s="304">
        <v>3</v>
      </c>
      <c r="B72" s="305" t="s">
        <v>66</v>
      </c>
      <c r="C72" s="22">
        <v>14001791</v>
      </c>
      <c r="D72" s="22">
        <v>14731968</v>
      </c>
      <c r="E72" s="22">
        <f>D72-C72</f>
        <v>730177</v>
      </c>
      <c r="F72" s="306">
        <f>IF(C72=0,0,E72/C72)</f>
        <v>5.2148828674845951E-2</v>
      </c>
    </row>
    <row r="73" spans="1:6" ht="24" customHeight="1" x14ac:dyDescent="0.25">
      <c r="A73" s="304"/>
      <c r="B73" s="308" t="s">
        <v>67</v>
      </c>
      <c r="C73" s="309">
        <f>SUM(C70:C72)</f>
        <v>90626958</v>
      </c>
      <c r="D73" s="309">
        <f>SUM(D70:D72)</f>
        <v>112662331</v>
      </c>
      <c r="E73" s="309">
        <f>D73-C73</f>
        <v>22035373</v>
      </c>
      <c r="F73" s="310">
        <f>IF(C73=0,0,E73/C73)</f>
        <v>0.24314369020308504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293191806</v>
      </c>
      <c r="D75" s="309">
        <f>D56+D65+D67+D73</f>
        <v>273106730</v>
      </c>
      <c r="E75" s="309">
        <f>D75-C75</f>
        <v>-20085076</v>
      </c>
      <c r="F75" s="310">
        <f>IF(C75=0,0,E75/C75)</f>
        <v>-6.8504902214081662E-2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479645635</v>
      </c>
      <c r="D11" s="76">
        <v>505047658</v>
      </c>
      <c r="E11" s="76">
        <f t="shared" ref="E11:E20" si="0">D11-C11</f>
        <v>25402023</v>
      </c>
      <c r="F11" s="77">
        <f t="shared" ref="F11:F20" si="1">IF(C11=0,0,E11/C11)</f>
        <v>5.2959979506537157E-2</v>
      </c>
    </row>
    <row r="12" spans="1:7" ht="23.1" customHeight="1" x14ac:dyDescent="0.2">
      <c r="A12" s="74">
        <v>2</v>
      </c>
      <c r="B12" s="75" t="s">
        <v>72</v>
      </c>
      <c r="C12" s="76">
        <v>257058291</v>
      </c>
      <c r="D12" s="76">
        <v>277904920</v>
      </c>
      <c r="E12" s="76">
        <f t="shared" si="0"/>
        <v>20846629</v>
      </c>
      <c r="F12" s="77">
        <f t="shared" si="1"/>
        <v>8.1096894089286539E-2</v>
      </c>
    </row>
    <row r="13" spans="1:7" ht="23.1" customHeight="1" x14ac:dyDescent="0.2">
      <c r="A13" s="74">
        <v>3</v>
      </c>
      <c r="B13" s="75" t="s">
        <v>73</v>
      </c>
      <c r="C13" s="76">
        <v>4233596</v>
      </c>
      <c r="D13" s="76">
        <v>7131143</v>
      </c>
      <c r="E13" s="76">
        <f t="shared" si="0"/>
        <v>2897547</v>
      </c>
      <c r="F13" s="77">
        <f t="shared" si="1"/>
        <v>0.68441745504294693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218353748</v>
      </c>
      <c r="D15" s="79">
        <f>D11-D12-D13-D14</f>
        <v>220011595</v>
      </c>
      <c r="E15" s="79">
        <f t="shared" si="0"/>
        <v>1657847</v>
      </c>
      <c r="F15" s="80">
        <f t="shared" si="1"/>
        <v>7.5924824519155954E-3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2265391</v>
      </c>
      <c r="E16" s="76">
        <f t="shared" si="0"/>
        <v>2265391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218353748</v>
      </c>
      <c r="D17" s="79">
        <f>D15-D16</f>
        <v>217746204</v>
      </c>
      <c r="E17" s="79">
        <f t="shared" si="0"/>
        <v>-607544</v>
      </c>
      <c r="F17" s="80">
        <f t="shared" si="1"/>
        <v>-2.7823841155224871E-3</v>
      </c>
    </row>
    <row r="18" spans="1:7" ht="23.1" customHeight="1" x14ac:dyDescent="0.2">
      <c r="A18" s="74">
        <v>6</v>
      </c>
      <c r="B18" s="75" t="s">
        <v>78</v>
      </c>
      <c r="C18" s="76">
        <v>41887116</v>
      </c>
      <c r="D18" s="76">
        <v>18894548</v>
      </c>
      <c r="E18" s="76">
        <f t="shared" si="0"/>
        <v>-22992568</v>
      </c>
      <c r="F18" s="77">
        <f t="shared" si="1"/>
        <v>-0.5489174284522238</v>
      </c>
      <c r="G18" s="65"/>
    </row>
    <row r="19" spans="1:7" ht="33" customHeight="1" x14ac:dyDescent="0.2">
      <c r="A19" s="74">
        <v>7</v>
      </c>
      <c r="B19" s="82" t="s">
        <v>79</v>
      </c>
      <c r="C19" s="76">
        <v>327257</v>
      </c>
      <c r="D19" s="76">
        <v>245321</v>
      </c>
      <c r="E19" s="76">
        <f t="shared" si="0"/>
        <v>-81936</v>
      </c>
      <c r="F19" s="77">
        <f t="shared" si="1"/>
        <v>-0.25037203176708211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260568121</v>
      </c>
      <c r="D20" s="79">
        <f>SUM(D17:D19)</f>
        <v>236886073</v>
      </c>
      <c r="E20" s="79">
        <f t="shared" si="0"/>
        <v>-23682048</v>
      </c>
      <c r="F20" s="80">
        <f t="shared" si="1"/>
        <v>-9.0886206298428959E-2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78095938</v>
      </c>
      <c r="D23" s="76">
        <v>76115980</v>
      </c>
      <c r="E23" s="76">
        <f t="shared" ref="E23:E32" si="2">D23-C23</f>
        <v>-1979958</v>
      </c>
      <c r="F23" s="77">
        <f t="shared" ref="F23:F32" si="3">IF(C23=0,0,E23/C23)</f>
        <v>-2.5352893514128737E-2</v>
      </c>
    </row>
    <row r="24" spans="1:7" ht="23.1" customHeight="1" x14ac:dyDescent="0.2">
      <c r="A24" s="74">
        <v>2</v>
      </c>
      <c r="B24" s="75" t="s">
        <v>83</v>
      </c>
      <c r="C24" s="76">
        <v>28749594</v>
      </c>
      <c r="D24" s="76">
        <v>22947534</v>
      </c>
      <c r="E24" s="76">
        <f t="shared" si="2"/>
        <v>-5802060</v>
      </c>
      <c r="F24" s="77">
        <f t="shared" si="3"/>
        <v>-0.20181363256816776</v>
      </c>
    </row>
    <row r="25" spans="1:7" ht="23.1" customHeight="1" x14ac:dyDescent="0.2">
      <c r="A25" s="74">
        <v>3</v>
      </c>
      <c r="B25" s="75" t="s">
        <v>84</v>
      </c>
      <c r="C25" s="76">
        <v>6593565</v>
      </c>
      <c r="D25" s="76">
        <v>6572446</v>
      </c>
      <c r="E25" s="76">
        <f t="shared" si="2"/>
        <v>-21119</v>
      </c>
      <c r="F25" s="77">
        <f t="shared" si="3"/>
        <v>-3.2029713819458822E-3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30249936</v>
      </c>
      <c r="D26" s="76">
        <v>32274734</v>
      </c>
      <c r="E26" s="76">
        <f t="shared" si="2"/>
        <v>2024798</v>
      </c>
      <c r="F26" s="77">
        <f t="shared" si="3"/>
        <v>6.6935612690221885E-2</v>
      </c>
    </row>
    <row r="27" spans="1:7" ht="23.1" customHeight="1" x14ac:dyDescent="0.2">
      <c r="A27" s="74">
        <v>5</v>
      </c>
      <c r="B27" s="75" t="s">
        <v>86</v>
      </c>
      <c r="C27" s="76">
        <v>13214810</v>
      </c>
      <c r="D27" s="76">
        <v>13310897</v>
      </c>
      <c r="E27" s="76">
        <f t="shared" si="2"/>
        <v>96087</v>
      </c>
      <c r="F27" s="77">
        <f t="shared" si="3"/>
        <v>7.2711601604563362E-3</v>
      </c>
    </row>
    <row r="28" spans="1:7" ht="23.1" customHeight="1" x14ac:dyDescent="0.2">
      <c r="A28" s="74">
        <v>6</v>
      </c>
      <c r="B28" s="75" t="s">
        <v>87</v>
      </c>
      <c r="C28" s="76">
        <v>6461499</v>
      </c>
      <c r="D28" s="76">
        <v>0</v>
      </c>
      <c r="E28" s="76">
        <f t="shared" si="2"/>
        <v>-6461499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3996300</v>
      </c>
      <c r="D29" s="76">
        <v>3987276</v>
      </c>
      <c r="E29" s="76">
        <f t="shared" si="2"/>
        <v>-9024</v>
      </c>
      <c r="F29" s="77">
        <f t="shared" si="3"/>
        <v>-2.2580887320771716E-3</v>
      </c>
    </row>
    <row r="30" spans="1:7" ht="23.1" customHeight="1" x14ac:dyDescent="0.2">
      <c r="A30" s="74">
        <v>8</v>
      </c>
      <c r="B30" s="75" t="s">
        <v>89</v>
      </c>
      <c r="C30" s="76">
        <v>4164372</v>
      </c>
      <c r="D30" s="76">
        <v>2356019</v>
      </c>
      <c r="E30" s="76">
        <f t="shared" si="2"/>
        <v>-1808353</v>
      </c>
      <c r="F30" s="77">
        <f t="shared" si="3"/>
        <v>-0.43424386678231436</v>
      </c>
    </row>
    <row r="31" spans="1:7" ht="23.1" customHeight="1" x14ac:dyDescent="0.2">
      <c r="A31" s="74">
        <v>9</v>
      </c>
      <c r="B31" s="75" t="s">
        <v>90</v>
      </c>
      <c r="C31" s="76">
        <v>72620142</v>
      </c>
      <c r="D31" s="76">
        <v>65347599</v>
      </c>
      <c r="E31" s="76">
        <f t="shared" si="2"/>
        <v>-7272543</v>
      </c>
      <c r="F31" s="77">
        <f t="shared" si="3"/>
        <v>-0.10014498456915713</v>
      </c>
    </row>
    <row r="32" spans="1:7" ht="23.1" customHeight="1" x14ac:dyDescent="0.25">
      <c r="A32" s="71"/>
      <c r="B32" s="78" t="s">
        <v>91</v>
      </c>
      <c r="C32" s="79">
        <f>SUM(C23:C31)</f>
        <v>244146156</v>
      </c>
      <c r="D32" s="79">
        <f>SUM(D23:D31)</f>
        <v>222912485</v>
      </c>
      <c r="E32" s="79">
        <f t="shared" si="2"/>
        <v>-21233671</v>
      </c>
      <c r="F32" s="80">
        <f t="shared" si="3"/>
        <v>-8.6971146086772713E-2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16421965</v>
      </c>
      <c r="D34" s="79">
        <f>+D20-D32</f>
        <v>13973588</v>
      </c>
      <c r="E34" s="79">
        <f>D34-C34</f>
        <v>-2448377</v>
      </c>
      <c r="F34" s="80">
        <f>IF(C34=0,0,E34/C34)</f>
        <v>-0.14909159774728542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92682</v>
      </c>
      <c r="D37" s="76">
        <v>51290</v>
      </c>
      <c r="E37" s="76">
        <f>D37-C37</f>
        <v>-41392</v>
      </c>
      <c r="F37" s="77">
        <f>IF(C37=0,0,E37/C37)</f>
        <v>-0.44660236076044973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1355485</v>
      </c>
      <c r="D39" s="76">
        <v>4886057</v>
      </c>
      <c r="E39" s="76">
        <f>D39-C39</f>
        <v>3530572</v>
      </c>
      <c r="F39" s="77">
        <f>IF(C39=0,0,E39/C39)</f>
        <v>2.6046558980733834</v>
      </c>
    </row>
    <row r="40" spans="1:6" ht="23.1" customHeight="1" x14ac:dyDescent="0.25">
      <c r="A40" s="83"/>
      <c r="B40" s="78" t="s">
        <v>97</v>
      </c>
      <c r="C40" s="79">
        <f>SUM(C37:C39)</f>
        <v>1448167</v>
      </c>
      <c r="D40" s="79">
        <f>SUM(D37:D39)</f>
        <v>4937347</v>
      </c>
      <c r="E40" s="79">
        <f>D40-C40</f>
        <v>3489180</v>
      </c>
      <c r="F40" s="80">
        <f>IF(C40=0,0,E40/C40)</f>
        <v>2.4093768191099505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17870132</v>
      </c>
      <c r="D42" s="79">
        <f>D34+D40</f>
        <v>18910935</v>
      </c>
      <c r="E42" s="79">
        <f>D42-C42</f>
        <v>1040803</v>
      </c>
      <c r="F42" s="80">
        <f>IF(C42=0,0,E42/C42)</f>
        <v>5.8242602796666529E-2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1362036</v>
      </c>
      <c r="D45" s="76">
        <v>-1295573</v>
      </c>
      <c r="E45" s="76">
        <f>D45-C45</f>
        <v>-2657609</v>
      </c>
      <c r="F45" s="77">
        <f>IF(C45=0,0,E45/C45)</f>
        <v>-1.9512031987407088</v>
      </c>
    </row>
    <row r="46" spans="1:6" ht="23.1" customHeight="1" x14ac:dyDescent="0.2">
      <c r="A46" s="85"/>
      <c r="B46" s="75" t="s">
        <v>101</v>
      </c>
      <c r="C46" s="76">
        <v>-1587712</v>
      </c>
      <c r="D46" s="76">
        <v>586303</v>
      </c>
      <c r="E46" s="76">
        <f>D46-C46</f>
        <v>2174015</v>
      </c>
      <c r="F46" s="77">
        <f>IF(C46=0,0,E46/C46)</f>
        <v>-1.3692754101499516</v>
      </c>
    </row>
    <row r="47" spans="1:6" ht="23.1" customHeight="1" x14ac:dyDescent="0.25">
      <c r="A47" s="83"/>
      <c r="B47" s="78" t="s">
        <v>102</v>
      </c>
      <c r="C47" s="79">
        <f>SUM(C45:C46)</f>
        <v>-225676</v>
      </c>
      <c r="D47" s="79">
        <f>SUM(D45:D46)</f>
        <v>-709270</v>
      </c>
      <c r="E47" s="79">
        <f>D47-C47</f>
        <v>-483594</v>
      </c>
      <c r="F47" s="80">
        <f>IF(C47=0,0,E47/C47)</f>
        <v>2.1428685371949165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17644456</v>
      </c>
      <c r="D49" s="79">
        <f>D42+D47</f>
        <v>18201665</v>
      </c>
      <c r="E49" s="79">
        <f>D49-C49</f>
        <v>557209</v>
      </c>
      <c r="F49" s="80">
        <f>IF(C49=0,0,E49/C49)</f>
        <v>3.1579834481720491E-2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FILING&amp;RMIDSTATE MEDICAL CENTER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2014-10-07T12:54:44Z</cp:lastPrinted>
  <dcterms:created xsi:type="dcterms:W3CDTF">2014-10-06T18:44:42Z</dcterms:created>
  <dcterms:modified xsi:type="dcterms:W3CDTF">2014-10-09T18:32:32Z</dcterms:modified>
</cp:coreProperties>
</file>