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  <sheet name="Sheet1" sheetId="20" r:id="rId20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 s="1"/>
  <c r="D238" i="14"/>
  <c r="D237" i="14"/>
  <c r="D239" i="14" s="1"/>
  <c r="D230" i="14"/>
  <c r="D229" i="14"/>
  <c r="D226" i="14"/>
  <c r="D223" i="14"/>
  <c r="D204" i="14"/>
  <c r="D269" i="14"/>
  <c r="D203" i="14"/>
  <c r="D283" i="14" s="1"/>
  <c r="D267" i="14"/>
  <c r="D198" i="14"/>
  <c r="D290" i="14"/>
  <c r="D191" i="14"/>
  <c r="D264" i="14"/>
  <c r="D189" i="14"/>
  <c r="D278" i="14"/>
  <c r="D188" i="14"/>
  <c r="D214" i="14"/>
  <c r="D180" i="14"/>
  <c r="D179" i="14"/>
  <c r="D181" i="14" s="1"/>
  <c r="D171" i="14"/>
  <c r="D172" i="14" s="1"/>
  <c r="D173" i="14" s="1"/>
  <c r="D170" i="14"/>
  <c r="D165" i="14"/>
  <c r="D164" i="14"/>
  <c r="D158" i="14"/>
  <c r="D159" i="14" s="1"/>
  <c r="D155" i="14"/>
  <c r="D145" i="14"/>
  <c r="D144" i="14"/>
  <c r="D136" i="14"/>
  <c r="D137" i="14" s="1"/>
  <c r="D135" i="14"/>
  <c r="D130" i="14"/>
  <c r="D129" i="14"/>
  <c r="D123" i="14"/>
  <c r="D124" i="14" s="1"/>
  <c r="D192" i="14"/>
  <c r="D120" i="14"/>
  <c r="D110" i="14"/>
  <c r="D109" i="14"/>
  <c r="D111" i="14" s="1"/>
  <c r="D101" i="14"/>
  <c r="D102" i="14"/>
  <c r="D103" i="14" s="1"/>
  <c r="D100" i="14"/>
  <c r="D95" i="14"/>
  <c r="D94" i="14"/>
  <c r="D88" i="14"/>
  <c r="D89" i="14" s="1"/>
  <c r="D85" i="14"/>
  <c r="D76" i="14"/>
  <c r="D77" i="14" s="1"/>
  <c r="D67" i="14"/>
  <c r="D66" i="14"/>
  <c r="D68" i="14" s="1"/>
  <c r="D59" i="14"/>
  <c r="D60" i="14"/>
  <c r="D61" i="14" s="1"/>
  <c r="D58" i="14"/>
  <c r="D53" i="14"/>
  <c r="D52" i="14"/>
  <c r="D47" i="14"/>
  <c r="D48" i="14" s="1"/>
  <c r="D44" i="14"/>
  <c r="D36" i="14"/>
  <c r="D35" i="14"/>
  <c r="D30" i="14"/>
  <c r="D31" i="14" s="1"/>
  <c r="D32" i="14" s="1"/>
  <c r="D29" i="14"/>
  <c r="D24" i="14"/>
  <c r="D23" i="14"/>
  <c r="D20" i="14"/>
  <c r="D21" i="14"/>
  <c r="D17" i="14"/>
  <c r="E97" i="19"/>
  <c r="D97" i="19"/>
  <c r="C97" i="19"/>
  <c r="E96" i="19"/>
  <c r="E98" i="19" s="1"/>
  <c r="D96" i="19"/>
  <c r="D98" i="19" s="1"/>
  <c r="C96" i="19"/>
  <c r="C98" i="19"/>
  <c r="E92" i="19"/>
  <c r="E93" i="19"/>
  <c r="D92" i="19"/>
  <c r="C92" i="19"/>
  <c r="E91" i="19"/>
  <c r="D91" i="19"/>
  <c r="D93" i="19" s="1"/>
  <c r="C91" i="19"/>
  <c r="E87" i="19"/>
  <c r="D87" i="19"/>
  <c r="C87" i="19"/>
  <c r="E86" i="19"/>
  <c r="E88" i="19" s="1"/>
  <c r="D86" i="19"/>
  <c r="D88" i="19" s="1"/>
  <c r="C86" i="19"/>
  <c r="C88" i="19" s="1"/>
  <c r="E83" i="19"/>
  <c r="D83" i="19"/>
  <c r="C83" i="19"/>
  <c r="E76" i="19"/>
  <c r="D76" i="19"/>
  <c r="C76" i="19"/>
  <c r="E75" i="19"/>
  <c r="E77" i="19" s="1"/>
  <c r="D75" i="19"/>
  <c r="D77" i="19" s="1"/>
  <c r="C75" i="19"/>
  <c r="C77" i="19" s="1"/>
  <c r="C108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23" i="19" s="1"/>
  <c r="E54" i="19" s="1"/>
  <c r="D12" i="19"/>
  <c r="D22" i="19" s="1"/>
  <c r="D53" i="19" s="1"/>
  <c r="C12" i="19"/>
  <c r="C34" i="19" s="1"/>
  <c r="D21" i="18"/>
  <c r="C21" i="18"/>
  <c r="E21" i="18" s="1"/>
  <c r="F21" i="18" s="1"/>
  <c r="D19" i="18"/>
  <c r="C19" i="18"/>
  <c r="E19" i="18" s="1"/>
  <c r="F19" i="18" s="1"/>
  <c r="E17" i="18"/>
  <c r="F17" i="18" s="1"/>
  <c r="E15" i="18"/>
  <c r="F15" i="18" s="1"/>
  <c r="D45" i="17"/>
  <c r="C45" i="17"/>
  <c r="D44" i="17"/>
  <c r="C44" i="17"/>
  <c r="D43" i="17"/>
  <c r="D46" i="17" s="1"/>
  <c r="C43" i="17"/>
  <c r="C46" i="17"/>
  <c r="D36" i="17"/>
  <c r="D40" i="17"/>
  <c r="C36" i="17"/>
  <c r="C40" i="17"/>
  <c r="E35" i="17"/>
  <c r="F35" i="17" s="1"/>
  <c r="E34" i="17"/>
  <c r="F34" i="17" s="1"/>
  <c r="E33" i="17"/>
  <c r="F33" i="17" s="1"/>
  <c r="E30" i="17"/>
  <c r="F30" i="17" s="1"/>
  <c r="E29" i="17"/>
  <c r="F29" i="17" s="1"/>
  <c r="E28" i="17"/>
  <c r="F28" i="17" s="1"/>
  <c r="E27" i="17"/>
  <c r="F27" i="17" s="1"/>
  <c r="D25" i="17"/>
  <c r="D39" i="17"/>
  <c r="C25" i="17"/>
  <c r="C39" i="17" s="1"/>
  <c r="E24" i="17"/>
  <c r="F24" i="17" s="1"/>
  <c r="E23" i="17"/>
  <c r="F23" i="17" s="1"/>
  <c r="E22" i="17"/>
  <c r="F22" i="17" s="1"/>
  <c r="D19" i="17"/>
  <c r="D20" i="17"/>
  <c r="C19" i="17"/>
  <c r="C20" i="17"/>
  <c r="E18" i="17"/>
  <c r="F18" i="17" s="1"/>
  <c r="D16" i="17"/>
  <c r="C16" i="17"/>
  <c r="E15" i="17"/>
  <c r="F15" i="17" s="1"/>
  <c r="E13" i="17"/>
  <c r="F13" i="17" s="1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64" i="16" s="1"/>
  <c r="C36" i="16"/>
  <c r="C32" i="16"/>
  <c r="C33" i="16" s="1"/>
  <c r="C21" i="16"/>
  <c r="C37" i="16" s="1"/>
  <c r="E328" i="15"/>
  <c r="E325" i="15"/>
  <c r="D324" i="15"/>
  <c r="D326" i="15" s="1"/>
  <c r="C324" i="15"/>
  <c r="C326" i="15" s="1"/>
  <c r="C330" i="15" s="1"/>
  <c r="E318" i="15"/>
  <c r="E315" i="15"/>
  <c r="D314" i="15"/>
  <c r="D316" i="15" s="1"/>
  <c r="C314" i="15"/>
  <c r="C316" i="15" s="1"/>
  <c r="C320" i="15" s="1"/>
  <c r="E308" i="15"/>
  <c r="E305" i="15"/>
  <c r="D301" i="15"/>
  <c r="E301" i="15" s="1"/>
  <c r="C301" i="15"/>
  <c r="D293" i="15"/>
  <c r="C293" i="15"/>
  <c r="E293" i="15" s="1"/>
  <c r="D292" i="15"/>
  <c r="E292" i="15" s="1"/>
  <c r="C292" i="15"/>
  <c r="D291" i="15"/>
  <c r="C291" i="15"/>
  <c r="E291" i="15" s="1"/>
  <c r="D290" i="15"/>
  <c r="E290" i="15" s="1"/>
  <c r="C290" i="15"/>
  <c r="D288" i="15"/>
  <c r="E288" i="15"/>
  <c r="C288" i="15"/>
  <c r="D287" i="15"/>
  <c r="C287" i="15"/>
  <c r="D282" i="15"/>
  <c r="E282" i="15" s="1"/>
  <c r="C282" i="15"/>
  <c r="D281" i="15"/>
  <c r="C281" i="15"/>
  <c r="E281" i="15" s="1"/>
  <c r="D280" i="15"/>
  <c r="E280" i="15"/>
  <c r="C280" i="15"/>
  <c r="D279" i="15"/>
  <c r="C279" i="15"/>
  <c r="D278" i="15"/>
  <c r="E278" i="15" s="1"/>
  <c r="C278" i="15"/>
  <c r="D277" i="15"/>
  <c r="C277" i="15"/>
  <c r="E277" i="15" s="1"/>
  <c r="D276" i="15"/>
  <c r="E276" i="15" s="1"/>
  <c r="C276" i="15"/>
  <c r="E270" i="15"/>
  <c r="D265" i="15"/>
  <c r="E265" i="15" s="1"/>
  <c r="C265" i="15"/>
  <c r="C302" i="15" s="1"/>
  <c r="D262" i="15"/>
  <c r="E262" i="15" s="1"/>
  <c r="C262" i="15"/>
  <c r="D251" i="15"/>
  <c r="C251" i="15"/>
  <c r="D233" i="15"/>
  <c r="E233" i="15" s="1"/>
  <c r="C233" i="15"/>
  <c r="D232" i="15"/>
  <c r="C232" i="15"/>
  <c r="D231" i="15"/>
  <c r="C231" i="15"/>
  <c r="D230" i="15"/>
  <c r="C230" i="15"/>
  <c r="D228" i="15"/>
  <c r="C228" i="15"/>
  <c r="E228" i="15" s="1"/>
  <c r="D227" i="15"/>
  <c r="C227" i="15"/>
  <c r="E227" i="15" s="1"/>
  <c r="D221" i="15"/>
  <c r="D245" i="15" s="1"/>
  <c r="C221" i="15"/>
  <c r="C245" i="15" s="1"/>
  <c r="D220" i="15"/>
  <c r="E220" i="15" s="1"/>
  <c r="C220" i="15"/>
  <c r="C244" i="15" s="1"/>
  <c r="D219" i="15"/>
  <c r="D243" i="15" s="1"/>
  <c r="C219" i="15"/>
  <c r="C243" i="15" s="1"/>
  <c r="D218" i="15"/>
  <c r="D242" i="15" s="1"/>
  <c r="C218" i="15"/>
  <c r="C217" i="15" s="1"/>
  <c r="D216" i="15"/>
  <c r="C216" i="15"/>
  <c r="C240" i="15" s="1"/>
  <c r="D215" i="15"/>
  <c r="C215" i="15"/>
  <c r="C239" i="15" s="1"/>
  <c r="E209" i="15"/>
  <c r="E208" i="15"/>
  <c r="E207" i="15"/>
  <c r="E206" i="15"/>
  <c r="D205" i="15"/>
  <c r="D229" i="15" s="1"/>
  <c r="C205" i="15"/>
  <c r="C229" i="15" s="1"/>
  <c r="E204" i="15"/>
  <c r="E203" i="15"/>
  <c r="E197" i="15"/>
  <c r="E196" i="15"/>
  <c r="D195" i="15"/>
  <c r="D260" i="15" s="1"/>
  <c r="C195" i="15"/>
  <c r="C260" i="15" s="1"/>
  <c r="E194" i="15"/>
  <c r="E193" i="15"/>
  <c r="E192" i="15"/>
  <c r="E191" i="15"/>
  <c r="E190" i="15"/>
  <c r="D188" i="15"/>
  <c r="C188" i="15"/>
  <c r="C261" i="15" s="1"/>
  <c r="E186" i="15"/>
  <c r="E185" i="15"/>
  <c r="D179" i="15"/>
  <c r="E179" i="15" s="1"/>
  <c r="C179" i="15"/>
  <c r="D178" i="15"/>
  <c r="E178" i="15" s="1"/>
  <c r="C178" i="15"/>
  <c r="D177" i="15"/>
  <c r="E177" i="15" s="1"/>
  <c r="C177" i="15"/>
  <c r="D176" i="15"/>
  <c r="E176" i="15" s="1"/>
  <c r="C176" i="15"/>
  <c r="D174" i="15"/>
  <c r="E174" i="15" s="1"/>
  <c r="C174" i="15"/>
  <c r="D173" i="15"/>
  <c r="C173" i="15"/>
  <c r="D167" i="15"/>
  <c r="E167" i="15" s="1"/>
  <c r="C167" i="15"/>
  <c r="D166" i="15"/>
  <c r="C166" i="15"/>
  <c r="D165" i="15"/>
  <c r="E165" i="15" s="1"/>
  <c r="C165" i="15"/>
  <c r="D164" i="15"/>
  <c r="C164" i="15"/>
  <c r="D162" i="15"/>
  <c r="C162" i="15"/>
  <c r="E162" i="15"/>
  <c r="D161" i="15"/>
  <c r="C161" i="15"/>
  <c r="E161" i="15" s="1"/>
  <c r="E155" i="15"/>
  <c r="E154" i="15"/>
  <c r="E153" i="15"/>
  <c r="E152" i="15"/>
  <c r="D151" i="15"/>
  <c r="D156" i="15" s="1"/>
  <c r="C151" i="15"/>
  <c r="C156" i="15" s="1"/>
  <c r="C157" i="15" s="1"/>
  <c r="E150" i="15"/>
  <c r="E149" i="15"/>
  <c r="E143" i="15"/>
  <c r="E142" i="15"/>
  <c r="E141" i="15"/>
  <c r="E140" i="15"/>
  <c r="D139" i="15"/>
  <c r="C139" i="15"/>
  <c r="C175" i="15" s="1"/>
  <c r="E138" i="15"/>
  <c r="E137" i="15"/>
  <c r="D75" i="15"/>
  <c r="C75" i="15"/>
  <c r="D74" i="15"/>
  <c r="E74" i="15" s="1"/>
  <c r="C74" i="15"/>
  <c r="D73" i="15"/>
  <c r="E73" i="15" s="1"/>
  <c r="C73" i="15"/>
  <c r="D72" i="15"/>
  <c r="E72" i="15" s="1"/>
  <c r="C72" i="15"/>
  <c r="D70" i="15"/>
  <c r="E70" i="15" s="1"/>
  <c r="C70" i="15"/>
  <c r="D69" i="15"/>
  <c r="E69" i="15" s="1"/>
  <c r="C69" i="15"/>
  <c r="E64" i="15"/>
  <c r="E63" i="15"/>
  <c r="E62" i="15"/>
  <c r="E61" i="15"/>
  <c r="D60" i="15"/>
  <c r="C60" i="15"/>
  <c r="C289" i="15" s="1"/>
  <c r="E59" i="15"/>
  <c r="E58" i="15"/>
  <c r="D54" i="15"/>
  <c r="C54" i="15"/>
  <c r="C55" i="15" s="1"/>
  <c r="E53" i="15"/>
  <c r="E52" i="15"/>
  <c r="E51" i="15"/>
  <c r="E50" i="15"/>
  <c r="E49" i="15"/>
  <c r="E48" i="15"/>
  <c r="E47" i="15"/>
  <c r="D42" i="15"/>
  <c r="E42" i="15" s="1"/>
  <c r="C42" i="15"/>
  <c r="D41" i="15"/>
  <c r="C41" i="15"/>
  <c r="D40" i="15"/>
  <c r="E40" i="15" s="1"/>
  <c r="C40" i="15"/>
  <c r="D39" i="15"/>
  <c r="E39" i="15" s="1"/>
  <c r="C39" i="15"/>
  <c r="D38" i="15"/>
  <c r="C38" i="15"/>
  <c r="D37" i="15"/>
  <c r="C37" i="15"/>
  <c r="D36" i="15"/>
  <c r="E36" i="15" s="1"/>
  <c r="C36" i="15"/>
  <c r="D32" i="15"/>
  <c r="C32" i="15"/>
  <c r="C33" i="15" s="1"/>
  <c r="E31" i="15"/>
  <c r="E30" i="15"/>
  <c r="E29" i="15"/>
  <c r="E28" i="15"/>
  <c r="E27" i="15"/>
  <c r="E26" i="15"/>
  <c r="E25" i="15"/>
  <c r="D22" i="15"/>
  <c r="D21" i="15"/>
  <c r="C21" i="15"/>
  <c r="C22" i="15" s="1"/>
  <c r="C284" i="15" s="1"/>
  <c r="E20" i="15"/>
  <c r="E19" i="15"/>
  <c r="E18" i="15"/>
  <c r="E17" i="15"/>
  <c r="E16" i="15"/>
  <c r="E15" i="15"/>
  <c r="E14" i="15"/>
  <c r="F335" i="14"/>
  <c r="E335" i="14"/>
  <c r="F334" i="14"/>
  <c r="E334" i="14"/>
  <c r="F333" i="14"/>
  <c r="E333" i="14"/>
  <c r="F332" i="14"/>
  <c r="E332" i="14"/>
  <c r="F331" i="14"/>
  <c r="E331" i="14"/>
  <c r="F330" i="14"/>
  <c r="E330" i="14"/>
  <c r="F329" i="14"/>
  <c r="E329" i="14"/>
  <c r="F316" i="14"/>
  <c r="E316" i="14"/>
  <c r="C311" i="14"/>
  <c r="E311" i="14" s="1"/>
  <c r="F311" i="14" s="1"/>
  <c r="E308" i="14"/>
  <c r="F308" i="14" s="1"/>
  <c r="C307" i="14"/>
  <c r="E307" i="14" s="1"/>
  <c r="F307" i="14" s="1"/>
  <c r="C299" i="14"/>
  <c r="E299" i="14" s="1"/>
  <c r="C298" i="14"/>
  <c r="E298" i="14" s="1"/>
  <c r="F298" i="14" s="1"/>
  <c r="C297" i="14"/>
  <c r="E297" i="14" s="1"/>
  <c r="C296" i="14"/>
  <c r="E296" i="14"/>
  <c r="F296" i="14" s="1"/>
  <c r="C295" i="14"/>
  <c r="C294" i="14"/>
  <c r="E294" i="14" s="1"/>
  <c r="F294" i="14" s="1"/>
  <c r="C250" i="14"/>
  <c r="E250" i="14" s="1"/>
  <c r="E249" i="14"/>
  <c r="F249" i="14" s="1"/>
  <c r="E248" i="14"/>
  <c r="F248" i="14" s="1"/>
  <c r="E245" i="14"/>
  <c r="F245" i="14" s="1"/>
  <c r="E244" i="14"/>
  <c r="F244" i="14" s="1"/>
  <c r="E243" i="14"/>
  <c r="F243" i="14" s="1"/>
  <c r="C238" i="14"/>
  <c r="E238" i="14" s="1"/>
  <c r="C237" i="14"/>
  <c r="E234" i="14"/>
  <c r="F234" i="14"/>
  <c r="E233" i="14"/>
  <c r="F233" i="14"/>
  <c r="C230" i="14"/>
  <c r="E230" i="14" s="1"/>
  <c r="F230" i="14" s="1"/>
  <c r="C229" i="14"/>
  <c r="E228" i="14"/>
  <c r="F228" i="14"/>
  <c r="C226" i="14"/>
  <c r="C227" i="14"/>
  <c r="E225" i="14"/>
  <c r="F225" i="14"/>
  <c r="E224" i="14"/>
  <c r="F224" i="14"/>
  <c r="C223" i="14"/>
  <c r="F222" i="14"/>
  <c r="E222" i="14"/>
  <c r="E221" i="14"/>
  <c r="F221" i="14" s="1"/>
  <c r="C204" i="14"/>
  <c r="C203" i="14"/>
  <c r="E203" i="14" s="1"/>
  <c r="C198" i="14"/>
  <c r="E198" i="14" s="1"/>
  <c r="C191" i="14"/>
  <c r="C264" i="14" s="1"/>
  <c r="C189" i="14"/>
  <c r="E189" i="14" s="1"/>
  <c r="C262" i="14"/>
  <c r="C188" i="14"/>
  <c r="C206" i="14"/>
  <c r="C180" i="14"/>
  <c r="C179" i="14"/>
  <c r="E179" i="14" s="1"/>
  <c r="C171" i="14"/>
  <c r="C172" i="14"/>
  <c r="E172" i="14" s="1"/>
  <c r="C170" i="14"/>
  <c r="E170" i="14" s="1"/>
  <c r="E169" i="14"/>
  <c r="F169" i="14" s="1"/>
  <c r="E168" i="14"/>
  <c r="F168" i="14" s="1"/>
  <c r="C165" i="14"/>
  <c r="E165" i="14" s="1"/>
  <c r="C164" i="14"/>
  <c r="E164" i="14" s="1"/>
  <c r="E163" i="14"/>
  <c r="F163" i="14" s="1"/>
  <c r="C158" i="14"/>
  <c r="C159" i="14" s="1"/>
  <c r="E159" i="14" s="1"/>
  <c r="E157" i="14"/>
  <c r="F157" i="14" s="1"/>
  <c r="E156" i="14"/>
  <c r="F156" i="14" s="1"/>
  <c r="C155" i="14"/>
  <c r="E155" i="14" s="1"/>
  <c r="F155" i="14" s="1"/>
  <c r="E154" i="14"/>
  <c r="F154" i="14" s="1"/>
  <c r="E153" i="14"/>
  <c r="F153" i="14" s="1"/>
  <c r="C145" i="14"/>
  <c r="E145" i="14" s="1"/>
  <c r="F144" i="14"/>
  <c r="C144" i="14"/>
  <c r="E144" i="14" s="1"/>
  <c r="C136" i="14"/>
  <c r="C135" i="14"/>
  <c r="E135" i="14" s="1"/>
  <c r="E134" i="14"/>
  <c r="F134" i="14" s="1"/>
  <c r="E133" i="14"/>
  <c r="F133" i="14" s="1"/>
  <c r="E130" i="14"/>
  <c r="C130" i="14"/>
  <c r="C129" i="14"/>
  <c r="E128" i="14"/>
  <c r="F128" i="14" s="1"/>
  <c r="C124" i="14"/>
  <c r="C123" i="14"/>
  <c r="E123" i="14" s="1"/>
  <c r="F123" i="14" s="1"/>
  <c r="E122" i="14"/>
  <c r="F122" i="14" s="1"/>
  <c r="E121" i="14"/>
  <c r="F121" i="14" s="1"/>
  <c r="C120" i="14"/>
  <c r="E119" i="14"/>
  <c r="F119" i="14" s="1"/>
  <c r="E118" i="14"/>
  <c r="F118" i="14" s="1"/>
  <c r="C110" i="14"/>
  <c r="E110" i="14" s="1"/>
  <c r="F110" i="14" s="1"/>
  <c r="C109" i="14"/>
  <c r="E109" i="14" s="1"/>
  <c r="E102" i="14"/>
  <c r="C101" i="14"/>
  <c r="C102" i="14" s="1"/>
  <c r="E101" i="14"/>
  <c r="F101" i="14" s="1"/>
  <c r="C100" i="14"/>
  <c r="E100" i="14" s="1"/>
  <c r="E99" i="14"/>
  <c r="F99" i="14" s="1"/>
  <c r="E98" i="14"/>
  <c r="F98" i="14" s="1"/>
  <c r="C95" i="14"/>
  <c r="E94" i="14"/>
  <c r="C94" i="14"/>
  <c r="E93" i="14"/>
  <c r="F93" i="14" s="1"/>
  <c r="E88" i="14"/>
  <c r="C88" i="14"/>
  <c r="C89" i="14" s="1"/>
  <c r="E89" i="14" s="1"/>
  <c r="E87" i="14"/>
  <c r="F87" i="14" s="1"/>
  <c r="E86" i="14"/>
  <c r="F86" i="14" s="1"/>
  <c r="C85" i="14"/>
  <c r="E85" i="14" s="1"/>
  <c r="E84" i="14"/>
  <c r="F84" i="14" s="1"/>
  <c r="E83" i="14"/>
  <c r="F83" i="14" s="1"/>
  <c r="C76" i="14"/>
  <c r="E76" i="14" s="1"/>
  <c r="E74" i="14"/>
  <c r="F74" i="14" s="1"/>
  <c r="E73" i="14"/>
  <c r="F73" i="14" s="1"/>
  <c r="C67" i="14"/>
  <c r="E67" i="14"/>
  <c r="F67" i="14" s="1"/>
  <c r="C66" i="14"/>
  <c r="E66" i="14" s="1"/>
  <c r="C59" i="14"/>
  <c r="C58" i="14"/>
  <c r="E57" i="14"/>
  <c r="F57" i="14" s="1"/>
  <c r="E56" i="14"/>
  <c r="F56" i="14" s="1"/>
  <c r="C53" i="14"/>
  <c r="E53" i="14" s="1"/>
  <c r="F53" i="14" s="1"/>
  <c r="C52" i="14"/>
  <c r="E52" i="14" s="1"/>
  <c r="E51" i="14"/>
  <c r="F51" i="14"/>
  <c r="C47" i="14"/>
  <c r="F46" i="14"/>
  <c r="E46" i="14"/>
  <c r="E45" i="14"/>
  <c r="F45" i="14" s="1"/>
  <c r="C44" i="14"/>
  <c r="E44" i="14" s="1"/>
  <c r="E43" i="14"/>
  <c r="F43" i="14" s="1"/>
  <c r="E42" i="14"/>
  <c r="F42" i="14" s="1"/>
  <c r="C36" i="14"/>
  <c r="E36" i="14" s="1"/>
  <c r="C35" i="14"/>
  <c r="C30" i="14"/>
  <c r="C31" i="14" s="1"/>
  <c r="C29" i="14"/>
  <c r="E28" i="14"/>
  <c r="F28" i="14" s="1"/>
  <c r="E27" i="14"/>
  <c r="F27" i="14" s="1"/>
  <c r="E24" i="14"/>
  <c r="C24" i="14"/>
  <c r="C23" i="14"/>
  <c r="E22" i="14"/>
  <c r="F22" i="14"/>
  <c r="C20" i="14"/>
  <c r="E19" i="14"/>
  <c r="F19" i="14" s="1"/>
  <c r="E18" i="14"/>
  <c r="F18" i="14" s="1"/>
  <c r="C17" i="14"/>
  <c r="E17" i="14" s="1"/>
  <c r="E16" i="14"/>
  <c r="F16" i="14" s="1"/>
  <c r="E15" i="14"/>
  <c r="F15" i="14" s="1"/>
  <c r="D22" i="13"/>
  <c r="E22" i="13" s="1"/>
  <c r="C22" i="13"/>
  <c r="E21" i="13"/>
  <c r="F21" i="13" s="1"/>
  <c r="F20" i="13"/>
  <c r="E20" i="13"/>
  <c r="D17" i="13"/>
  <c r="E17" i="13" s="1"/>
  <c r="C17" i="13"/>
  <c r="F16" i="13"/>
  <c r="E16" i="13"/>
  <c r="D13" i="13"/>
  <c r="E13" i="13" s="1"/>
  <c r="F13" i="13" s="1"/>
  <c r="C13" i="13"/>
  <c r="F12" i="13"/>
  <c r="E12" i="13"/>
  <c r="D99" i="12"/>
  <c r="E99" i="12" s="1"/>
  <c r="C99" i="12"/>
  <c r="E98" i="12"/>
  <c r="F98" i="12" s="1"/>
  <c r="E97" i="12"/>
  <c r="F97" i="12" s="1"/>
  <c r="E96" i="12"/>
  <c r="F96" i="12" s="1"/>
  <c r="D92" i="12"/>
  <c r="C92" i="12"/>
  <c r="E91" i="12"/>
  <c r="F91" i="12" s="1"/>
  <c r="E90" i="12"/>
  <c r="F90" i="12" s="1"/>
  <c r="E89" i="12"/>
  <c r="F89" i="12" s="1"/>
  <c r="E88" i="12"/>
  <c r="F88" i="12" s="1"/>
  <c r="E87" i="12"/>
  <c r="F87" i="12" s="1"/>
  <c r="D84" i="12"/>
  <c r="E84" i="12"/>
  <c r="C84" i="12"/>
  <c r="F84" i="12"/>
  <c r="E83" i="12"/>
  <c r="F83" i="12" s="1"/>
  <c r="F82" i="12"/>
  <c r="E82" i="12"/>
  <c r="F81" i="12"/>
  <c r="E81" i="12"/>
  <c r="F80" i="12"/>
  <c r="E80" i="12"/>
  <c r="F79" i="12"/>
  <c r="E79" i="12"/>
  <c r="D75" i="12"/>
  <c r="C75" i="12"/>
  <c r="E74" i="12"/>
  <c r="F74" i="12" s="1"/>
  <c r="E73" i="12"/>
  <c r="D70" i="12"/>
  <c r="C70" i="12"/>
  <c r="E69" i="12"/>
  <c r="F69" i="12" s="1"/>
  <c r="E68" i="12"/>
  <c r="F68" i="12" s="1"/>
  <c r="D65" i="12"/>
  <c r="C65" i="12"/>
  <c r="E64" i="12"/>
  <c r="F64" i="12" s="1"/>
  <c r="E63" i="12"/>
  <c r="F63" i="12" s="1"/>
  <c r="D60" i="12"/>
  <c r="C60" i="12"/>
  <c r="F60" i="12" s="1"/>
  <c r="F59" i="12"/>
  <c r="E59" i="12"/>
  <c r="F58" i="12"/>
  <c r="E58" i="12"/>
  <c r="E60" i="12" s="1"/>
  <c r="D55" i="12"/>
  <c r="C55" i="12"/>
  <c r="F54" i="12"/>
  <c r="E54" i="12"/>
  <c r="F53" i="12"/>
  <c r="E53" i="12"/>
  <c r="D50" i="12"/>
  <c r="C50" i="12"/>
  <c r="F49" i="12"/>
  <c r="E49" i="12"/>
  <c r="F48" i="12"/>
  <c r="E48" i="12"/>
  <c r="D45" i="12"/>
  <c r="C45" i="12"/>
  <c r="E44" i="12"/>
  <c r="F44" i="12" s="1"/>
  <c r="E43" i="12"/>
  <c r="F43" i="12" s="1"/>
  <c r="D37" i="12"/>
  <c r="C37" i="12"/>
  <c r="F36" i="12"/>
  <c r="E36" i="12"/>
  <c r="F35" i="12"/>
  <c r="E35" i="12"/>
  <c r="E34" i="12"/>
  <c r="F34" i="12" s="1"/>
  <c r="E33" i="12"/>
  <c r="F33" i="12" s="1"/>
  <c r="D30" i="12"/>
  <c r="C30" i="12"/>
  <c r="F29" i="12"/>
  <c r="E29" i="12"/>
  <c r="F28" i="12"/>
  <c r="E28" i="12"/>
  <c r="F27" i="12"/>
  <c r="E27" i="12"/>
  <c r="F26" i="12"/>
  <c r="E26" i="12"/>
  <c r="D23" i="12"/>
  <c r="C23" i="12"/>
  <c r="F22" i="12"/>
  <c r="E22" i="12"/>
  <c r="E21" i="12"/>
  <c r="F21" i="12" s="1"/>
  <c r="E20" i="12"/>
  <c r="F20" i="12" s="1"/>
  <c r="E19" i="12"/>
  <c r="F19" i="12" s="1"/>
  <c r="D16" i="12"/>
  <c r="C16" i="12"/>
  <c r="E16" i="12" s="1"/>
  <c r="F15" i="12"/>
  <c r="E15" i="12"/>
  <c r="E14" i="12"/>
  <c r="F14" i="12" s="1"/>
  <c r="E13" i="12"/>
  <c r="F13" i="12" s="1"/>
  <c r="E12" i="12"/>
  <c r="F12" i="12" s="1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1" i="11" s="1"/>
  <c r="F17" i="11"/>
  <c r="F33" i="11"/>
  <c r="E17" i="11"/>
  <c r="E31" i="11"/>
  <c r="D17" i="11"/>
  <c r="D33" i="11" s="1"/>
  <c r="D36" i="11" s="1"/>
  <c r="D38" i="11" s="1"/>
  <c r="D31" i="11"/>
  <c r="C17" i="11"/>
  <c r="C31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D78" i="10"/>
  <c r="D80" i="10" s="1"/>
  <c r="D77" i="10" s="1"/>
  <c r="C78" i="10"/>
  <c r="E75" i="10"/>
  <c r="E73" i="10"/>
  <c r="D73" i="10"/>
  <c r="D75" i="10" s="1"/>
  <c r="C73" i="10"/>
  <c r="C75" i="10" s="1"/>
  <c r="E71" i="10"/>
  <c r="D71" i="10"/>
  <c r="C71" i="10"/>
  <c r="E66" i="10"/>
  <c r="D66" i="10"/>
  <c r="C66" i="10"/>
  <c r="C65" i="10"/>
  <c r="E65" i="10"/>
  <c r="D65" i="10"/>
  <c r="E60" i="10"/>
  <c r="D60" i="10"/>
  <c r="C60" i="10"/>
  <c r="E58" i="10"/>
  <c r="D58" i="10"/>
  <c r="C58" i="10"/>
  <c r="E55" i="10"/>
  <c r="D55" i="10"/>
  <c r="C55" i="10"/>
  <c r="E54" i="10"/>
  <c r="E50" i="10" s="1"/>
  <c r="D54" i="10"/>
  <c r="C54" i="10"/>
  <c r="E46" i="10"/>
  <c r="E48" i="10" s="1"/>
  <c r="E42" i="10" s="1"/>
  <c r="D46" i="10"/>
  <c r="D48" i="10" s="1"/>
  <c r="D42" i="10" s="1"/>
  <c r="C46" i="10"/>
  <c r="C48" i="10" s="1"/>
  <c r="C42" i="10" s="1"/>
  <c r="E45" i="10"/>
  <c r="D45" i="10"/>
  <c r="C45" i="10"/>
  <c r="E38" i="10"/>
  <c r="D38" i="10"/>
  <c r="C38" i="10"/>
  <c r="D34" i="10"/>
  <c r="E33" i="10"/>
  <c r="E34" i="10"/>
  <c r="D33" i="10"/>
  <c r="E26" i="10"/>
  <c r="D26" i="10"/>
  <c r="C26" i="10"/>
  <c r="E13" i="10"/>
  <c r="E15" i="10"/>
  <c r="D13" i="10"/>
  <c r="D25" i="10" s="1"/>
  <c r="D27" i="10" s="1"/>
  <c r="D15" i="10"/>
  <c r="C13" i="10"/>
  <c r="C15" i="10" s="1"/>
  <c r="C24" i="10" s="1"/>
  <c r="C25" i="10"/>
  <c r="C27" i="10" s="1"/>
  <c r="D46" i="9"/>
  <c r="E46" i="9" s="1"/>
  <c r="F46" i="9" s="1"/>
  <c r="C46" i="9"/>
  <c r="F45" i="9"/>
  <c r="E45" i="9"/>
  <c r="F44" i="9"/>
  <c r="E44" i="9"/>
  <c r="D39" i="9"/>
  <c r="E39" i="9" s="1"/>
  <c r="F39" i="9" s="1"/>
  <c r="C39" i="9"/>
  <c r="F38" i="9"/>
  <c r="E38" i="9"/>
  <c r="F37" i="9"/>
  <c r="E37" i="9"/>
  <c r="F36" i="9"/>
  <c r="E36" i="9"/>
  <c r="D31" i="9"/>
  <c r="E31" i="9" s="1"/>
  <c r="C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18" i="9"/>
  <c r="E18" i="9"/>
  <c r="E17" i="9"/>
  <c r="F17" i="9" s="1"/>
  <c r="D16" i="9"/>
  <c r="C16" i="9"/>
  <c r="F15" i="9"/>
  <c r="E15" i="9"/>
  <c r="E14" i="9"/>
  <c r="F14" i="9" s="1"/>
  <c r="E13" i="9"/>
  <c r="F13" i="9" s="1"/>
  <c r="E12" i="9"/>
  <c r="F12" i="9" s="1"/>
  <c r="D73" i="8"/>
  <c r="C73" i="8"/>
  <c r="F72" i="8"/>
  <c r="E72" i="8"/>
  <c r="F71" i="8"/>
  <c r="E71" i="8"/>
  <c r="F70" i="8"/>
  <c r="E70" i="8"/>
  <c r="F67" i="8"/>
  <c r="E67" i="8"/>
  <c r="F64" i="8"/>
  <c r="E64" i="8"/>
  <c r="F63" i="8"/>
  <c r="E63" i="8"/>
  <c r="D61" i="8"/>
  <c r="E61" i="8" s="1"/>
  <c r="F61" i="8" s="1"/>
  <c r="C61" i="8"/>
  <c r="C65" i="8"/>
  <c r="F60" i="8"/>
  <c r="E60" i="8"/>
  <c r="E59" i="8"/>
  <c r="F59" i="8" s="1"/>
  <c r="D56" i="8"/>
  <c r="C56" i="8"/>
  <c r="E55" i="8"/>
  <c r="F55" i="8" s="1"/>
  <c r="F54" i="8"/>
  <c r="E54" i="8"/>
  <c r="E53" i="8"/>
  <c r="F53" i="8" s="1"/>
  <c r="F52" i="8"/>
  <c r="E52" i="8"/>
  <c r="E51" i="8"/>
  <c r="F51" i="8" s="1"/>
  <c r="E50" i="8"/>
  <c r="F50" i="8" s="1"/>
  <c r="A50" i="8"/>
  <c r="A51" i="8" s="1"/>
  <c r="A52" i="8" s="1"/>
  <c r="A53" i="8" s="1"/>
  <c r="A54" i="8" s="1"/>
  <c r="A55" i="8" s="1"/>
  <c r="E49" i="8"/>
  <c r="F49" i="8" s="1"/>
  <c r="E40" i="8"/>
  <c r="F40" i="8" s="1"/>
  <c r="D38" i="8"/>
  <c r="D41" i="8" s="1"/>
  <c r="C38" i="8"/>
  <c r="E37" i="8"/>
  <c r="F37" i="8" s="1"/>
  <c r="E36" i="8"/>
  <c r="F36" i="8" s="1"/>
  <c r="E33" i="8"/>
  <c r="F33" i="8" s="1"/>
  <c r="E32" i="8"/>
  <c r="F32" i="8" s="1"/>
  <c r="F31" i="8"/>
  <c r="E31" i="8"/>
  <c r="D29" i="8"/>
  <c r="C29" i="8"/>
  <c r="E29" i="8" s="1"/>
  <c r="E28" i="8"/>
  <c r="F28" i="8" s="1"/>
  <c r="F27" i="8"/>
  <c r="E27" i="8"/>
  <c r="F26" i="8"/>
  <c r="E26" i="8"/>
  <c r="E25" i="8"/>
  <c r="F25" i="8" s="1"/>
  <c r="D22" i="8"/>
  <c r="E22" i="8" s="1"/>
  <c r="C22" i="8"/>
  <c r="F21" i="8"/>
  <c r="E21" i="8"/>
  <c r="E20" i="8"/>
  <c r="F20" i="8" s="1"/>
  <c r="E19" i="8"/>
  <c r="F19" i="8" s="1"/>
  <c r="F18" i="8"/>
  <c r="E18" i="8"/>
  <c r="F17" i="8"/>
  <c r="E17" i="8"/>
  <c r="E16" i="8"/>
  <c r="F16" i="8" s="1"/>
  <c r="F15" i="8"/>
  <c r="E15" i="8"/>
  <c r="F14" i="8"/>
  <c r="E14" i="8"/>
  <c r="F13" i="8"/>
  <c r="E13" i="8"/>
  <c r="D120" i="7"/>
  <c r="E120" i="7" s="1"/>
  <c r="C120" i="7"/>
  <c r="D119" i="7"/>
  <c r="E119" i="7" s="1"/>
  <c r="C119" i="7"/>
  <c r="D118" i="7"/>
  <c r="E118" i="7" s="1"/>
  <c r="C118" i="7"/>
  <c r="F118" i="7" s="1"/>
  <c r="D117" i="7"/>
  <c r="E117" i="7" s="1"/>
  <c r="C117" i="7"/>
  <c r="D116" i="7"/>
  <c r="C116" i="7"/>
  <c r="D115" i="7"/>
  <c r="C115" i="7"/>
  <c r="D114" i="7"/>
  <c r="C114" i="7"/>
  <c r="E114" i="7" s="1"/>
  <c r="F114" i="7" s="1"/>
  <c r="D113" i="7"/>
  <c r="D122" i="7"/>
  <c r="C113" i="7"/>
  <c r="D112" i="7"/>
  <c r="D121" i="7" s="1"/>
  <c r="C112" i="7"/>
  <c r="D108" i="7"/>
  <c r="E108" i="7" s="1"/>
  <c r="C108" i="7"/>
  <c r="D107" i="7"/>
  <c r="C107" i="7"/>
  <c r="E106" i="7"/>
  <c r="F106" i="7" s="1"/>
  <c r="E105" i="7"/>
  <c r="F105" i="7" s="1"/>
  <c r="E104" i="7"/>
  <c r="F104" i="7" s="1"/>
  <c r="E103" i="7"/>
  <c r="F103" i="7" s="1"/>
  <c r="E102" i="7"/>
  <c r="F102" i="7" s="1"/>
  <c r="E101" i="7"/>
  <c r="F101" i="7" s="1"/>
  <c r="E100" i="7"/>
  <c r="F100" i="7" s="1"/>
  <c r="E99" i="7"/>
  <c r="F99" i="7" s="1"/>
  <c r="E98" i="7"/>
  <c r="F98" i="7" s="1"/>
  <c r="D96" i="7"/>
  <c r="C96" i="7"/>
  <c r="D95" i="7"/>
  <c r="C95" i="7"/>
  <c r="F94" i="7"/>
  <c r="E94" i="7"/>
  <c r="E93" i="7"/>
  <c r="F93" i="7" s="1"/>
  <c r="E92" i="7"/>
  <c r="F92" i="7" s="1"/>
  <c r="E91" i="7"/>
  <c r="F91" i="7" s="1"/>
  <c r="E90" i="7"/>
  <c r="F90" i="7" s="1"/>
  <c r="E89" i="7"/>
  <c r="F89" i="7" s="1"/>
  <c r="E88" i="7"/>
  <c r="F88" i="7" s="1"/>
  <c r="E87" i="7"/>
  <c r="F87" i="7" s="1"/>
  <c r="E86" i="7"/>
  <c r="F86" i="7" s="1"/>
  <c r="D84" i="7"/>
  <c r="C84" i="7"/>
  <c r="F84" i="7" s="1"/>
  <c r="D83" i="7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 s="1"/>
  <c r="C72" i="7"/>
  <c r="F72" i="7" s="1"/>
  <c r="D71" i="7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F60" i="7" s="1"/>
  <c r="D59" i="7"/>
  <c r="C59" i="7"/>
  <c r="F59" i="7" s="1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E48" i="7" s="1"/>
  <c r="C48" i="7"/>
  <c r="F48" i="7" s="1"/>
  <c r="D47" i="7"/>
  <c r="C47" i="7"/>
  <c r="F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 s="1"/>
  <c r="C36" i="7"/>
  <c r="D35" i="7"/>
  <c r="C35" i="7"/>
  <c r="E34" i="7"/>
  <c r="F34" i="7" s="1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E26" i="7"/>
  <c r="F26" i="7" s="1"/>
  <c r="D24" i="7"/>
  <c r="C24" i="7"/>
  <c r="E24" i="7" s="1"/>
  <c r="D23" i="7"/>
  <c r="C23" i="7"/>
  <c r="E23" i="7" s="1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D205" i="6"/>
  <c r="E205" i="6" s="1"/>
  <c r="C205" i="6"/>
  <c r="D204" i="6"/>
  <c r="C204" i="6"/>
  <c r="D203" i="6"/>
  <c r="C203" i="6"/>
  <c r="D202" i="6"/>
  <c r="C202" i="6"/>
  <c r="D201" i="6"/>
  <c r="E201" i="6" s="1"/>
  <c r="C201" i="6"/>
  <c r="D200" i="6"/>
  <c r="C200" i="6"/>
  <c r="D199" i="6"/>
  <c r="C199" i="6"/>
  <c r="C208" i="6" s="1"/>
  <c r="D198" i="6"/>
  <c r="C198" i="6"/>
  <c r="D193" i="6"/>
  <c r="E193" i="6"/>
  <c r="C193" i="6"/>
  <c r="D192" i="6"/>
  <c r="C192" i="6"/>
  <c r="F191" i="6"/>
  <c r="E191" i="6"/>
  <c r="E190" i="6"/>
  <c r="F190" i="6" s="1"/>
  <c r="E189" i="6"/>
  <c r="F189" i="6" s="1"/>
  <c r="E188" i="6"/>
  <c r="F188" i="6" s="1"/>
  <c r="F187" i="6"/>
  <c r="E187" i="6"/>
  <c r="E186" i="6"/>
  <c r="F186" i="6" s="1"/>
  <c r="E185" i="6"/>
  <c r="F185" i="6" s="1"/>
  <c r="E184" i="6"/>
  <c r="F184" i="6" s="1"/>
  <c r="F183" i="6"/>
  <c r="E183" i="6"/>
  <c r="D180" i="6"/>
  <c r="C180" i="6"/>
  <c r="F180" i="6" s="1"/>
  <c r="D179" i="6"/>
  <c r="E179" i="6" s="1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F167" i="6" s="1"/>
  <c r="D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F154" i="6" s="1"/>
  <c r="D153" i="6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/>
  <c r="C141" i="6"/>
  <c r="F141" i="6"/>
  <c r="D140" i="6"/>
  <c r="C140" i="6"/>
  <c r="F140" i="6" s="1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E128" i="6" s="1"/>
  <c r="C128" i="6"/>
  <c r="D127" i="6"/>
  <c r="E127" i="6" s="1"/>
  <c r="C127" i="6"/>
  <c r="E126" i="6"/>
  <c r="F126" i="6" s="1"/>
  <c r="E125" i="6"/>
  <c r="F125" i="6" s="1"/>
  <c r="E124" i="6"/>
  <c r="F124" i="6" s="1"/>
  <c r="F123" i="6"/>
  <c r="E123" i="6"/>
  <c r="E122" i="6"/>
  <c r="F122" i="6" s="1"/>
  <c r="E121" i="6"/>
  <c r="F121" i="6" s="1"/>
  <c r="E120" i="6"/>
  <c r="F120" i="6" s="1"/>
  <c r="F119" i="6"/>
  <c r="E119" i="6"/>
  <c r="E118" i="6"/>
  <c r="F118" i="6" s="1"/>
  <c r="D115" i="6"/>
  <c r="C115" i="6"/>
  <c r="D114" i="6"/>
  <c r="C114" i="6"/>
  <c r="E113" i="6"/>
  <c r="F113" i="6" s="1"/>
  <c r="E112" i="6"/>
  <c r="F112" i="6" s="1"/>
  <c r="E111" i="6"/>
  <c r="F111" i="6" s="1"/>
  <c r="E110" i="6"/>
  <c r="F110" i="6" s="1"/>
  <c r="E109" i="6"/>
  <c r="F109" i="6" s="1"/>
  <c r="E108" i="6"/>
  <c r="F108" i="6"/>
  <c r="E107" i="6"/>
  <c r="F107" i="6" s="1"/>
  <c r="E106" i="6"/>
  <c r="F106" i="6" s="1"/>
  <c r="E105" i="6"/>
  <c r="F105" i="6" s="1"/>
  <c r="D102" i="6"/>
  <c r="C102" i="6"/>
  <c r="E102" i="6" s="1"/>
  <c r="D101" i="6"/>
  <c r="C101" i="6"/>
  <c r="E101" i="6" s="1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/>
  <c r="C89" i="6"/>
  <c r="D88" i="6"/>
  <c r="C88" i="6"/>
  <c r="F87" i="6"/>
  <c r="E87" i="6"/>
  <c r="E86" i="6"/>
  <c r="F86" i="6" s="1"/>
  <c r="E85" i="6"/>
  <c r="F85" i="6" s="1"/>
  <c r="E84" i="6"/>
  <c r="F84" i="6" s="1"/>
  <c r="F83" i="6"/>
  <c r="E83" i="6"/>
  <c r="E82" i="6"/>
  <c r="F82" i="6" s="1"/>
  <c r="E81" i="6"/>
  <c r="F81" i="6" s="1"/>
  <c r="E80" i="6"/>
  <c r="F80" i="6" s="1"/>
  <c r="F79" i="6"/>
  <c r="E79" i="6"/>
  <c r="D76" i="6"/>
  <c r="C76" i="6"/>
  <c r="F76" i="6" s="1"/>
  <c r="D75" i="6"/>
  <c r="E75" i="6" s="1"/>
  <c r="C75" i="6"/>
  <c r="F75" i="6" s="1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D63" i="6"/>
  <c r="E63" i="6" s="1"/>
  <c r="F63" i="6" s="1"/>
  <c r="C63" i="6"/>
  <c r="D62" i="6"/>
  <c r="C62" i="6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D50" i="6"/>
  <c r="C50" i="6"/>
  <c r="D49" i="6"/>
  <c r="C49" i="6"/>
  <c r="E48" i="6"/>
  <c r="F48" i="6" s="1"/>
  <c r="E47" i="6"/>
  <c r="F47" i="6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D37" i="6"/>
  <c r="E37" i="6" s="1"/>
  <c r="C37" i="6"/>
  <c r="F37" i="6" s="1"/>
  <c r="D36" i="6"/>
  <c r="C36" i="6"/>
  <c r="F36" i="6" s="1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 s="1"/>
  <c r="C24" i="6"/>
  <c r="D23" i="6"/>
  <c r="E23" i="6" s="1"/>
  <c r="C23" i="6"/>
  <c r="E22" i="6"/>
  <c r="F22" i="6" s="1"/>
  <c r="E21" i="6"/>
  <c r="F21" i="6" s="1"/>
  <c r="F20" i="6"/>
  <c r="E20" i="6"/>
  <c r="F19" i="6"/>
  <c r="E19" i="6"/>
  <c r="F18" i="6"/>
  <c r="E18" i="6"/>
  <c r="E17" i="6"/>
  <c r="F17" i="6" s="1"/>
  <c r="E16" i="6"/>
  <c r="F16" i="6" s="1"/>
  <c r="E15" i="6"/>
  <c r="F15" i="6" s="1"/>
  <c r="E14" i="6"/>
  <c r="F14" i="6" s="1"/>
  <c r="E191" i="5"/>
  <c r="D191" i="5"/>
  <c r="C191" i="5"/>
  <c r="E176" i="5"/>
  <c r="D176" i="5"/>
  <c r="C176" i="5"/>
  <c r="E164" i="5"/>
  <c r="D164" i="5"/>
  <c r="D160" i="5" s="1"/>
  <c r="D166" i="5" s="1"/>
  <c r="C164" i="5"/>
  <c r="C160" i="5"/>
  <c r="C166" i="5" s="1"/>
  <c r="E162" i="5"/>
  <c r="D162" i="5"/>
  <c r="C162" i="5"/>
  <c r="E161" i="5"/>
  <c r="D161" i="5"/>
  <c r="C161" i="5"/>
  <c r="E160" i="5"/>
  <c r="E166" i="5" s="1"/>
  <c r="E147" i="5"/>
  <c r="D147" i="5"/>
  <c r="D143" i="5" s="1"/>
  <c r="C147" i="5"/>
  <c r="C143" i="5" s="1"/>
  <c r="E145" i="5"/>
  <c r="D145" i="5"/>
  <c r="C145" i="5"/>
  <c r="E144" i="5"/>
  <c r="D144" i="5"/>
  <c r="C144" i="5"/>
  <c r="E143" i="5"/>
  <c r="E149" i="5" s="1"/>
  <c r="E126" i="5"/>
  <c r="D126" i="5"/>
  <c r="C126" i="5"/>
  <c r="E119" i="5"/>
  <c r="D119" i="5"/>
  <c r="C119" i="5"/>
  <c r="E108" i="5"/>
  <c r="D108" i="5"/>
  <c r="C108" i="5"/>
  <c r="E107" i="5"/>
  <c r="D107" i="5"/>
  <c r="D109" i="5" s="1"/>
  <c r="D106" i="5" s="1"/>
  <c r="C107" i="5"/>
  <c r="C109" i="5"/>
  <c r="C106" i="5" s="1"/>
  <c r="E102" i="5"/>
  <c r="E104" i="5" s="1"/>
  <c r="D102" i="5"/>
  <c r="D104" i="5" s="1"/>
  <c r="C102" i="5"/>
  <c r="C104" i="5" s="1"/>
  <c r="E100" i="5"/>
  <c r="D100" i="5"/>
  <c r="C100" i="5"/>
  <c r="E95" i="5"/>
  <c r="E94" i="5" s="1"/>
  <c r="D95" i="5"/>
  <c r="D94" i="5" s="1"/>
  <c r="C95" i="5"/>
  <c r="C94" i="5" s="1"/>
  <c r="E89" i="5"/>
  <c r="D89" i="5"/>
  <c r="C89" i="5"/>
  <c r="E87" i="5"/>
  <c r="D87" i="5"/>
  <c r="C87" i="5"/>
  <c r="E84" i="5"/>
  <c r="E79" i="5" s="1"/>
  <c r="D84" i="5"/>
  <c r="C84" i="5"/>
  <c r="E83" i="5"/>
  <c r="D83" i="5"/>
  <c r="C83" i="5"/>
  <c r="C79" i="5"/>
  <c r="E75" i="5"/>
  <c r="E77" i="5" s="1"/>
  <c r="D75" i="5"/>
  <c r="D88" i="5" s="1"/>
  <c r="D90" i="5" s="1"/>
  <c r="D86" i="5" s="1"/>
  <c r="C75" i="5"/>
  <c r="C88" i="5" s="1"/>
  <c r="C90" i="5" s="1"/>
  <c r="C86" i="5" s="1"/>
  <c r="E74" i="5"/>
  <c r="D74" i="5"/>
  <c r="C74" i="5"/>
  <c r="E67" i="5"/>
  <c r="D67" i="5"/>
  <c r="C67" i="5"/>
  <c r="E43" i="5"/>
  <c r="E38" i="5"/>
  <c r="E49" i="5" s="1"/>
  <c r="E53" i="5"/>
  <c r="D38" i="5"/>
  <c r="D49" i="5"/>
  <c r="C38" i="5"/>
  <c r="C53" i="5" s="1"/>
  <c r="C43" i="5"/>
  <c r="E33" i="5"/>
  <c r="E34" i="5"/>
  <c r="D33" i="5"/>
  <c r="D34" i="5"/>
  <c r="E26" i="5"/>
  <c r="D26" i="5"/>
  <c r="C26" i="5"/>
  <c r="D25" i="5"/>
  <c r="D27" i="5" s="1"/>
  <c r="C15" i="5"/>
  <c r="C24" i="5" s="1"/>
  <c r="E13" i="5"/>
  <c r="E15" i="5"/>
  <c r="D13" i="5"/>
  <c r="D15" i="5"/>
  <c r="C13" i="5"/>
  <c r="C25" i="5" s="1"/>
  <c r="C27" i="5" s="1"/>
  <c r="F174" i="4"/>
  <c r="E174" i="4"/>
  <c r="D171" i="4"/>
  <c r="E171" i="4" s="1"/>
  <c r="F171" i="4" s="1"/>
  <c r="C171" i="4"/>
  <c r="F170" i="4"/>
  <c r="E170" i="4"/>
  <c r="F169" i="4"/>
  <c r="E169" i="4"/>
  <c r="F168" i="4"/>
  <c r="E168" i="4"/>
  <c r="F167" i="4"/>
  <c r="E167" i="4"/>
  <c r="F166" i="4"/>
  <c r="E166" i="4"/>
  <c r="F165" i="4"/>
  <c r="E165" i="4"/>
  <c r="F164" i="4"/>
  <c r="E164" i="4"/>
  <c r="E163" i="4"/>
  <c r="F163" i="4" s="1"/>
  <c r="F162" i="4"/>
  <c r="E162" i="4"/>
  <c r="E161" i="4"/>
  <c r="F161" i="4" s="1"/>
  <c r="F160" i="4"/>
  <c r="E160" i="4"/>
  <c r="F159" i="4"/>
  <c r="E159" i="4"/>
  <c r="F158" i="4"/>
  <c r="E158" i="4"/>
  <c r="D155" i="4"/>
  <c r="E155" i="4" s="1"/>
  <c r="C155" i="4"/>
  <c r="E154" i="4"/>
  <c r="F154" i="4" s="1"/>
  <c r="F153" i="4"/>
  <c r="E153" i="4"/>
  <c r="E152" i="4"/>
  <c r="F152" i="4" s="1"/>
  <c r="F151" i="4"/>
  <c r="E151" i="4"/>
  <c r="F150" i="4"/>
  <c r="E150" i="4"/>
  <c r="F149" i="4"/>
  <c r="E149" i="4"/>
  <c r="E148" i="4"/>
  <c r="F148" i="4" s="1"/>
  <c r="F147" i="4"/>
  <c r="E147" i="4"/>
  <c r="E146" i="4"/>
  <c r="F146" i="4" s="1"/>
  <c r="F145" i="4"/>
  <c r="E145" i="4"/>
  <c r="E144" i="4"/>
  <c r="F144" i="4" s="1"/>
  <c r="F143" i="4"/>
  <c r="E143" i="4"/>
  <c r="F142" i="4"/>
  <c r="E142" i="4"/>
  <c r="F141" i="4"/>
  <c r="E141" i="4"/>
  <c r="E140" i="4"/>
  <c r="F140" i="4" s="1"/>
  <c r="F139" i="4"/>
  <c r="E139" i="4"/>
  <c r="E138" i="4"/>
  <c r="F138" i="4" s="1"/>
  <c r="F137" i="4"/>
  <c r="E137" i="4"/>
  <c r="F136" i="4"/>
  <c r="E136" i="4"/>
  <c r="F135" i="4"/>
  <c r="E135" i="4"/>
  <c r="F134" i="4"/>
  <c r="E134" i="4"/>
  <c r="E133" i="4"/>
  <c r="F133" i="4" s="1"/>
  <c r="F132" i="4"/>
  <c r="E132" i="4"/>
  <c r="F131" i="4"/>
  <c r="E131" i="4"/>
  <c r="E130" i="4"/>
  <c r="F130" i="4" s="1"/>
  <c r="F129" i="4"/>
  <c r="E129" i="4"/>
  <c r="E128" i="4"/>
  <c r="F128" i="4" s="1"/>
  <c r="E127" i="4"/>
  <c r="F127" i="4" s="1"/>
  <c r="E126" i="4"/>
  <c r="F126" i="4" s="1"/>
  <c r="F125" i="4"/>
  <c r="E125" i="4"/>
  <c r="F124" i="4"/>
  <c r="E124" i="4"/>
  <c r="F123" i="4"/>
  <c r="E123" i="4"/>
  <c r="E122" i="4"/>
  <c r="F122" i="4" s="1"/>
  <c r="E121" i="4"/>
  <c r="F121" i="4" s="1"/>
  <c r="D118" i="4"/>
  <c r="C118" i="4"/>
  <c r="E117" i="4"/>
  <c r="F117" i="4" s="1"/>
  <c r="F116" i="4"/>
  <c r="E116" i="4"/>
  <c r="E115" i="4"/>
  <c r="F115" i="4" s="1"/>
  <c r="E114" i="4"/>
  <c r="F114" i="4" s="1"/>
  <c r="F113" i="4"/>
  <c r="E113" i="4"/>
  <c r="E112" i="4"/>
  <c r="F112" i="4" s="1"/>
  <c r="D109" i="4"/>
  <c r="C109" i="4"/>
  <c r="E108" i="4"/>
  <c r="F108" i="4" s="1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E100" i="4"/>
  <c r="F100" i="4" s="1"/>
  <c r="E99" i="4"/>
  <c r="F99" i="4" s="1"/>
  <c r="E98" i="4"/>
  <c r="F98" i="4" s="1"/>
  <c r="F97" i="4"/>
  <c r="E97" i="4"/>
  <c r="F96" i="4"/>
  <c r="E96" i="4"/>
  <c r="F95" i="4"/>
  <c r="E95" i="4"/>
  <c r="E94" i="4"/>
  <c r="F94" i="4" s="1"/>
  <c r="E93" i="4"/>
  <c r="F93" i="4" s="1"/>
  <c r="E92" i="4"/>
  <c r="F92" i="4" s="1"/>
  <c r="F91" i="4"/>
  <c r="E91" i="4"/>
  <c r="E81" i="4"/>
  <c r="F81" i="4" s="1"/>
  <c r="D78" i="4"/>
  <c r="C78" i="4"/>
  <c r="E77" i="4"/>
  <c r="F77" i="4" s="1"/>
  <c r="E76" i="4"/>
  <c r="F76" i="4" s="1"/>
  <c r="F75" i="4"/>
  <c r="E75" i="4"/>
  <c r="E74" i="4"/>
  <c r="F74" i="4" s="1"/>
  <c r="E73" i="4"/>
  <c r="F73" i="4" s="1"/>
  <c r="E72" i="4"/>
  <c r="F72" i="4" s="1"/>
  <c r="F71" i="4"/>
  <c r="E71" i="4"/>
  <c r="E70" i="4"/>
  <c r="F70" i="4" s="1"/>
  <c r="E69" i="4"/>
  <c r="F69" i="4" s="1"/>
  <c r="E68" i="4"/>
  <c r="F68" i="4" s="1"/>
  <c r="F67" i="4"/>
  <c r="E67" i="4"/>
  <c r="E66" i="4"/>
  <c r="F66" i="4" s="1"/>
  <c r="E65" i="4"/>
  <c r="F65" i="4" s="1"/>
  <c r="E64" i="4"/>
  <c r="F64" i="4" s="1"/>
  <c r="F63" i="4"/>
  <c r="E63" i="4"/>
  <c r="E62" i="4"/>
  <c r="F62" i="4" s="1"/>
  <c r="D59" i="4"/>
  <c r="C59" i="4"/>
  <c r="E58" i="4"/>
  <c r="F58" i="4" s="1"/>
  <c r="E57" i="4"/>
  <c r="F57" i="4" s="1"/>
  <c r="F56" i="4"/>
  <c r="E56" i="4"/>
  <c r="E55" i="4"/>
  <c r="F55" i="4" s="1"/>
  <c r="E54" i="4"/>
  <c r="F54" i="4" s="1"/>
  <c r="E53" i="4"/>
  <c r="F53" i="4" s="1"/>
  <c r="F50" i="4"/>
  <c r="E50" i="4"/>
  <c r="E47" i="4"/>
  <c r="F47" i="4" s="1"/>
  <c r="E44" i="4"/>
  <c r="F44" i="4" s="1"/>
  <c r="D41" i="4"/>
  <c r="C41" i="4"/>
  <c r="E40" i="4"/>
  <c r="F40" i="4"/>
  <c r="E39" i="4"/>
  <c r="F39" i="4" s="1"/>
  <c r="E38" i="4"/>
  <c r="F38" i="4" s="1"/>
  <c r="D35" i="4"/>
  <c r="E35" i="4" s="1"/>
  <c r="F35" i="4" s="1"/>
  <c r="C35" i="4"/>
  <c r="E34" i="4"/>
  <c r="F34" i="4" s="1"/>
  <c r="E33" i="4"/>
  <c r="F33" i="4" s="1"/>
  <c r="D30" i="4"/>
  <c r="E30" i="4" s="1"/>
  <c r="F30" i="4" s="1"/>
  <c r="C30" i="4"/>
  <c r="E29" i="4"/>
  <c r="F29" i="4" s="1"/>
  <c r="E28" i="4"/>
  <c r="F28" i="4"/>
  <c r="E27" i="4"/>
  <c r="F27" i="4" s="1"/>
  <c r="D24" i="4"/>
  <c r="C24" i="4"/>
  <c r="E23" i="4"/>
  <c r="F23" i="4" s="1"/>
  <c r="E22" i="4"/>
  <c r="F22" i="4" s="1"/>
  <c r="E21" i="4"/>
  <c r="F21" i="4"/>
  <c r="D18" i="4"/>
  <c r="E18" i="4"/>
  <c r="C18" i="4"/>
  <c r="F18" i="4"/>
  <c r="E17" i="4"/>
  <c r="F17" i="4" s="1"/>
  <c r="E16" i="4"/>
  <c r="F16" i="4" s="1"/>
  <c r="E15" i="4"/>
  <c r="F15" i="4" s="1"/>
  <c r="D179" i="3"/>
  <c r="C179" i="3"/>
  <c r="E179" i="3" s="1"/>
  <c r="F178" i="3"/>
  <c r="E178" i="3"/>
  <c r="E177" i="3"/>
  <c r="F177" i="3" s="1"/>
  <c r="E176" i="3"/>
  <c r="F176" i="3"/>
  <c r="E175" i="3"/>
  <c r="F175" i="3" s="1"/>
  <c r="E174" i="3"/>
  <c r="F174" i="3"/>
  <c r="E173" i="3"/>
  <c r="F173" i="3" s="1"/>
  <c r="E172" i="3"/>
  <c r="F172" i="3"/>
  <c r="E171" i="3"/>
  <c r="F171" i="3" s="1"/>
  <c r="E170" i="3"/>
  <c r="F170" i="3"/>
  <c r="E169" i="3"/>
  <c r="F169" i="3" s="1"/>
  <c r="E168" i="3"/>
  <c r="F168" i="3"/>
  <c r="D166" i="3"/>
  <c r="C166" i="3"/>
  <c r="E166" i="3" s="1"/>
  <c r="F165" i="3"/>
  <c r="E165" i="3"/>
  <c r="E164" i="3"/>
  <c r="F164" i="3"/>
  <c r="E163" i="3"/>
  <c r="F163" i="3" s="1"/>
  <c r="E162" i="3"/>
  <c r="F162" i="3"/>
  <c r="E161" i="3"/>
  <c r="F161" i="3" s="1"/>
  <c r="E160" i="3"/>
  <c r="F160" i="3"/>
  <c r="E159" i="3"/>
  <c r="F159" i="3" s="1"/>
  <c r="E158" i="3"/>
  <c r="F158" i="3"/>
  <c r="E157" i="3"/>
  <c r="F157" i="3" s="1"/>
  <c r="E156" i="3"/>
  <c r="F156" i="3"/>
  <c r="E155" i="3"/>
  <c r="F155" i="3" s="1"/>
  <c r="D153" i="3"/>
  <c r="C153" i="3"/>
  <c r="E153" i="3" s="1"/>
  <c r="F152" i="3"/>
  <c r="E152" i="3"/>
  <c r="E151" i="3"/>
  <c r="F151" i="3" s="1"/>
  <c r="E150" i="3"/>
  <c r="F150" i="3"/>
  <c r="E149" i="3"/>
  <c r="F149" i="3" s="1"/>
  <c r="E148" i="3"/>
  <c r="F148" i="3"/>
  <c r="E147" i="3"/>
  <c r="F147" i="3" s="1"/>
  <c r="E146" i="3"/>
  <c r="F146" i="3"/>
  <c r="E145" i="3"/>
  <c r="F145" i="3" s="1"/>
  <c r="E144" i="3"/>
  <c r="F144" i="3"/>
  <c r="E143" i="3"/>
  <c r="F143" i="3" s="1"/>
  <c r="E142" i="3"/>
  <c r="F142" i="3"/>
  <c r="D137" i="3"/>
  <c r="C137" i="3"/>
  <c r="E137" i="3" s="1"/>
  <c r="F136" i="3"/>
  <c r="E136" i="3"/>
  <c r="E135" i="3"/>
  <c r="F135" i="3"/>
  <c r="E134" i="3"/>
  <c r="F134" i="3" s="1"/>
  <c r="E133" i="3"/>
  <c r="F133" i="3"/>
  <c r="E132" i="3"/>
  <c r="F132" i="3" s="1"/>
  <c r="E131" i="3"/>
  <c r="F131" i="3"/>
  <c r="E130" i="3"/>
  <c r="F130" i="3" s="1"/>
  <c r="E129" i="3"/>
  <c r="F129" i="3"/>
  <c r="E128" i="3"/>
  <c r="F128" i="3" s="1"/>
  <c r="E127" i="3"/>
  <c r="F127" i="3"/>
  <c r="E126" i="3"/>
  <c r="F126" i="3" s="1"/>
  <c r="D124" i="3"/>
  <c r="C124" i="3"/>
  <c r="E124" i="3" s="1"/>
  <c r="F123" i="3"/>
  <c r="E123" i="3"/>
  <c r="E122" i="3"/>
  <c r="F122" i="3" s="1"/>
  <c r="E121" i="3"/>
  <c r="F121" i="3"/>
  <c r="E120" i="3"/>
  <c r="F120" i="3" s="1"/>
  <c r="E119" i="3"/>
  <c r="F119" i="3" s="1"/>
  <c r="E118" i="3"/>
  <c r="F118" i="3" s="1"/>
  <c r="E117" i="3"/>
  <c r="F117" i="3" s="1"/>
  <c r="E116" i="3"/>
  <c r="F116" i="3" s="1"/>
  <c r="E115" i="3"/>
  <c r="F115" i="3"/>
  <c r="E114" i="3"/>
  <c r="F114" i="3" s="1"/>
  <c r="E113" i="3"/>
  <c r="F113" i="3" s="1"/>
  <c r="D111" i="3"/>
  <c r="C111" i="3"/>
  <c r="F110" i="3"/>
  <c r="E110" i="3"/>
  <c r="E109" i="3"/>
  <c r="F109" i="3" s="1"/>
  <c r="E108" i="3"/>
  <c r="F108" i="3" s="1"/>
  <c r="E107" i="3"/>
  <c r="F107" i="3"/>
  <c r="E106" i="3"/>
  <c r="F106" i="3" s="1"/>
  <c r="E105" i="3"/>
  <c r="F105" i="3" s="1"/>
  <c r="E104" i="3"/>
  <c r="F104" i="3" s="1"/>
  <c r="E103" i="3"/>
  <c r="F103" i="3"/>
  <c r="E102" i="3"/>
  <c r="F102" i="3" s="1"/>
  <c r="E101" i="3"/>
  <c r="F101" i="3" s="1"/>
  <c r="E100" i="3"/>
  <c r="F100" i="3" s="1"/>
  <c r="D94" i="3"/>
  <c r="E94" i="3" s="1"/>
  <c r="C94" i="3"/>
  <c r="F94" i="3" s="1"/>
  <c r="D93" i="3"/>
  <c r="C93" i="3"/>
  <c r="E93" i="3" s="1"/>
  <c r="D92" i="3"/>
  <c r="C92" i="3"/>
  <c r="E92" i="3" s="1"/>
  <c r="D91" i="3"/>
  <c r="C91" i="3"/>
  <c r="E91" i="3" s="1"/>
  <c r="D90" i="3"/>
  <c r="C90" i="3"/>
  <c r="E90" i="3" s="1"/>
  <c r="D89" i="3"/>
  <c r="C89" i="3"/>
  <c r="E89" i="3" s="1"/>
  <c r="D88" i="3"/>
  <c r="C88" i="3"/>
  <c r="E88" i="3" s="1"/>
  <c r="D87" i="3"/>
  <c r="C87" i="3"/>
  <c r="E87" i="3" s="1"/>
  <c r="D86" i="3"/>
  <c r="C86" i="3"/>
  <c r="E86" i="3" s="1"/>
  <c r="D85" i="3"/>
  <c r="C85" i="3"/>
  <c r="E85" i="3" s="1"/>
  <c r="D84" i="3"/>
  <c r="D95" i="3"/>
  <c r="C84" i="3"/>
  <c r="D81" i="3"/>
  <c r="E81" i="3" s="1"/>
  <c r="F81" i="3" s="1"/>
  <c r="C81" i="3"/>
  <c r="F80" i="3"/>
  <c r="E80" i="3"/>
  <c r="E79" i="3"/>
  <c r="F79" i="3" s="1"/>
  <c r="E78" i="3"/>
  <c r="F78" i="3"/>
  <c r="E77" i="3"/>
  <c r="F77" i="3" s="1"/>
  <c r="E76" i="3"/>
  <c r="F76" i="3" s="1"/>
  <c r="E75" i="3"/>
  <c r="F75" i="3" s="1"/>
  <c r="E74" i="3"/>
  <c r="F74" i="3"/>
  <c r="E73" i="3"/>
  <c r="F73" i="3" s="1"/>
  <c r="E72" i="3"/>
  <c r="F72" i="3" s="1"/>
  <c r="E71" i="3"/>
  <c r="F71" i="3" s="1"/>
  <c r="E70" i="3"/>
  <c r="F70" i="3"/>
  <c r="D68" i="3"/>
  <c r="C68" i="3"/>
  <c r="E68" i="3" s="1"/>
  <c r="F67" i="3"/>
  <c r="E67" i="3"/>
  <c r="E66" i="3"/>
  <c r="F66" i="3"/>
  <c r="E65" i="3"/>
  <c r="F65" i="3" s="1"/>
  <c r="E64" i="3"/>
  <c r="F64" i="3" s="1"/>
  <c r="E63" i="3"/>
  <c r="F63" i="3" s="1"/>
  <c r="E62" i="3"/>
  <c r="F62" i="3"/>
  <c r="E61" i="3"/>
  <c r="F61" i="3" s="1"/>
  <c r="E60" i="3"/>
  <c r="F60" i="3" s="1"/>
  <c r="E59" i="3"/>
  <c r="F59" i="3" s="1"/>
  <c r="E58" i="3"/>
  <c r="F58" i="3"/>
  <c r="E57" i="3"/>
  <c r="F57" i="3" s="1"/>
  <c r="D51" i="3"/>
  <c r="E51" i="3" s="1"/>
  <c r="C51" i="3"/>
  <c r="F51" i="3" s="1"/>
  <c r="D50" i="3"/>
  <c r="E50" i="3" s="1"/>
  <c r="F50" i="3" s="1"/>
  <c r="C50" i="3"/>
  <c r="D49" i="3"/>
  <c r="C49" i="3"/>
  <c r="D48" i="3"/>
  <c r="E48" i="3"/>
  <c r="C48" i="3"/>
  <c r="D47" i="3"/>
  <c r="E47" i="3" s="1"/>
  <c r="F47" i="3" s="1"/>
  <c r="C47" i="3"/>
  <c r="D46" i="3"/>
  <c r="E46" i="3" s="1"/>
  <c r="F46" i="3" s="1"/>
  <c r="C46" i="3"/>
  <c r="D45" i="3"/>
  <c r="C45" i="3"/>
  <c r="D44" i="3"/>
  <c r="E44" i="3"/>
  <c r="C44" i="3"/>
  <c r="F44" i="3"/>
  <c r="D43" i="3"/>
  <c r="E43" i="3"/>
  <c r="C43" i="3"/>
  <c r="D42" i="3"/>
  <c r="E42" i="3" s="1"/>
  <c r="C42" i="3"/>
  <c r="D41" i="3"/>
  <c r="D52" i="3" s="1"/>
  <c r="C41" i="3"/>
  <c r="C52" i="3"/>
  <c r="D38" i="3"/>
  <c r="E38" i="3"/>
  <c r="C38" i="3"/>
  <c r="F38" i="3"/>
  <c r="F37" i="3"/>
  <c r="E37" i="3"/>
  <c r="E36" i="3"/>
  <c r="F36" i="3" s="1"/>
  <c r="E35" i="3"/>
  <c r="F35" i="3" s="1"/>
  <c r="E34" i="3"/>
  <c r="F34" i="3" s="1"/>
  <c r="E33" i="3"/>
  <c r="F33" i="3"/>
  <c r="E32" i="3"/>
  <c r="F32" i="3" s="1"/>
  <c r="E31" i="3"/>
  <c r="F31" i="3" s="1"/>
  <c r="E30" i="3"/>
  <c r="F30" i="3" s="1"/>
  <c r="E29" i="3"/>
  <c r="F29" i="3"/>
  <c r="E28" i="3"/>
  <c r="F28" i="3" s="1"/>
  <c r="E27" i="3"/>
  <c r="F27" i="3" s="1"/>
  <c r="D25" i="3"/>
  <c r="C25" i="3"/>
  <c r="F24" i="3"/>
  <c r="E24" i="3"/>
  <c r="E23" i="3"/>
  <c r="F23" i="3" s="1"/>
  <c r="E22" i="3"/>
  <c r="F22" i="3" s="1"/>
  <c r="E21" i="3"/>
  <c r="F21" i="3"/>
  <c r="E20" i="3"/>
  <c r="F20" i="3" s="1"/>
  <c r="E19" i="3"/>
  <c r="F19" i="3" s="1"/>
  <c r="E18" i="3"/>
  <c r="F18" i="3" s="1"/>
  <c r="E17" i="3"/>
  <c r="F17" i="3"/>
  <c r="E16" i="3"/>
  <c r="F16" i="3" s="1"/>
  <c r="E15" i="3"/>
  <c r="F15" i="3" s="1"/>
  <c r="E14" i="3"/>
  <c r="F14" i="3" s="1"/>
  <c r="E49" i="2"/>
  <c r="F49" i="2" s="1"/>
  <c r="D46" i="2"/>
  <c r="C46" i="2"/>
  <c r="E46" i="2" s="1"/>
  <c r="E45" i="2"/>
  <c r="F45" i="2" s="1"/>
  <c r="E44" i="2"/>
  <c r="F44" i="2"/>
  <c r="D39" i="2"/>
  <c r="C39" i="2"/>
  <c r="E39" i="2" s="1"/>
  <c r="E38" i="2"/>
  <c r="F38" i="2" s="1"/>
  <c r="E37" i="2"/>
  <c r="F37" i="2"/>
  <c r="E36" i="2"/>
  <c r="F36" i="2" s="1"/>
  <c r="D31" i="2"/>
  <c r="E31" i="2" s="1"/>
  <c r="F31" i="2" s="1"/>
  <c r="C31" i="2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18" i="2"/>
  <c r="F18" i="2" s="1"/>
  <c r="E17" i="2"/>
  <c r="F17" i="2" s="1"/>
  <c r="D16" i="2"/>
  <c r="C16" i="2"/>
  <c r="C19" i="2"/>
  <c r="F15" i="2"/>
  <c r="E15" i="2"/>
  <c r="E14" i="2"/>
  <c r="F14" i="2"/>
  <c r="E13" i="2"/>
  <c r="F13" i="2" s="1"/>
  <c r="E12" i="2"/>
  <c r="F12" i="2"/>
  <c r="D73" i="1"/>
  <c r="C73" i="1"/>
  <c r="E73" i="1" s="1"/>
  <c r="E72" i="1"/>
  <c r="F72" i="1" s="1"/>
  <c r="E71" i="1"/>
  <c r="F71" i="1"/>
  <c r="E70" i="1"/>
  <c r="F70" i="1" s="1"/>
  <c r="F67" i="1"/>
  <c r="E67" i="1"/>
  <c r="E64" i="1"/>
  <c r="F64" i="1" s="1"/>
  <c r="E63" i="1"/>
  <c r="F63" i="1"/>
  <c r="D61" i="1"/>
  <c r="E61" i="1"/>
  <c r="C61" i="1"/>
  <c r="C65" i="1"/>
  <c r="F60" i="1"/>
  <c r="E60" i="1"/>
  <c r="E59" i="1"/>
  <c r="F59" i="1"/>
  <c r="D56" i="1"/>
  <c r="E56" i="1"/>
  <c r="C56" i="1"/>
  <c r="F55" i="1"/>
  <c r="E55" i="1"/>
  <c r="F54" i="1"/>
  <c r="E54" i="1"/>
  <c r="E53" i="1"/>
  <c r="F53" i="1" s="1"/>
  <c r="F52" i="1"/>
  <c r="E52" i="1"/>
  <c r="E51" i="1"/>
  <c r="F51" i="1" s="1"/>
  <c r="E50" i="1"/>
  <c r="F50" i="1" s="1"/>
  <c r="A50" i="1"/>
  <c r="A51" i="1" s="1"/>
  <c r="A52" i="1" s="1"/>
  <c r="A53" i="1" s="1"/>
  <c r="A54" i="1" s="1"/>
  <c r="A55" i="1" s="1"/>
  <c r="E49" i="1"/>
  <c r="F49" i="1" s="1"/>
  <c r="E40" i="1"/>
  <c r="F40" i="1" s="1"/>
  <c r="D38" i="1"/>
  <c r="C38" i="1"/>
  <c r="C41" i="1" s="1"/>
  <c r="C43" i="1" s="1"/>
  <c r="E37" i="1"/>
  <c r="F37" i="1"/>
  <c r="E36" i="1"/>
  <c r="F36" i="1" s="1"/>
  <c r="E33" i="1"/>
  <c r="F33" i="1" s="1"/>
  <c r="E32" i="1"/>
  <c r="F32" i="1" s="1"/>
  <c r="F31" i="1"/>
  <c r="E31" i="1"/>
  <c r="D29" i="1"/>
  <c r="E29" i="1"/>
  <c r="C29" i="1"/>
  <c r="F29" i="1"/>
  <c r="E28" i="1"/>
  <c r="F28" i="1" s="1"/>
  <c r="F27" i="1"/>
  <c r="E27" i="1"/>
  <c r="F26" i="1"/>
  <c r="E26" i="1"/>
  <c r="E25" i="1"/>
  <c r="F25" i="1" s="1"/>
  <c r="D22" i="1"/>
  <c r="E22" i="1" s="1"/>
  <c r="F22" i="1" s="1"/>
  <c r="C22" i="1"/>
  <c r="E21" i="1"/>
  <c r="F21" i="1" s="1"/>
  <c r="E20" i="1"/>
  <c r="F20" i="1" s="1"/>
  <c r="F19" i="1"/>
  <c r="E19" i="1"/>
  <c r="F18" i="1"/>
  <c r="E18" i="1"/>
  <c r="F17" i="1"/>
  <c r="E17" i="1"/>
  <c r="E16" i="1"/>
  <c r="F16" i="1" s="1"/>
  <c r="E15" i="1"/>
  <c r="F15" i="1" s="1"/>
  <c r="F14" i="1"/>
  <c r="E14" i="1"/>
  <c r="E13" i="1"/>
  <c r="F13" i="1" s="1"/>
  <c r="E35" i="14"/>
  <c r="E124" i="14"/>
  <c r="F124" i="14" s="1"/>
  <c r="D200" i="14"/>
  <c r="D215" i="14"/>
  <c r="D255" i="14" s="1"/>
  <c r="D37" i="14"/>
  <c r="D199" i="14"/>
  <c r="D205" i="14"/>
  <c r="D227" i="14"/>
  <c r="E227" i="14" s="1"/>
  <c r="F227" i="14" s="1"/>
  <c r="D262" i="14"/>
  <c r="D272" i="14"/>
  <c r="F299" i="14"/>
  <c r="F17" i="14"/>
  <c r="F85" i="14"/>
  <c r="E136" i="14"/>
  <c r="E204" i="14"/>
  <c r="F204" i="14"/>
  <c r="E237" i="14"/>
  <c r="D146" i="14"/>
  <c r="C75" i="1"/>
  <c r="F43" i="3"/>
  <c r="F48" i="3"/>
  <c r="C33" i="2"/>
  <c r="E24" i="5"/>
  <c r="E17" i="5"/>
  <c r="E140" i="5"/>
  <c r="E136" i="5"/>
  <c r="E137" i="5"/>
  <c r="E139" i="5"/>
  <c r="E135" i="5"/>
  <c r="E141" i="5" s="1"/>
  <c r="E138" i="5"/>
  <c r="E157" i="5"/>
  <c r="E153" i="5"/>
  <c r="E154" i="5"/>
  <c r="E152" i="5"/>
  <c r="E155" i="5"/>
  <c r="E156" i="5"/>
  <c r="D24" i="5"/>
  <c r="D17" i="5"/>
  <c r="D24" i="10"/>
  <c r="D17" i="10"/>
  <c r="D28" i="10"/>
  <c r="D70" i="10" s="1"/>
  <c r="D72" i="10" s="1"/>
  <c r="D69" i="10" s="1"/>
  <c r="E262" i="14"/>
  <c r="F262" i="14"/>
  <c r="F56" i="1"/>
  <c r="F61" i="1"/>
  <c r="D65" i="1"/>
  <c r="E65" i="1" s="1"/>
  <c r="F65" i="1" s="1"/>
  <c r="D19" i="2"/>
  <c r="E25" i="5"/>
  <c r="E27" i="5" s="1"/>
  <c r="C49" i="5"/>
  <c r="D53" i="5"/>
  <c r="E57" i="5"/>
  <c r="E62" i="5" s="1"/>
  <c r="E88" i="5"/>
  <c r="E90" i="5" s="1"/>
  <c r="E86" i="5" s="1"/>
  <c r="E62" i="6"/>
  <c r="E88" i="6"/>
  <c r="E114" i="6"/>
  <c r="F114" i="6" s="1"/>
  <c r="E140" i="6"/>
  <c r="E166" i="6"/>
  <c r="E192" i="6"/>
  <c r="E198" i="6"/>
  <c r="E200" i="6"/>
  <c r="E202" i="6"/>
  <c r="F202" i="6" s="1"/>
  <c r="E204" i="6"/>
  <c r="E206" i="6"/>
  <c r="D208" i="6"/>
  <c r="E208" i="6" s="1"/>
  <c r="F208" i="6" s="1"/>
  <c r="F22" i="13"/>
  <c r="C20" i="10"/>
  <c r="C21" i="10"/>
  <c r="D21" i="10"/>
  <c r="D20" i="10"/>
  <c r="D22" i="10"/>
  <c r="E31" i="14"/>
  <c r="F31" i="14" s="1"/>
  <c r="C32" i="14"/>
  <c r="E41" i="3"/>
  <c r="F41" i="3"/>
  <c r="E84" i="3"/>
  <c r="F84" i="3"/>
  <c r="E41" i="4"/>
  <c r="F41" i="4"/>
  <c r="D57" i="5"/>
  <c r="D62" i="5"/>
  <c r="F62" i="6"/>
  <c r="F88" i="6"/>
  <c r="F192" i="6"/>
  <c r="F198" i="6"/>
  <c r="F200" i="6"/>
  <c r="F204" i="6"/>
  <c r="F206" i="6"/>
  <c r="C252" i="15"/>
  <c r="E243" i="15"/>
  <c r="D43" i="5"/>
  <c r="C57" i="5"/>
  <c r="C62" i="5" s="1"/>
  <c r="F108" i="7"/>
  <c r="F117" i="7"/>
  <c r="F119" i="7"/>
  <c r="E24" i="10"/>
  <c r="E17" i="10"/>
  <c r="E28" i="10" s="1"/>
  <c r="F36" i="11"/>
  <c r="F38" i="11" s="1"/>
  <c r="F40" i="11" s="1"/>
  <c r="C149" i="5"/>
  <c r="E36" i="6"/>
  <c r="F89" i="6"/>
  <c r="F193" i="6"/>
  <c r="F201" i="6"/>
  <c r="F205" i="6"/>
  <c r="C207" i="6"/>
  <c r="F99" i="12"/>
  <c r="D43" i="15"/>
  <c r="E38" i="15"/>
  <c r="D71" i="15"/>
  <c r="D65" i="15"/>
  <c r="D289" i="15"/>
  <c r="E289" i="15" s="1"/>
  <c r="E60" i="15"/>
  <c r="D144" i="15"/>
  <c r="D175" i="15"/>
  <c r="E175" i="15" s="1"/>
  <c r="E139" i="15"/>
  <c r="E251" i="15"/>
  <c r="C41" i="17"/>
  <c r="D109" i="19"/>
  <c r="D108" i="19"/>
  <c r="E264" i="14"/>
  <c r="F264" i="14" s="1"/>
  <c r="E112" i="7"/>
  <c r="F112" i="7" s="1"/>
  <c r="E113" i="7"/>
  <c r="F113" i="7" s="1"/>
  <c r="E38" i="8"/>
  <c r="F38" i="8" s="1"/>
  <c r="C41" i="8"/>
  <c r="C43" i="8" s="1"/>
  <c r="D59" i="10"/>
  <c r="D61" i="10" s="1"/>
  <c r="D57" i="10" s="1"/>
  <c r="E33" i="11"/>
  <c r="E36" i="11" s="1"/>
  <c r="E38" i="11" s="1"/>
  <c r="C21" i="14"/>
  <c r="E29" i="14"/>
  <c r="F29" i="14"/>
  <c r="F36" i="14"/>
  <c r="E47" i="14"/>
  <c r="F47" i="14" s="1"/>
  <c r="E58" i="14"/>
  <c r="F58" i="14" s="1"/>
  <c r="E95" i="14"/>
  <c r="F95" i="14" s="1"/>
  <c r="F109" i="14"/>
  <c r="E120" i="14"/>
  <c r="F120" i="14" s="1"/>
  <c r="E129" i="14"/>
  <c r="F129" i="14" s="1"/>
  <c r="C137" i="14"/>
  <c r="F145" i="14"/>
  <c r="F172" i="14"/>
  <c r="F198" i="14"/>
  <c r="E229" i="14"/>
  <c r="F229" i="14" s="1"/>
  <c r="C239" i="14"/>
  <c r="C255" i="14"/>
  <c r="D283" i="15"/>
  <c r="E41" i="15"/>
  <c r="E151" i="15"/>
  <c r="E195" i="15"/>
  <c r="E215" i="15"/>
  <c r="D244" i="15"/>
  <c r="E244" i="15" s="1"/>
  <c r="C277" i="14"/>
  <c r="C261" i="14"/>
  <c r="C254" i="14"/>
  <c r="E188" i="14"/>
  <c r="F188" i="14"/>
  <c r="C285" i="14"/>
  <c r="C269" i="14"/>
  <c r="C272" i="14" s="1"/>
  <c r="D33" i="15"/>
  <c r="E32" i="15"/>
  <c r="E25" i="10"/>
  <c r="E27" i="10"/>
  <c r="C59" i="10"/>
  <c r="C61" i="10"/>
  <c r="C57" i="10" s="1"/>
  <c r="E30" i="14"/>
  <c r="F30" i="14" s="1"/>
  <c r="F102" i="14"/>
  <c r="F179" i="14"/>
  <c r="C190" i="14"/>
  <c r="C200" i="14"/>
  <c r="C290" i="14"/>
  <c r="D222" i="15"/>
  <c r="D223" i="15" s="1"/>
  <c r="D55" i="15"/>
  <c r="E55" i="15" s="1"/>
  <c r="E54" i="15"/>
  <c r="D189" i="15"/>
  <c r="D261" i="15"/>
  <c r="E261" i="15"/>
  <c r="E188" i="15"/>
  <c r="E205" i="15"/>
  <c r="D210" i="15"/>
  <c r="E218" i="15"/>
  <c r="D217" i="15"/>
  <c r="D104" i="14"/>
  <c r="D174" i="14"/>
  <c r="D254" i="14"/>
  <c r="D216" i="14"/>
  <c r="C121" i="7"/>
  <c r="E121" i="7" s="1"/>
  <c r="C122" i="7"/>
  <c r="C17" i="10"/>
  <c r="C28" i="10" s="1"/>
  <c r="F31" i="11"/>
  <c r="H31" i="11" s="1"/>
  <c r="C48" i="14"/>
  <c r="F136" i="14"/>
  <c r="F159" i="14"/>
  <c r="F170" i="14"/>
  <c r="C181" i="14"/>
  <c r="F238" i="14"/>
  <c r="C274" i="14"/>
  <c r="E22" i="15"/>
  <c r="C283" i="15"/>
  <c r="E283" i="15" s="1"/>
  <c r="D294" i="15"/>
  <c r="E290" i="14"/>
  <c r="C215" i="14"/>
  <c r="F189" i="14"/>
  <c r="C267" i="14"/>
  <c r="C283" i="14"/>
  <c r="C205" i="14"/>
  <c r="F203" i="14"/>
  <c r="C306" i="14"/>
  <c r="F250" i="14"/>
  <c r="E156" i="15"/>
  <c r="D157" i="15"/>
  <c r="E157" i="15" s="1"/>
  <c r="E231" i="15"/>
  <c r="D320" i="15"/>
  <c r="E320" i="15" s="1"/>
  <c r="E316" i="15"/>
  <c r="D330" i="15"/>
  <c r="E330" i="15"/>
  <c r="E326" i="15"/>
  <c r="D41" i="17"/>
  <c r="E39" i="17"/>
  <c r="F39" i="17"/>
  <c r="E109" i="19"/>
  <c r="E108" i="19"/>
  <c r="D175" i="14"/>
  <c r="D62" i="14"/>
  <c r="D105" i="14"/>
  <c r="H17" i="11"/>
  <c r="F35" i="14"/>
  <c r="C37" i="14"/>
  <c r="F94" i="14"/>
  <c r="C103" i="14"/>
  <c r="F135" i="14"/>
  <c r="C146" i="14"/>
  <c r="F165" i="14"/>
  <c r="E171" i="14"/>
  <c r="F171" i="14"/>
  <c r="E180" i="14"/>
  <c r="F180" i="14"/>
  <c r="C192" i="14"/>
  <c r="C214" i="14"/>
  <c r="E223" i="14"/>
  <c r="F223" i="14" s="1"/>
  <c r="F237" i="14"/>
  <c r="C278" i="14"/>
  <c r="E278" i="14" s="1"/>
  <c r="E21" i="15"/>
  <c r="D44" i="15"/>
  <c r="D76" i="15"/>
  <c r="D163" i="15"/>
  <c r="C222" i="15"/>
  <c r="E219" i="15"/>
  <c r="C253" i="15"/>
  <c r="D240" i="15"/>
  <c r="E240" i="15" s="1"/>
  <c r="E260" i="15"/>
  <c r="E20" i="17"/>
  <c r="F20" i="17" s="1"/>
  <c r="E40" i="17"/>
  <c r="F40" i="17" s="1"/>
  <c r="D270" i="14"/>
  <c r="D239" i="15"/>
  <c r="E239" i="15"/>
  <c r="C242" i="15"/>
  <c r="E242" i="15"/>
  <c r="C22" i="16"/>
  <c r="E22" i="19"/>
  <c r="D34" i="19"/>
  <c r="D102" i="19"/>
  <c r="C109" i="19"/>
  <c r="D110" i="19"/>
  <c r="E111" i="19"/>
  <c r="D125" i="14"/>
  <c r="D138" i="14"/>
  <c r="D139" i="14" s="1"/>
  <c r="D161" i="14"/>
  <c r="D193" i="14"/>
  <c r="D282" i="14"/>
  <c r="D277" i="14"/>
  <c r="D285" i="14"/>
  <c r="E285" i="14" s="1"/>
  <c r="F285" i="14" s="1"/>
  <c r="E314" i="15"/>
  <c r="D29" i="19"/>
  <c r="E30" i="19"/>
  <c r="D35" i="19"/>
  <c r="E36" i="19"/>
  <c r="D39" i="19"/>
  <c r="E40" i="19"/>
  <c r="D45" i="19"/>
  <c r="E46" i="19"/>
  <c r="D160" i="14"/>
  <c r="D206" i="14"/>
  <c r="E206" i="14" s="1"/>
  <c r="F206" i="14" s="1"/>
  <c r="D274" i="14"/>
  <c r="E274" i="14" s="1"/>
  <c r="D280" i="14"/>
  <c r="E324" i="15"/>
  <c r="E19" i="17"/>
  <c r="F19" i="17" s="1"/>
  <c r="E43" i="17"/>
  <c r="D23" i="19"/>
  <c r="E101" i="19"/>
  <c r="D49" i="14"/>
  <c r="D91" i="14"/>
  <c r="D261" i="14"/>
  <c r="D190" i="14"/>
  <c r="E190" i="14" s="1"/>
  <c r="D162" i="14"/>
  <c r="C216" i="14"/>
  <c r="E214" i="14"/>
  <c r="F214" i="14" s="1"/>
  <c r="E146" i="14"/>
  <c r="F146" i="14" s="1"/>
  <c r="E37" i="14"/>
  <c r="F37" i="14" s="1"/>
  <c r="D241" i="15"/>
  <c r="E217" i="15"/>
  <c r="E200" i="14"/>
  <c r="F200" i="14" s="1"/>
  <c r="E21" i="10"/>
  <c r="E20" i="10"/>
  <c r="E33" i="15"/>
  <c r="D168" i="15"/>
  <c r="D145" i="15"/>
  <c r="D180" i="15"/>
  <c r="E19" i="2"/>
  <c r="F19" i="2" s="1"/>
  <c r="D33" i="2"/>
  <c r="E112" i="5"/>
  <c r="E111" i="5"/>
  <c r="E28" i="5"/>
  <c r="E99" i="5"/>
  <c r="E101" i="5" s="1"/>
  <c r="E98" i="5" s="1"/>
  <c r="D253" i="15"/>
  <c r="E253" i="15"/>
  <c r="C223" i="15"/>
  <c r="D47" i="19"/>
  <c r="D37" i="19"/>
  <c r="D112" i="19"/>
  <c r="D55" i="19"/>
  <c r="D194" i="14"/>
  <c r="D266" i="14"/>
  <c r="E192" i="14"/>
  <c r="F192" i="14" s="1"/>
  <c r="D106" i="14"/>
  <c r="D176" i="14"/>
  <c r="E306" i="14"/>
  <c r="C270" i="14"/>
  <c r="E267" i="14"/>
  <c r="F267" i="14" s="1"/>
  <c r="E254" i="14"/>
  <c r="F254" i="14" s="1"/>
  <c r="D66" i="15"/>
  <c r="D286" i="14"/>
  <c r="D300" i="14"/>
  <c r="D92" i="14"/>
  <c r="D99" i="15"/>
  <c r="D95" i="15"/>
  <c r="D88" i="15"/>
  <c r="D84" i="15"/>
  <c r="D101" i="15"/>
  <c r="D97" i="15"/>
  <c r="D86" i="15"/>
  <c r="D100" i="15"/>
  <c r="D89" i="15"/>
  <c r="D258" i="15"/>
  <c r="D98" i="15"/>
  <c r="D87" i="15"/>
  <c r="D96" i="15"/>
  <c r="D85" i="15"/>
  <c r="D83" i="15"/>
  <c r="D234" i="15"/>
  <c r="D211" i="15"/>
  <c r="E222" i="15"/>
  <c r="D246" i="15"/>
  <c r="C287" i="14"/>
  <c r="C279" i="14"/>
  <c r="C284" i="14"/>
  <c r="D259" i="15"/>
  <c r="E22" i="5"/>
  <c r="E21" i="5"/>
  <c r="E20" i="5"/>
  <c r="C41" i="2"/>
  <c r="E41" i="17"/>
  <c r="F41" i="17" s="1"/>
  <c r="E216" i="14"/>
  <c r="F190" i="14"/>
  <c r="D268" i="14"/>
  <c r="D271" i="14"/>
  <c r="D263" i="14"/>
  <c r="E261" i="14"/>
  <c r="D50" i="14"/>
  <c r="F43" i="17"/>
  <c r="E48" i="19"/>
  <c r="E38" i="19"/>
  <c r="E113" i="19"/>
  <c r="E56" i="19"/>
  <c r="D287" i="14"/>
  <c r="D279" i="14"/>
  <c r="E279" i="14" s="1"/>
  <c r="F279" i="14" s="1"/>
  <c r="D284" i="14"/>
  <c r="E277" i="14"/>
  <c r="F277" i="14" s="1"/>
  <c r="E103" i="14"/>
  <c r="F103" i="14" s="1"/>
  <c r="C286" i="14"/>
  <c r="E283" i="14"/>
  <c r="F283" i="14" s="1"/>
  <c r="D46" i="19"/>
  <c r="D40" i="19"/>
  <c r="D36" i="19"/>
  <c r="D30" i="19"/>
  <c r="D111" i="19"/>
  <c r="D54" i="19"/>
  <c r="D281" i="14"/>
  <c r="E110" i="19"/>
  <c r="E53" i="19"/>
  <c r="E45" i="19"/>
  <c r="E39" i="19"/>
  <c r="E35" i="19"/>
  <c r="E29" i="19"/>
  <c r="F278" i="14"/>
  <c r="C288" i="14"/>
  <c r="D63" i="14"/>
  <c r="E205" i="14"/>
  <c r="F205" i="14" s="1"/>
  <c r="E215" i="14"/>
  <c r="F215" i="14" s="1"/>
  <c r="E181" i="14"/>
  <c r="F181" i="14" s="1"/>
  <c r="C125" i="14"/>
  <c r="E125" i="14" s="1"/>
  <c r="F125" i="14" s="1"/>
  <c r="C90" i="14"/>
  <c r="E48" i="14"/>
  <c r="F48" i="14" s="1"/>
  <c r="C160" i="14"/>
  <c r="E160" i="14" s="1"/>
  <c r="F160" i="14" s="1"/>
  <c r="E269" i="14"/>
  <c r="F269" i="14" s="1"/>
  <c r="C271" i="14"/>
  <c r="C263" i="14"/>
  <c r="F261" i="14"/>
  <c r="C268" i="14"/>
  <c r="E239" i="14"/>
  <c r="F239" i="14" s="1"/>
  <c r="C138" i="14"/>
  <c r="C140" i="14" s="1"/>
  <c r="C141" i="14" s="1"/>
  <c r="E137" i="14"/>
  <c r="F137" i="14" s="1"/>
  <c r="C207" i="14"/>
  <c r="C161" i="14"/>
  <c r="C126" i="14"/>
  <c r="C49" i="14"/>
  <c r="E21" i="14"/>
  <c r="F21" i="14" s="1"/>
  <c r="C91" i="14"/>
  <c r="E91" i="14" s="1"/>
  <c r="F91" i="14" s="1"/>
  <c r="C138" i="5"/>
  <c r="C139" i="5"/>
  <c r="C135" i="5"/>
  <c r="C137" i="5"/>
  <c r="C140" i="5"/>
  <c r="C136" i="5"/>
  <c r="E32" i="14"/>
  <c r="F32" i="14" s="1"/>
  <c r="C105" i="14"/>
  <c r="D112" i="5"/>
  <c r="D111" i="5" s="1"/>
  <c r="D28" i="5"/>
  <c r="F274" i="14"/>
  <c r="E270" i="14"/>
  <c r="D77" i="15"/>
  <c r="D252" i="15"/>
  <c r="D254" i="15" s="1"/>
  <c r="E254" i="15" s="1"/>
  <c r="C300" i="14"/>
  <c r="F121" i="7"/>
  <c r="F290" i="14"/>
  <c r="C304" i="14"/>
  <c r="D288" i="14"/>
  <c r="E288" i="14" s="1"/>
  <c r="F288" i="14" s="1"/>
  <c r="D284" i="15"/>
  <c r="E284" i="15" s="1"/>
  <c r="C254" i="15"/>
  <c r="E122" i="7"/>
  <c r="F122" i="7"/>
  <c r="D75" i="1"/>
  <c r="E75" i="1" s="1"/>
  <c r="F75" i="1" s="1"/>
  <c r="E158" i="5"/>
  <c r="D113" i="19"/>
  <c r="D56" i="19"/>
  <c r="D48" i="19"/>
  <c r="D38" i="19"/>
  <c r="D90" i="15"/>
  <c r="D91" i="15" s="1"/>
  <c r="D105" i="15" s="1"/>
  <c r="D195" i="14"/>
  <c r="D196" i="14"/>
  <c r="E263" i="14"/>
  <c r="F263" i="14" s="1"/>
  <c r="F270" i="14"/>
  <c r="E252" i="15"/>
  <c r="D265" i="14"/>
  <c r="E33" i="2"/>
  <c r="F33" i="2" s="1"/>
  <c r="D41" i="2"/>
  <c r="D183" i="14"/>
  <c r="D323" i="14"/>
  <c r="E286" i="14"/>
  <c r="F286" i="14"/>
  <c r="D126" i="15"/>
  <c r="D122" i="15"/>
  <c r="D115" i="15"/>
  <c r="D111" i="15"/>
  <c r="D124" i="15"/>
  <c r="D113" i="15"/>
  <c r="D109" i="15"/>
  <c r="D123" i="15"/>
  <c r="D112" i="15"/>
  <c r="D121" i="15"/>
  <c r="D110" i="15"/>
  <c r="D127" i="15"/>
  <c r="D125" i="15"/>
  <c r="D114" i="15"/>
  <c r="C106" i="14"/>
  <c r="E106" i="14" s="1"/>
  <c r="F106" i="14" s="1"/>
  <c r="C162" i="14"/>
  <c r="D99" i="5"/>
  <c r="D101" i="5" s="1"/>
  <c r="D98" i="5" s="1"/>
  <c r="D22" i="5"/>
  <c r="C92" i="14"/>
  <c r="C127" i="14"/>
  <c r="E47" i="19"/>
  <c r="E37" i="19"/>
  <c r="E112" i="19"/>
  <c r="E55" i="19"/>
  <c r="D291" i="14"/>
  <c r="D289" i="14"/>
  <c r="E287" i="14"/>
  <c r="D70" i="14"/>
  <c r="D263" i="15"/>
  <c r="C289" i="14"/>
  <c r="F287" i="14"/>
  <c r="C291" i="14"/>
  <c r="D235" i="15"/>
  <c r="D102" i="15"/>
  <c r="D181" i="15"/>
  <c r="D169" i="15"/>
  <c r="E138" i="14"/>
  <c r="F138" i="14" s="1"/>
  <c r="C141" i="5"/>
  <c r="E268" i="14"/>
  <c r="F268" i="14"/>
  <c r="E300" i="14"/>
  <c r="F300" i="14" s="1"/>
  <c r="E105" i="14"/>
  <c r="F105" i="14" s="1"/>
  <c r="D295" i="15"/>
  <c r="E161" i="14"/>
  <c r="F161" i="14"/>
  <c r="C50" i="14"/>
  <c r="C208" i="14"/>
  <c r="C273" i="14"/>
  <c r="D304" i="14"/>
  <c r="E304" i="14" s="1"/>
  <c r="F304" i="14" s="1"/>
  <c r="D273" i="14"/>
  <c r="E273" i="14" s="1"/>
  <c r="F273" i="14" s="1"/>
  <c r="E271" i="14"/>
  <c r="F271" i="14" s="1"/>
  <c r="C48" i="2"/>
  <c r="D264" i="15"/>
  <c r="D324" i="14"/>
  <c r="D113" i="14"/>
  <c r="E92" i="14"/>
  <c r="F92" i="14" s="1"/>
  <c r="E49" i="14"/>
  <c r="F49" i="14" s="1"/>
  <c r="F216" i="14"/>
  <c r="D266" i="15"/>
  <c r="D128" i="15"/>
  <c r="D129" i="15" s="1"/>
  <c r="C305" i="14"/>
  <c r="D116" i="15"/>
  <c r="E162" i="14"/>
  <c r="F162" i="14" s="1"/>
  <c r="D305" i="14"/>
  <c r="E291" i="14"/>
  <c r="F291" i="14" s="1"/>
  <c r="C324" i="14"/>
  <c r="C113" i="14"/>
  <c r="E41" i="2"/>
  <c r="F41" i="2" s="1"/>
  <c r="D48" i="2"/>
  <c r="E48" i="2" s="1"/>
  <c r="F48" i="2" s="1"/>
  <c r="E113" i="14"/>
  <c r="F113" i="14" s="1"/>
  <c r="D103" i="15"/>
  <c r="E50" i="14"/>
  <c r="F50" i="14" s="1"/>
  <c r="C210" i="14"/>
  <c r="C197" i="14"/>
  <c r="D197" i="14"/>
  <c r="E197" i="14" s="1"/>
  <c r="F197" i="14" s="1"/>
  <c r="E289" i="14"/>
  <c r="F289" i="14" s="1"/>
  <c r="D267" i="15"/>
  <c r="D269" i="15" s="1"/>
  <c r="D117" i="15"/>
  <c r="C309" i="14"/>
  <c r="C310" i="14" s="1"/>
  <c r="C312" i="14" s="1"/>
  <c r="C313" i="14" s="1"/>
  <c r="D309" i="14"/>
  <c r="D310" i="14" s="1"/>
  <c r="E305" i="14"/>
  <c r="F305" i="14" s="1"/>
  <c r="E309" i="14"/>
  <c r="F309" i="14" s="1"/>
  <c r="D247" i="15" l="1"/>
  <c r="E223" i="15"/>
  <c r="C315" i="14"/>
  <c r="C256" i="14"/>
  <c r="C257" i="14" s="1"/>
  <c r="C251" i="14"/>
  <c r="C314" i="14"/>
  <c r="C148" i="14"/>
  <c r="C322" i="14"/>
  <c r="C70" i="10"/>
  <c r="C72" i="10" s="1"/>
  <c r="C69" i="10" s="1"/>
  <c r="C22" i="10"/>
  <c r="E324" i="14"/>
  <c r="F324" i="14" s="1"/>
  <c r="E16" i="2"/>
  <c r="F16" i="2" s="1"/>
  <c r="E25" i="3"/>
  <c r="F25" i="3" s="1"/>
  <c r="E45" i="3"/>
  <c r="F45" i="3" s="1"/>
  <c r="E49" i="3"/>
  <c r="F49" i="3" s="1"/>
  <c r="C95" i="3"/>
  <c r="E111" i="3"/>
  <c r="E24" i="4"/>
  <c r="D268" i="15"/>
  <c r="D271" i="15" s="1"/>
  <c r="E284" i="14"/>
  <c r="F284" i="14" s="1"/>
  <c r="E255" i="14"/>
  <c r="F255" i="14" s="1"/>
  <c r="E38" i="1"/>
  <c r="F38" i="1" s="1"/>
  <c r="E52" i="3"/>
  <c r="F52" i="3" s="1"/>
  <c r="E95" i="3"/>
  <c r="C83" i="4"/>
  <c r="E49" i="6"/>
  <c r="E50" i="6"/>
  <c r="E76" i="6"/>
  <c r="E203" i="6"/>
  <c r="F203" i="6" s="1"/>
  <c r="E35" i="7"/>
  <c r="F35" i="7" s="1"/>
  <c r="E47" i="7"/>
  <c r="E59" i="7"/>
  <c r="E60" i="7"/>
  <c r="E71" i="7"/>
  <c r="E83" i="7"/>
  <c r="E84" i="7"/>
  <c r="E59" i="4"/>
  <c r="E78" i="4"/>
  <c r="F78" i="4" s="1"/>
  <c r="E109" i="4"/>
  <c r="E118" i="4"/>
  <c r="F155" i="4"/>
  <c r="C176" i="4"/>
  <c r="D77" i="5"/>
  <c r="D71" i="5" s="1"/>
  <c r="E71" i="5"/>
  <c r="D79" i="5"/>
  <c r="E109" i="5"/>
  <c r="E106" i="5" s="1"/>
  <c r="D149" i="5"/>
  <c r="F23" i="6"/>
  <c r="F24" i="6"/>
  <c r="E115" i="6"/>
  <c r="F115" i="6" s="1"/>
  <c r="F128" i="6"/>
  <c r="E180" i="6"/>
  <c r="E199" i="6"/>
  <c r="F199" i="6" s="1"/>
  <c r="D207" i="6"/>
  <c r="E207" i="6" s="1"/>
  <c r="F207" i="6" s="1"/>
  <c r="F36" i="7"/>
  <c r="E95" i="7"/>
  <c r="F95" i="7" s="1"/>
  <c r="E96" i="7"/>
  <c r="F96" i="7" s="1"/>
  <c r="E107" i="7"/>
  <c r="E115" i="7"/>
  <c r="F115" i="7" s="1"/>
  <c r="E116" i="7"/>
  <c r="F120" i="7"/>
  <c r="F22" i="8"/>
  <c r="D43" i="8"/>
  <c r="E43" i="8" s="1"/>
  <c r="E56" i="8"/>
  <c r="E73" i="8"/>
  <c r="F73" i="8" s="1"/>
  <c r="E16" i="9"/>
  <c r="D50" i="10"/>
  <c r="I31" i="11"/>
  <c r="C33" i="11"/>
  <c r="C111" i="14"/>
  <c r="E158" i="14"/>
  <c r="F158" i="14" s="1"/>
  <c r="E37" i="15"/>
  <c r="E75" i="15"/>
  <c r="C163" i="15"/>
  <c r="E163" i="15" s="1"/>
  <c r="E164" i="15"/>
  <c r="E166" i="15"/>
  <c r="E173" i="15"/>
  <c r="E216" i="15"/>
  <c r="E230" i="15"/>
  <c r="E232" i="15"/>
  <c r="E279" i="15"/>
  <c r="E287" i="15"/>
  <c r="C38" i="16"/>
  <c r="C127" i="16" s="1"/>
  <c r="C129" i="16" s="1"/>
  <c r="C133" i="16" s="1"/>
  <c r="C49" i="16"/>
  <c r="C22" i="19"/>
  <c r="C23" i="19"/>
  <c r="E34" i="19"/>
  <c r="C102" i="19"/>
  <c r="E102" i="19"/>
  <c r="E103" i="19" s="1"/>
  <c r="F16" i="9"/>
  <c r="E59" i="10"/>
  <c r="E61" i="10" s="1"/>
  <c r="E57" i="10" s="1"/>
  <c r="C50" i="10"/>
  <c r="C80" i="10"/>
  <c r="C77" i="10" s="1"/>
  <c r="E80" i="10"/>
  <c r="E77" i="10" s="1"/>
  <c r="E23" i="12"/>
  <c r="E30" i="12"/>
  <c r="E37" i="12"/>
  <c r="E45" i="12"/>
  <c r="E50" i="12"/>
  <c r="E55" i="12"/>
  <c r="E65" i="12"/>
  <c r="E70" i="12"/>
  <c r="E75" i="12"/>
  <c r="F75" i="12" s="1"/>
  <c r="E92" i="12"/>
  <c r="F17" i="13"/>
  <c r="E20" i="14"/>
  <c r="F20" i="14" s="1"/>
  <c r="F24" i="14"/>
  <c r="C193" i="14"/>
  <c r="C280" i="14"/>
  <c r="C65" i="15"/>
  <c r="C303" i="15"/>
  <c r="C306" i="15" s="1"/>
  <c r="C310" i="15" s="1"/>
  <c r="C33" i="19"/>
  <c r="D33" i="19"/>
  <c r="E33" i="19"/>
  <c r="D101" i="19"/>
  <c r="D103" i="19" s="1"/>
  <c r="C93" i="19"/>
  <c r="D126" i="14"/>
  <c r="D90" i="14"/>
  <c r="E90" i="14" s="1"/>
  <c r="F90" i="14" s="1"/>
  <c r="D131" i="15"/>
  <c r="D312" i="14"/>
  <c r="E310" i="14"/>
  <c r="F310" i="14" s="1"/>
  <c r="E70" i="10"/>
  <c r="E72" i="10" s="1"/>
  <c r="E69" i="10" s="1"/>
  <c r="E22" i="10"/>
  <c r="F59" i="4"/>
  <c r="F109" i="4"/>
  <c r="F118" i="4"/>
  <c r="D21" i="5"/>
  <c r="D20" i="5"/>
  <c r="C153" i="5"/>
  <c r="C156" i="5"/>
  <c r="C154" i="5"/>
  <c r="C155" i="5"/>
  <c r="C152" i="5"/>
  <c r="C157" i="5"/>
  <c r="E272" i="14"/>
  <c r="F272" i="14" s="1"/>
  <c r="F43" i="8"/>
  <c r="F42" i="3"/>
  <c r="F95" i="3"/>
  <c r="C20" i="5"/>
  <c r="C21" i="5"/>
  <c r="D135" i="5"/>
  <c r="D136" i="5"/>
  <c r="D138" i="5"/>
  <c r="D139" i="5"/>
  <c r="D140" i="5"/>
  <c r="D137" i="5"/>
  <c r="D152" i="5"/>
  <c r="D153" i="5"/>
  <c r="D155" i="5"/>
  <c r="D154" i="5"/>
  <c r="D156" i="5"/>
  <c r="D157" i="5"/>
  <c r="E41" i="8"/>
  <c r="F41" i="8" s="1"/>
  <c r="D41" i="1"/>
  <c r="F73" i="1"/>
  <c r="F39" i="2"/>
  <c r="F46" i="2"/>
  <c r="F68" i="3"/>
  <c r="F85" i="3"/>
  <c r="F86" i="3"/>
  <c r="F87" i="3"/>
  <c r="F88" i="3"/>
  <c r="F89" i="3"/>
  <c r="F90" i="3"/>
  <c r="F91" i="3"/>
  <c r="F92" i="3"/>
  <c r="F93" i="3"/>
  <c r="F111" i="3"/>
  <c r="F124" i="3"/>
  <c r="F137" i="3"/>
  <c r="F153" i="3"/>
  <c r="F166" i="3"/>
  <c r="F179" i="3"/>
  <c r="F24" i="4"/>
  <c r="D83" i="4"/>
  <c r="E83" i="4" s="1"/>
  <c r="F83" i="4" s="1"/>
  <c r="D176" i="4"/>
  <c r="E176" i="4" s="1"/>
  <c r="F176" i="4" s="1"/>
  <c r="C17" i="5"/>
  <c r="C77" i="5"/>
  <c r="C71" i="5" s="1"/>
  <c r="F49" i="6"/>
  <c r="F50" i="6"/>
  <c r="F101" i="6"/>
  <c r="F102" i="6"/>
  <c r="F127" i="6"/>
  <c r="E153" i="6"/>
  <c r="E167" i="6"/>
  <c r="F107" i="7"/>
  <c r="F116" i="7"/>
  <c r="F56" i="8"/>
  <c r="F31" i="9"/>
  <c r="D140" i="14"/>
  <c r="E154" i="6"/>
  <c r="F23" i="7"/>
  <c r="F24" i="7"/>
  <c r="F29" i="8"/>
  <c r="C75" i="8"/>
  <c r="D65" i="8"/>
  <c r="E65" i="8" s="1"/>
  <c r="F65" i="8" s="1"/>
  <c r="C19" i="9"/>
  <c r="D19" i="9"/>
  <c r="I17" i="11"/>
  <c r="G33" i="11"/>
  <c r="F16" i="12"/>
  <c r="F23" i="12"/>
  <c r="F30" i="12"/>
  <c r="F37" i="12"/>
  <c r="F45" i="12"/>
  <c r="F50" i="12"/>
  <c r="F55" i="12"/>
  <c r="F65" i="12"/>
  <c r="F70" i="12"/>
  <c r="F73" i="12"/>
  <c r="F92" i="12"/>
  <c r="F44" i="14"/>
  <c r="F52" i="14"/>
  <c r="E59" i="14"/>
  <c r="F59" i="14" s="1"/>
  <c r="C60" i="14"/>
  <c r="F88" i="14"/>
  <c r="F89" i="14"/>
  <c r="F130" i="14"/>
  <c r="F66" i="14"/>
  <c r="C68" i="14"/>
  <c r="F76" i="14"/>
  <c r="C77" i="14"/>
  <c r="E77" i="14" s="1"/>
  <c r="F100" i="14"/>
  <c r="F164" i="14"/>
  <c r="C173" i="14"/>
  <c r="E191" i="14"/>
  <c r="F191" i="14" s="1"/>
  <c r="C199" i="14"/>
  <c r="E226" i="14"/>
  <c r="F226" i="14" s="1"/>
  <c r="F297" i="14"/>
  <c r="C43" i="15"/>
  <c r="C71" i="15"/>
  <c r="E71" i="15" s="1"/>
  <c r="C144" i="15"/>
  <c r="E229" i="15"/>
  <c r="C241" i="15"/>
  <c r="E241" i="15" s="1"/>
  <c r="E245" i="15"/>
  <c r="D207" i="14"/>
  <c r="C189" i="15"/>
  <c r="E189" i="15" s="1"/>
  <c r="C65" i="16"/>
  <c r="C114" i="16" s="1"/>
  <c r="C116" i="16" s="1"/>
  <c r="C119" i="16" s="1"/>
  <c r="C123" i="16" s="1"/>
  <c r="E23" i="14"/>
  <c r="F23" i="14" s="1"/>
  <c r="E295" i="14"/>
  <c r="F295" i="14" s="1"/>
  <c r="E221" i="15"/>
  <c r="E16" i="17"/>
  <c r="F16" i="17" s="1"/>
  <c r="E44" i="17"/>
  <c r="E45" i="17"/>
  <c r="F45" i="17" s="1"/>
  <c r="C210" i="15"/>
  <c r="D302" i="15"/>
  <c r="E25" i="17"/>
  <c r="F25" i="17" s="1"/>
  <c r="E36" i="17"/>
  <c r="F36" i="17" s="1"/>
  <c r="C101" i="19"/>
  <c r="C103" i="19" s="1"/>
  <c r="E46" i="17" l="1"/>
  <c r="F46" i="17" s="1"/>
  <c r="C66" i="15"/>
  <c r="C294" i="15"/>
  <c r="E294" i="15" s="1"/>
  <c r="E65" i="15"/>
  <c r="C282" i="14"/>
  <c r="E193" i="14"/>
  <c r="F193" i="14" s="1"/>
  <c r="C194" i="14"/>
  <c r="C45" i="19"/>
  <c r="C35" i="19"/>
  <c r="C53" i="19"/>
  <c r="C110" i="19"/>
  <c r="C29" i="19"/>
  <c r="C39" i="19"/>
  <c r="C246" i="15"/>
  <c r="E246" i="15" s="1"/>
  <c r="C318" i="14"/>
  <c r="D127" i="14"/>
  <c r="E127" i="14" s="1"/>
  <c r="F127" i="14" s="1"/>
  <c r="E126" i="14"/>
  <c r="F126" i="14" s="1"/>
  <c r="E280" i="14"/>
  <c r="C281" i="14"/>
  <c r="E281" i="14" s="1"/>
  <c r="F281" i="14" s="1"/>
  <c r="F280" i="14"/>
  <c r="C266" i="14"/>
  <c r="C46" i="19"/>
  <c r="C54" i="19"/>
  <c r="C111" i="19"/>
  <c r="C30" i="19"/>
  <c r="C40" i="19"/>
  <c r="C36" i="19"/>
  <c r="E111" i="14"/>
  <c r="F111" i="14" s="1"/>
  <c r="C36" i="11"/>
  <c r="C38" i="11" s="1"/>
  <c r="C40" i="11" s="1"/>
  <c r="H33" i="11"/>
  <c r="H36" i="11" s="1"/>
  <c r="H38" i="11" s="1"/>
  <c r="H40" i="11" s="1"/>
  <c r="C211" i="15"/>
  <c r="C234" i="15"/>
  <c r="E234" i="15" s="1"/>
  <c r="E210" i="15"/>
  <c r="E302" i="15"/>
  <c r="D303" i="15"/>
  <c r="D208" i="14"/>
  <c r="E207" i="14"/>
  <c r="F207" i="14" s="1"/>
  <c r="E68" i="14"/>
  <c r="F68" i="14" s="1"/>
  <c r="E60" i="14"/>
  <c r="C61" i="14"/>
  <c r="F60" i="14"/>
  <c r="C33" i="9"/>
  <c r="D75" i="8"/>
  <c r="E75" i="8" s="1"/>
  <c r="E140" i="14"/>
  <c r="F140" i="14" s="1"/>
  <c r="D141" i="14"/>
  <c r="C28" i="5"/>
  <c r="C112" i="5"/>
  <c r="C111" i="5" s="1"/>
  <c r="D158" i="5"/>
  <c r="D141" i="5"/>
  <c r="C158" i="5"/>
  <c r="F44" i="17"/>
  <c r="C180" i="15"/>
  <c r="E180" i="15" s="1"/>
  <c r="C168" i="15"/>
  <c r="E168" i="15" s="1"/>
  <c r="C145" i="15"/>
  <c r="E144" i="15"/>
  <c r="C44" i="15"/>
  <c r="E43" i="15"/>
  <c r="E199" i="14"/>
  <c r="F199" i="14" s="1"/>
  <c r="E173" i="14"/>
  <c r="F173" i="14" s="1"/>
  <c r="C175" i="14"/>
  <c r="C76" i="15"/>
  <c r="G36" i="11"/>
  <c r="G38" i="11" s="1"/>
  <c r="G40" i="11" s="1"/>
  <c r="I33" i="11"/>
  <c r="I36" i="11" s="1"/>
  <c r="I38" i="11" s="1"/>
  <c r="I40" i="11" s="1"/>
  <c r="D33" i="9"/>
  <c r="E19" i="9"/>
  <c r="F19" i="9" s="1"/>
  <c r="F75" i="8"/>
  <c r="E41" i="1"/>
  <c r="F41" i="1" s="1"/>
  <c r="D43" i="1"/>
  <c r="E43" i="1" s="1"/>
  <c r="F43" i="1" s="1"/>
  <c r="E312" i="14"/>
  <c r="F312" i="14" s="1"/>
  <c r="D313" i="14"/>
  <c r="C48" i="19" l="1"/>
  <c r="C113" i="19"/>
  <c r="C56" i="19"/>
  <c r="C38" i="19"/>
  <c r="E266" i="14"/>
  <c r="C265" i="14"/>
  <c r="E265" i="14" s="1"/>
  <c r="F265" i="14" s="1"/>
  <c r="F266" i="14"/>
  <c r="C112" i="19"/>
  <c r="C47" i="19"/>
  <c r="C55" i="19"/>
  <c r="C37" i="19"/>
  <c r="C247" i="15"/>
  <c r="E247" i="15" s="1"/>
  <c r="C295" i="15"/>
  <c r="E295" i="15" s="1"/>
  <c r="E66" i="15"/>
  <c r="C195" i="14"/>
  <c r="E195" i="14" s="1"/>
  <c r="F195" i="14" s="1"/>
  <c r="C196" i="14"/>
  <c r="E196" i="14" s="1"/>
  <c r="F196" i="14" s="1"/>
  <c r="E194" i="14"/>
  <c r="F194" i="14" s="1"/>
  <c r="F282" i="14"/>
  <c r="E282" i="14"/>
  <c r="C77" i="15"/>
  <c r="E76" i="15"/>
  <c r="C259" i="15"/>
  <c r="C181" i="15"/>
  <c r="E181" i="15" s="1"/>
  <c r="C169" i="15"/>
  <c r="E169" i="15" s="1"/>
  <c r="E145" i="15"/>
  <c r="C99" i="5"/>
  <c r="C101" i="5" s="1"/>
  <c r="C98" i="5" s="1"/>
  <c r="C22" i="5"/>
  <c r="C41" i="9"/>
  <c r="D210" i="14"/>
  <c r="D209" i="14"/>
  <c r="E208" i="14"/>
  <c r="F208" i="14" s="1"/>
  <c r="D314" i="14"/>
  <c r="D256" i="14"/>
  <c r="D251" i="14"/>
  <c r="E251" i="14" s="1"/>
  <c r="F251" i="14" s="1"/>
  <c r="E313" i="14"/>
  <c r="F313" i="14" s="1"/>
  <c r="D315" i="14"/>
  <c r="E315" i="14" s="1"/>
  <c r="F315" i="14" s="1"/>
  <c r="D41" i="9"/>
  <c r="E33" i="9"/>
  <c r="F33" i="9" s="1"/>
  <c r="C176" i="14"/>
  <c r="E175" i="14"/>
  <c r="F175" i="14" s="1"/>
  <c r="C98" i="15"/>
  <c r="E98" i="15" s="1"/>
  <c r="C83" i="15"/>
  <c r="C96" i="15"/>
  <c r="C85" i="15"/>
  <c r="E85" i="15" s="1"/>
  <c r="C84" i="15"/>
  <c r="C99" i="15"/>
  <c r="E99" i="15" s="1"/>
  <c r="C258" i="15"/>
  <c r="C100" i="15"/>
  <c r="E100" i="15" s="1"/>
  <c r="C95" i="15"/>
  <c r="C88" i="15"/>
  <c r="E88" i="15" s="1"/>
  <c r="C86" i="15"/>
  <c r="E86" i="15" s="1"/>
  <c r="E44" i="15"/>
  <c r="C87" i="15"/>
  <c r="E87" i="15" s="1"/>
  <c r="C89" i="15"/>
  <c r="E89" i="15" s="1"/>
  <c r="C101" i="15"/>
  <c r="E101" i="15" s="1"/>
  <c r="C97" i="15"/>
  <c r="E97" i="15" s="1"/>
  <c r="D322" i="14"/>
  <c r="E141" i="14"/>
  <c r="F141" i="14" s="1"/>
  <c r="D148" i="14"/>
  <c r="E148" i="14" s="1"/>
  <c r="F148" i="14" s="1"/>
  <c r="C104" i="14"/>
  <c r="C139" i="14"/>
  <c r="C209" i="14"/>
  <c r="E61" i="14"/>
  <c r="F61" i="14" s="1"/>
  <c r="C174" i="14"/>
  <c r="C62" i="14"/>
  <c r="D306" i="15"/>
  <c r="E303" i="15"/>
  <c r="C235" i="15"/>
  <c r="E235" i="15" s="1"/>
  <c r="E211" i="15"/>
  <c r="D310" i="15" l="1"/>
  <c r="E310" i="15" s="1"/>
  <c r="E306" i="15"/>
  <c r="E174" i="14"/>
  <c r="F174" i="14" s="1"/>
  <c r="E322" i="14"/>
  <c r="F322" i="14" s="1"/>
  <c r="D325" i="14"/>
  <c r="E95" i="15"/>
  <c r="E258" i="15"/>
  <c r="E84" i="15"/>
  <c r="C90" i="15"/>
  <c r="E90" i="15" s="1"/>
  <c r="C102" i="15"/>
  <c r="E102" i="15" s="1"/>
  <c r="E96" i="15"/>
  <c r="D318" i="14"/>
  <c r="E318" i="14" s="1"/>
  <c r="F318" i="14" s="1"/>
  <c r="E314" i="14"/>
  <c r="F314" i="14" s="1"/>
  <c r="E209" i="14"/>
  <c r="F209" i="14" s="1"/>
  <c r="E62" i="14"/>
  <c r="C63" i="14"/>
  <c r="F62" i="14"/>
  <c r="E139" i="14"/>
  <c r="F139" i="14" s="1"/>
  <c r="E104" i="14"/>
  <c r="F104" i="14" s="1"/>
  <c r="E83" i="15"/>
  <c r="C91" i="15"/>
  <c r="C183" i="14"/>
  <c r="C323" i="14"/>
  <c r="E176" i="14"/>
  <c r="F176" i="14" s="1"/>
  <c r="C211" i="14"/>
  <c r="D48" i="9"/>
  <c r="E41" i="9"/>
  <c r="F41" i="9" s="1"/>
  <c r="E256" i="14"/>
  <c r="F256" i="14" s="1"/>
  <c r="D257" i="14"/>
  <c r="E257" i="14" s="1"/>
  <c r="F257" i="14" s="1"/>
  <c r="D211" i="14"/>
  <c r="E210" i="14"/>
  <c r="F210" i="14" s="1"/>
  <c r="C48" i="9"/>
  <c r="C263" i="15"/>
  <c r="E263" i="15" s="1"/>
  <c r="E259" i="15"/>
  <c r="C121" i="15"/>
  <c r="C110" i="15"/>
  <c r="C123" i="15"/>
  <c r="E123" i="15" s="1"/>
  <c r="C126" i="15"/>
  <c r="E126" i="15" s="1"/>
  <c r="C124" i="15"/>
  <c r="E124" i="15" s="1"/>
  <c r="C122" i="15"/>
  <c r="C111" i="15"/>
  <c r="E111" i="15" s="1"/>
  <c r="C125" i="15"/>
  <c r="E125" i="15" s="1"/>
  <c r="C114" i="15"/>
  <c r="E114" i="15" s="1"/>
  <c r="C127" i="15"/>
  <c r="E127" i="15" s="1"/>
  <c r="C112" i="15"/>
  <c r="E112" i="15" s="1"/>
  <c r="C115" i="15"/>
  <c r="E115" i="15" s="1"/>
  <c r="C113" i="15"/>
  <c r="E113" i="15" s="1"/>
  <c r="C109" i="15"/>
  <c r="E77" i="15"/>
  <c r="E109" i="15" l="1"/>
  <c r="C128" i="15"/>
  <c r="E128" i="15" s="1"/>
  <c r="E122" i="15"/>
  <c r="C129" i="15"/>
  <c r="E129" i="15" s="1"/>
  <c r="E121" i="15"/>
  <c r="E211" i="14"/>
  <c r="E48" i="9"/>
  <c r="E91" i="15"/>
  <c r="C264" i="15"/>
  <c r="C116" i="15"/>
  <c r="E116" i="15" s="1"/>
  <c r="E110" i="15"/>
  <c r="F48" i="9"/>
  <c r="F211" i="14"/>
  <c r="E323" i="14"/>
  <c r="F323" i="14" s="1"/>
  <c r="C325" i="14"/>
  <c r="E183" i="14"/>
  <c r="F183" i="14" s="1"/>
  <c r="E63" i="14"/>
  <c r="F63" i="14" s="1"/>
  <c r="C70" i="14"/>
  <c r="C103" i="15"/>
  <c r="E103" i="15" s="1"/>
  <c r="E325" i="14"/>
  <c r="F325" i="14" l="1"/>
  <c r="C105" i="15"/>
  <c r="E105" i="15" s="1"/>
  <c r="E70" i="14"/>
  <c r="F70" i="14" s="1"/>
  <c r="C266" i="15"/>
  <c r="E264" i="15"/>
  <c r="C117" i="15"/>
  <c r="C131" i="15" l="1"/>
  <c r="E131" i="15" s="1"/>
  <c r="E117" i="15"/>
  <c r="E266" i="15"/>
  <c r="C267" i="15"/>
  <c r="C268" i="15" l="1"/>
  <c r="C269" i="15"/>
  <c r="E269" i="15" s="1"/>
  <c r="E267" i="15"/>
  <c r="C271" i="15" l="1"/>
  <c r="E271" i="15" s="1"/>
  <c r="E268" i="15"/>
</calcChain>
</file>

<file path=xl/sharedStrings.xml><?xml version="1.0" encoding="utf-8"?>
<sst xmlns="http://schemas.openxmlformats.org/spreadsheetml/2006/main" count="2308" uniqueCount="984">
  <si>
    <t>MIDSTATE MEDICAL CENTER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</si>
  <si>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</si>
  <si>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</si>
  <si>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</si>
  <si>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</si>
  <si>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</si>
  <si>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</si>
  <si>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</si>
  <si>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</si>
  <si>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</si>
  <si>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</si>
  <si>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</si>
  <si>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</si>
  <si>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</si>
  <si>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</si>
  <si>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</si>
  <si>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</si>
  <si>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</si>
  <si>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</si>
  <si>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</si>
  <si>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</si>
  <si>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</si>
  <si>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</si>
  <si>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</si>
  <si>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</si>
  <si>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</si>
  <si>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</si>
  <si>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</si>
  <si>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</si>
  <si>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</si>
  <si>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</si>
  <si>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</si>
  <si>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</si>
  <si>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</si>
  <si>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</si>
  <si>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</si>
  <si>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</si>
  <si>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</si>
  <si>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</si>
  <si>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</si>
  <si>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</si>
  <si>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</si>
  <si>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</si>
  <si>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</si>
  <si>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</si>
  <si>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</si>
  <si>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</si>
  <si>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</si>
  <si>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</si>
  <si>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</si>
  <si>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</si>
  <si>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</si>
  <si>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</si>
  <si>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</si>
  <si>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</si>
  <si>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</si>
  <si>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</si>
  <si>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</si>
  <si>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</si>
  <si>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</si>
  <si>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</si>
  <si>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</si>
  <si>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</si>
  <si>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</si>
  <si>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</si>
  <si>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</si>
  <si>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</si>
  <si>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</si>
  <si>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</si>
  <si>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</si>
  <si>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</si>
  <si>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</si>
  <si>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</si>
  <si>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</si>
  <si>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</si>
  <si>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</si>
  <si>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</si>
  <si>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</si>
  <si>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</si>
  <si>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</si>
  <si>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</si>
  <si>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</si>
  <si>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</si>
  <si>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</si>
  <si>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</si>
  <si>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</si>
  <si>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</si>
  <si>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</si>
  <si>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</si>
  <si>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</si>
  <si>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</si>
  <si>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</si>
  <si>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</si>
  <si>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</si>
  <si>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</si>
  <si>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</si>
  <si>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</si>
  <si>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</si>
  <si>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</si>
  <si>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</si>
  <si>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</si>
  <si>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</si>
  <si>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</si>
  <si>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</si>
  <si>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</si>
  <si>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</si>
  <si>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</si>
  <si>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</si>
  <si>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</si>
  <si>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</si>
  <si>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</si>
  <si>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</si>
  <si>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</si>
  <si>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</si>
  <si>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</si>
  <si>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</si>
  <si>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</si>
  <si>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</si>
  <si>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</si>
  <si>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</si>
  <si>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</si>
  <si>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</si>
  <si>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</si>
  <si>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</si>
  <si>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</si>
  <si>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</si>
  <si>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</si>
  <si>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</si>
  <si>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</si>
  <si>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</si>
  <si>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</si>
  <si>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</si>
  <si>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</si>
  <si>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</si>
  <si>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</si>
  <si>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</si>
  <si>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</si>
  <si>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</si>
  <si>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</si>
  <si>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</si>
  <si>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</si>
  <si>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</si>
  <si>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</si>
  <si>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</si>
  <si>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</si>
  <si>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</si>
  <si>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</si>
  <si>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</si>
  <si>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</si>
  <si>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</si>
  <si>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</si>
  <si>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</si>
  <si>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</si>
  <si>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</si>
  <si>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</si>
  <si>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</si>
  <si>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</si>
  <si>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</si>
  <si>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</si>
  <si>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</si>
  <si>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</si>
  <si>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</si>
  <si>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</si>
  <si>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</si>
  <si>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</si>
  <si>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</si>
  <si>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</si>
  <si>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</si>
  <si>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</si>
  <si>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</si>
  <si>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</si>
  <si>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</si>
  <si>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</si>
  <si>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</si>
  <si>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</si>
  <si>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</si>
  <si>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</si>
  <si>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</si>
  <si>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</si>
  <si>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</si>
  <si>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</si>
  <si>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</si>
  <si>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</si>
  <si>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</si>
  <si>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</si>
  <si>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</si>
  <si>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</si>
  <si>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</si>
  <si>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</si>
  <si>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</si>
  <si>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</si>
  <si>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</si>
  <si>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</si>
  <si>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</si>
  <si>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</si>
  <si>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</si>
  <si>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</si>
  <si>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</si>
  <si>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</si>
  <si>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</si>
  <si>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</si>
  <si>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</si>
  <si>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</si>
  <si>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</si>
  <si>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</si>
  <si>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</si>
  <si>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</si>
  <si>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</si>
  <si>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</si>
  <si>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</si>
  <si>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</si>
  <si>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</si>
  <si>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</si>
  <si>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</si>
  <si>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</si>
  <si>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</si>
  <si>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</si>
  <si>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</si>
  <si>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</si>
  <si>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</si>
  <si>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</si>
  <si>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</si>
  <si>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</si>
  <si>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</si>
  <si>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</si>
  <si>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</si>
  <si>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</si>
  <si>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</si>
  <si>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</si>
  <si>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</si>
  <si>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</si>
  <si>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</si>
  <si>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</si>
  <si>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</si>
  <si>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</si>
  <si>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</si>
  <si>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</si>
  <si>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</si>
  <si>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</si>
  <si>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</si>
  <si>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</si>
  <si>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</si>
  <si>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</si>
  <si>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</si>
  <si>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</si>
  <si>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</si>
  <si>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</si>
  <si>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</si>
  <si>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</si>
  <si>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</si>
  <si>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</si>
  <si>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</si>
  <si>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</si>
  <si>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</si>
  <si>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</si>
  <si>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</si>
  <si>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</si>
  <si>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</si>
  <si>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</si>
  <si>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</si>
  <si>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</si>
  <si>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</si>
  <si>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</si>
  <si>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</si>
  <si>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</si>
  <si>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</si>
  <si>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</si>
  <si>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</si>
  <si>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</si>
  <si>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</si>
  <si>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</si>
  <si>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</si>
  <si>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</si>
  <si>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</si>
  <si>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</si>
  <si>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</si>
  <si>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</si>
  <si>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</si>
  <si>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</si>
  <si>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</si>
  <si>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</si>
  <si>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</si>
  <si>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</si>
  <si>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</si>
  <si>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</si>
  <si>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</si>
  <si>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</si>
  <si>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</si>
  <si>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</si>
  <si>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</si>
  <si>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</si>
  <si>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</si>
  <si>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</si>
  <si>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</si>
  <si>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</si>
  <si>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</si>
  <si>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</si>
  <si>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</si>
  <si>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</si>
  <si>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</si>
  <si>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</si>
  <si>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</si>
  <si>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</si>
  <si>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</si>
  <si>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</si>
  <si>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</si>
  <si>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</si>
  <si>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</si>
  <si>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</si>
  <si>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</si>
  <si>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</si>
  <si>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</si>
  <si>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</si>
  <si>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</si>
  <si>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</si>
  <si>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</si>
  <si>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</si>
  <si>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</si>
  <si>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</si>
  <si>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</si>
  <si>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</si>
  <si>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</si>
  <si>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</si>
  <si>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</si>
  <si>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</si>
  <si>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</si>
  <si>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</si>
  <si>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</si>
  <si>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</si>
  <si>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</si>
  <si>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</si>
  <si>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</si>
  <si>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</si>
  <si>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</si>
  <si>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</si>
  <si>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</si>
  <si>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</si>
  <si>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</si>
  <si>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</si>
  <si>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</si>
  <si>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</si>
  <si>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</si>
  <si>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</si>
  <si>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</si>
  <si>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</si>
  <si>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</si>
  <si>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</si>
  <si>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</si>
  <si>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</si>
  <si>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</si>
  <si>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</si>
  <si>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</si>
  <si>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</si>
  <si>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</si>
  <si>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</si>
  <si>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</si>
  <si>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</si>
  <si>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</si>
  <si>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</si>
  <si>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</si>
  <si>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</si>
  <si>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</si>
  <si>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</si>
  <si>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</si>
  <si>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</si>
  <si>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</si>
  <si>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</si>
  <si>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</si>
  <si>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</si>
  <si>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</si>
  <si>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</si>
  <si>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</si>
  <si>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</si>
  <si>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</si>
  <si>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</si>
  <si>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</si>
  <si>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</si>
  <si>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</si>
  <si>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</si>
  <si>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</si>
  <si>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</si>
  <si>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</si>
  <si>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</si>
  <si>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</si>
  <si>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</si>
  <si>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</si>
  <si>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</si>
  <si>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</si>
  <si>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</si>
  <si>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</si>
  <si>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</si>
  <si>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</si>
  <si>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</si>
  <si>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</si>
  <si>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</si>
  <si>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</si>
  <si>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</si>
  <si>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</si>
  <si>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</si>
  <si>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</si>
  <si>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</si>
  <si>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</si>
  <si>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</si>
  <si>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</si>
  <si>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</si>
  <si>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</si>
  <si>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</si>
  <si>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</si>
  <si>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</si>
  <si>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</si>
  <si>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</si>
  <si>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</si>
  <si>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</si>
  <si>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</si>
  <si>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</si>
  <si>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</si>
  <si>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</si>
  <si>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</si>
  <si>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</si>
  <si>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</si>
  <si>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</si>
  <si>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</si>
  <si>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</si>
  <si>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</si>
  <si>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</si>
  <si>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</si>
  <si>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</si>
  <si>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</si>
  <si>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</si>
  <si>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</si>
  <si>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</si>
  <si>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</si>
  <si>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</si>
  <si>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</si>
  <si>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</si>
  <si>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</si>
  <si>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</si>
  <si>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</si>
  <si>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</si>
  <si>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</si>
  <si>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</si>
  <si>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</si>
  <si>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</si>
  <si>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</si>
  <si>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</si>
  <si>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</si>
  <si>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</si>
  <si>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</si>
  <si>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</si>
  <si>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</si>
  <si>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</si>
  <si>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</si>
  <si>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</si>
  <si>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</si>
  <si>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</si>
  <si>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</si>
  <si>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</si>
  <si>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</si>
  <si>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</si>
  <si>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</si>
  <si>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</si>
  <si>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</si>
  <si>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</si>
  <si>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</si>
  <si>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</si>
  <si>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</si>
  <si>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</si>
  <si>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</si>
  <si>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</si>
  <si>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</si>
  <si>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</si>
  <si>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</si>
  <si>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</si>
  <si>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</si>
  <si>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</si>
  <si>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</si>
  <si>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</si>
  <si>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</si>
  <si>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</si>
  <si>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MIDSTATE MEDICAL CENTER AND SUBSIDIARIES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</si>
  <si>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</si>
  <si>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</si>
  <si>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</si>
  <si>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</si>
  <si>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</si>
  <si>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</si>
  <si>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</si>
  <si>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</si>
  <si>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</si>
  <si>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</si>
  <si>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</si>
  <si>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</si>
  <si>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</si>
  <si>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</si>
  <si>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</si>
  <si>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</si>
  <si>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</si>
  <si>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</si>
  <si>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</si>
  <si>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</si>
  <si>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</si>
  <si>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</si>
  <si>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</si>
  <si>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</si>
  <si>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</si>
  <si>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</si>
  <si>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</si>
  <si>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</si>
  <si>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</si>
  <si>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</si>
  <si>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</si>
  <si>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</si>
  <si>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</si>
  <si>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</si>
  <si>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</si>
  <si>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</si>
  <si>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</si>
  <si>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</si>
  <si>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</si>
  <si>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</si>
  <si>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</si>
  <si>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</si>
  <si>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</si>
  <si>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</si>
  <si>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</si>
  <si>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</si>
  <si>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</si>
  <si>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</si>
  <si>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</si>
  <si>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</si>
  <si>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</si>
  <si>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</si>
  <si>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</si>
  <si>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</si>
  <si>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</si>
  <si>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</si>
  <si>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</si>
  <si>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</si>
  <si>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</si>
  <si>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</si>
  <si>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</si>
  <si>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</si>
  <si>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</si>
  <si>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</si>
  <si>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</si>
  <si>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</si>
  <si>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</si>
  <si>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</si>
  <si>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</si>
  <si>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</si>
  <si>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</si>
  <si>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</si>
  <si>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</si>
  <si>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</si>
  <si>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</si>
  <si>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</si>
  <si>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</si>
  <si>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</si>
  <si>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</si>
  <si>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</si>
  <si>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</si>
  <si>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</si>
  <si>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</si>
  <si>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</si>
  <si>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</si>
  <si>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</si>
  <si>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</si>
  <si>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</si>
  <si>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</si>
  <si>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</si>
  <si>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</si>
  <si>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</si>
  <si>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</si>
  <si>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</si>
  <si>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</si>
  <si>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</si>
  <si>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</si>
  <si>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</si>
  <si>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</si>
  <si>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</si>
  <si>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</si>
  <si>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</si>
  <si>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</si>
  <si>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</si>
  <si>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</si>
  <si>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</si>
  <si>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</si>
  <si>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</si>
  <si>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Main hospital campus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</si>
  <si>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</si>
  <si>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</si>
  <si>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</si>
  <si>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>61 Pomeroy Ave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</si>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</sst>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28181027</v>
      </c>
      <c r="D13" s="23">
        <v>19361929</v>
      </c>
      <c r="E13" s="23">
        <f t="shared" ref="E13:E22" si="0">D13-C13</f>
        <v>-8819098</v>
      </c>
      <c r="F13" s="24">
        <f t="shared" ref="F13:F22" si="1">IF(C13=0,0,E13/C13)</f>
        <v>-0.31294452114892762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29.25" customHeight="1" x14ac:dyDescent="0.2">
      <c r="A15" s="21">
        <v>3</v>
      </c>
      <c r="B15" s="22" t="s">
        <v>18</v>
      </c>
      <c r="C15" s="23">
        <v>23291912</v>
      </c>
      <c r="D15" s="23">
        <v>23676854</v>
      </c>
      <c r="E15" s="23">
        <f t="shared" si="0"/>
        <v>384942</v>
      </c>
      <c r="F15" s="24">
        <f t="shared" si="1"/>
        <v>1.6526852754724472E-2</v>
      </c>
    </row>
    <row r="16" spans="1:8" ht="24" customHeight="1" x14ac:dyDescent="0.2">
      <c r="A16" s="21">
        <v>4</v>
      </c>
      <c r="B16" s="22" t="s">
        <v>19</v>
      </c>
      <c r="C16" s="23">
        <v>1168505</v>
      </c>
      <c r="D16" s="23">
        <v>0</v>
      </c>
      <c r="E16" s="23">
        <f t="shared" si="0"/>
        <v>-1168505</v>
      </c>
      <c r="F16" s="24">
        <f t="shared" si="1"/>
        <v>-1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1599146</v>
      </c>
      <c r="D19" s="23">
        <v>1896399</v>
      </c>
      <c r="E19" s="23">
        <f t="shared" si="0"/>
        <v>297253</v>
      </c>
      <c r="F19" s="24">
        <f t="shared" si="1"/>
        <v>0.18588233969881424</v>
      </c>
    </row>
    <row r="20" spans="1:11" ht="24" customHeight="1" x14ac:dyDescent="0.2">
      <c r="A20" s="21">
        <v>8</v>
      </c>
      <c r="B20" s="22" t="s">
        <v>23</v>
      </c>
      <c r="C20" s="23">
        <v>1138539</v>
      </c>
      <c r="D20" s="23">
        <v>2561470</v>
      </c>
      <c r="E20" s="23">
        <f t="shared" si="0"/>
        <v>1422931</v>
      </c>
      <c r="F20" s="24">
        <f t="shared" si="1"/>
        <v>1.2497867881556979</v>
      </c>
    </row>
    <row r="21" spans="1:11" ht="24" customHeight="1" x14ac:dyDescent="0.2">
      <c r="A21" s="21">
        <v>9</v>
      </c>
      <c r="B21" s="22" t="s">
        <v>24</v>
      </c>
      <c r="C21" s="23">
        <v>1258006</v>
      </c>
      <c r="D21" s="23">
        <v>1416029</v>
      </c>
      <c r="E21" s="23">
        <f t="shared" si="0"/>
        <v>158023</v>
      </c>
      <c r="F21" s="24">
        <f t="shared" si="1"/>
        <v>0.12561386829633564</v>
      </c>
    </row>
    <row r="22" spans="1:11" ht="24" customHeight="1" x14ac:dyDescent="0.25">
      <c r="A22" s="25"/>
      <c r="B22" s="26" t="s">
        <v>25</v>
      </c>
      <c r="C22" s="27">
        <f>SUM(C13:C21)</f>
        <v>56637135</v>
      </c>
      <c r="D22" s="27">
        <f>SUM(D13:D21)</f>
        <v>48912681</v>
      </c>
      <c r="E22" s="27">
        <f t="shared" si="0"/>
        <v>-7724454</v>
      </c>
      <c r="F22" s="28">
        <f t="shared" si="1"/>
        <v>-0.13638497074401804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12195310</v>
      </c>
      <c r="D25" s="23">
        <v>11682166</v>
      </c>
      <c r="E25" s="23">
        <f>D25-C25</f>
        <v>-513144</v>
      </c>
      <c r="F25" s="24">
        <f>IF(C25=0,0,E25/C25)</f>
        <v>-4.2077159170205596E-2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6312325</v>
      </c>
      <c r="E27" s="23">
        <f>D27-C27</f>
        <v>6312325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278277</v>
      </c>
      <c r="D28" s="23">
        <v>119216</v>
      </c>
      <c r="E28" s="23">
        <f>D28-C28</f>
        <v>-159061</v>
      </c>
      <c r="F28" s="24">
        <f>IF(C28=0,0,E28/C28)</f>
        <v>-0.5715923342568735</v>
      </c>
    </row>
    <row r="29" spans="1:11" ht="24" customHeight="1" x14ac:dyDescent="0.25">
      <c r="A29" s="25"/>
      <c r="B29" s="26" t="s">
        <v>32</v>
      </c>
      <c r="C29" s="27">
        <f>SUM(C25:C28)</f>
        <v>12473587</v>
      </c>
      <c r="D29" s="27">
        <f>SUM(D25:D28)</f>
        <v>18113707</v>
      </c>
      <c r="E29" s="27">
        <f>D29-C29</f>
        <v>5640120</v>
      </c>
      <c r="F29" s="28">
        <f>IF(C29=0,0,E29/C29)</f>
        <v>0.45216504282208475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12946811</v>
      </c>
      <c r="D32" s="23">
        <v>12501552</v>
      </c>
      <c r="E32" s="23">
        <f>D32-C32</f>
        <v>-445259</v>
      </c>
      <c r="F32" s="24">
        <f>IF(C32=0,0,E32/C32)</f>
        <v>-3.439140341200625E-2</v>
      </c>
    </row>
    <row r="33" spans="1:8" ht="24" customHeight="1" x14ac:dyDescent="0.2">
      <c r="A33" s="21">
        <v>7</v>
      </c>
      <c r="B33" s="22" t="s">
        <v>35</v>
      </c>
      <c r="C33" s="23">
        <v>21708793</v>
      </c>
      <c r="D33" s="23">
        <v>29971427</v>
      </c>
      <c r="E33" s="23">
        <f>D33-C33</f>
        <v>8262634</v>
      </c>
      <c r="F33" s="24">
        <f>IF(C33=0,0,E33/C33)</f>
        <v>0.38061231686165142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231167762</v>
      </c>
      <c r="D36" s="23">
        <v>242571664</v>
      </c>
      <c r="E36" s="23">
        <f>D36-C36</f>
        <v>11403902</v>
      </c>
      <c r="F36" s="24">
        <f>IF(C36=0,0,E36/C36)</f>
        <v>4.9331714341725556E-2</v>
      </c>
    </row>
    <row r="37" spans="1:8" ht="24" customHeight="1" x14ac:dyDescent="0.2">
      <c r="A37" s="21">
        <v>2</v>
      </c>
      <c r="B37" s="22" t="s">
        <v>39</v>
      </c>
      <c r="C37" s="23">
        <v>98568512</v>
      </c>
      <c r="D37" s="23">
        <v>111313262</v>
      </c>
      <c r="E37" s="23">
        <f>D37-C37</f>
        <v>12744750</v>
      </c>
      <c r="F37" s="24">
        <f>IF(C37=0,0,E37/C37)</f>
        <v>0.12929839095065165</v>
      </c>
    </row>
    <row r="38" spans="1:8" ht="24" customHeight="1" x14ac:dyDescent="0.25">
      <c r="A38" s="25"/>
      <c r="B38" s="26" t="s">
        <v>40</v>
      </c>
      <c r="C38" s="27">
        <f>C36-C37</f>
        <v>132599250</v>
      </c>
      <c r="D38" s="27">
        <f>D36-D37</f>
        <v>131258402</v>
      </c>
      <c r="E38" s="27">
        <f>D38-C38</f>
        <v>-1340848</v>
      </c>
      <c r="F38" s="28">
        <f>IF(C38=0,0,E38/C38)</f>
        <v>-1.0112033062027122E-2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1372133</v>
      </c>
      <c r="D40" s="23">
        <v>338221</v>
      </c>
      <c r="E40" s="23">
        <f>D40-C40</f>
        <v>-1033912</v>
      </c>
      <c r="F40" s="24">
        <f>IF(C40=0,0,E40/C40)</f>
        <v>-0.75350713086850907</v>
      </c>
    </row>
    <row r="41" spans="1:8" ht="24" customHeight="1" x14ac:dyDescent="0.25">
      <c r="A41" s="25"/>
      <c r="B41" s="26" t="s">
        <v>42</v>
      </c>
      <c r="C41" s="27">
        <f>+C38+C40</f>
        <v>133971383</v>
      </c>
      <c r="D41" s="27">
        <f>+D38+D40</f>
        <v>131596623</v>
      </c>
      <c r="E41" s="27">
        <f>D41-C41</f>
        <v>-2374760</v>
      </c>
      <c r="F41" s="28">
        <f>IF(C41=0,0,E41/C41)</f>
        <v>-1.7725875084830617E-2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237737709</v>
      </c>
      <c r="D43" s="27">
        <f>D22+D29+D31+D32+D33+D41</f>
        <v>241095990</v>
      </c>
      <c r="E43" s="27">
        <f>D43-C43</f>
        <v>3358281</v>
      </c>
      <c r="F43" s="28">
        <f>IF(C43=0,0,E43/C43)</f>
        <v>1.41259921033394E-2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7161187</v>
      </c>
      <c r="D49" s="23">
        <v>3860594</v>
      </c>
      <c r="E49" s="23">
        <f t="shared" ref="E49:E56" si="2">D49-C49</f>
        <v>-3300593</v>
      </c>
      <c r="F49" s="24">
        <f t="shared" ref="F49:F56" si="3">IF(C49=0,0,E49/C49)</f>
        <v>-0.46090026695295067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8443767</v>
      </c>
      <c r="D50" s="23">
        <v>9082834</v>
      </c>
      <c r="E50" s="23">
        <f t="shared" si="2"/>
        <v>639067</v>
      </c>
      <c r="F50" s="24">
        <f t="shared" si="3"/>
        <v>7.5685058576343944E-2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942231</v>
      </c>
      <c r="D51" s="23">
        <v>1800530</v>
      </c>
      <c r="E51" s="23">
        <f t="shared" si="2"/>
        <v>858299</v>
      </c>
      <c r="F51" s="24">
        <f t="shared" si="3"/>
        <v>0.91092205626857958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2335000</v>
      </c>
      <c r="D53" s="23">
        <v>0</v>
      </c>
      <c r="E53" s="23">
        <f t="shared" si="2"/>
        <v>-2335000</v>
      </c>
      <c r="F53" s="24">
        <f t="shared" si="3"/>
        <v>-1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10442247</v>
      </c>
      <c r="D55" s="23">
        <v>10646951</v>
      </c>
      <c r="E55" s="23">
        <f t="shared" si="2"/>
        <v>204704</v>
      </c>
      <c r="F55" s="24">
        <f t="shared" si="3"/>
        <v>1.9603443588338793E-2</v>
      </c>
    </row>
    <row r="56" spans="1:6" ht="24" customHeight="1" x14ac:dyDescent="0.25">
      <c r="A56" s="25"/>
      <c r="B56" s="26" t="s">
        <v>54</v>
      </c>
      <c r="C56" s="27">
        <f>SUM(C49:C55)</f>
        <v>29324432</v>
      </c>
      <c r="D56" s="27">
        <f>SUM(D49:D55)</f>
        <v>25390909</v>
      </c>
      <c r="E56" s="27">
        <f t="shared" si="2"/>
        <v>-3933523</v>
      </c>
      <c r="F56" s="28">
        <f t="shared" si="3"/>
        <v>-0.13413807981003689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80580000</v>
      </c>
      <c r="D59" s="23">
        <v>88754643</v>
      </c>
      <c r="E59" s="23">
        <f>D59-C59</f>
        <v>8174643</v>
      </c>
      <c r="F59" s="24">
        <f>IF(C59=0,0,E59/C59)</f>
        <v>0.10144754281459419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80580000</v>
      </c>
      <c r="D61" s="27">
        <f>SUM(D59:D60)</f>
        <v>88754643</v>
      </c>
      <c r="E61" s="27">
        <f>D61-C61</f>
        <v>8174643</v>
      </c>
      <c r="F61" s="28">
        <f>IF(C61=0,0,E61/C61)</f>
        <v>0.10144754281459419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52087773</v>
      </c>
      <c r="D63" s="23">
        <v>57749335</v>
      </c>
      <c r="E63" s="23">
        <f>D63-C63</f>
        <v>5661562</v>
      </c>
      <c r="F63" s="24">
        <f>IF(C63=0,0,E63/C63)</f>
        <v>0.10869272525819063</v>
      </c>
    </row>
    <row r="64" spans="1:6" ht="24" customHeight="1" x14ac:dyDescent="0.2">
      <c r="A64" s="21">
        <v>4</v>
      </c>
      <c r="B64" s="22" t="s">
        <v>60</v>
      </c>
      <c r="C64" s="23">
        <v>2001497</v>
      </c>
      <c r="D64" s="23">
        <v>1953497</v>
      </c>
      <c r="E64" s="23">
        <f>D64-C64</f>
        <v>-48000</v>
      </c>
      <c r="F64" s="24">
        <f>IF(C64=0,0,E64/C64)</f>
        <v>-2.3982049435997157E-2</v>
      </c>
    </row>
    <row r="65" spans="1:6" ht="24" customHeight="1" x14ac:dyDescent="0.25">
      <c r="A65" s="25"/>
      <c r="B65" s="26" t="s">
        <v>61</v>
      </c>
      <c r="C65" s="27">
        <f>SUM(C61:C64)</f>
        <v>134669270</v>
      </c>
      <c r="D65" s="27">
        <f>SUM(D61:D64)</f>
        <v>148457475</v>
      </c>
      <c r="E65" s="27">
        <f>D65-C65</f>
        <v>13788205</v>
      </c>
      <c r="F65" s="28">
        <f>IF(C65=0,0,E65/C65)</f>
        <v>0.10238568160353138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58808950</v>
      </c>
      <c r="D70" s="23">
        <v>52820335</v>
      </c>
      <c r="E70" s="23">
        <f>D70-C70</f>
        <v>-5988615</v>
      </c>
      <c r="F70" s="24">
        <f>IF(C70=0,0,E70/C70)</f>
        <v>-0.10183169398535427</v>
      </c>
    </row>
    <row r="71" spans="1:6" ht="24" customHeight="1" x14ac:dyDescent="0.2">
      <c r="A71" s="21">
        <v>2</v>
      </c>
      <c r="B71" s="22" t="s">
        <v>65</v>
      </c>
      <c r="C71" s="23">
        <v>1962184</v>
      </c>
      <c r="D71" s="23">
        <v>1966917</v>
      </c>
      <c r="E71" s="23">
        <f>D71-C71</f>
        <v>4733</v>
      </c>
      <c r="F71" s="24">
        <f>IF(C71=0,0,E71/C71)</f>
        <v>2.4121081407248251E-3</v>
      </c>
    </row>
    <row r="72" spans="1:6" ht="24" customHeight="1" x14ac:dyDescent="0.2">
      <c r="A72" s="21">
        <v>3</v>
      </c>
      <c r="B72" s="22" t="s">
        <v>66</v>
      </c>
      <c r="C72" s="23">
        <v>12972873</v>
      </c>
      <c r="D72" s="23">
        <v>12460354</v>
      </c>
      <c r="E72" s="23">
        <f>D72-C72</f>
        <v>-512519</v>
      </c>
      <c r="F72" s="24">
        <f>IF(C72=0,0,E72/C72)</f>
        <v>-3.9506977367311007E-2</v>
      </c>
    </row>
    <row r="73" spans="1:6" ht="24" customHeight="1" x14ac:dyDescent="0.25">
      <c r="A73" s="21"/>
      <c r="B73" s="26" t="s">
        <v>67</v>
      </c>
      <c r="C73" s="27">
        <f>SUM(C70:C72)</f>
        <v>73744007</v>
      </c>
      <c r="D73" s="27">
        <f>SUM(D70:D72)</f>
        <v>67247606</v>
      </c>
      <c r="E73" s="27">
        <f>D73-C73</f>
        <v>-6496401</v>
      </c>
      <c r="F73" s="28">
        <f>IF(C73=0,0,E73/C73)</f>
        <v>-8.8093951824451303E-2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237737709</v>
      </c>
      <c r="D75" s="27">
        <f>D56+D65+D67+D73</f>
        <v>241095990</v>
      </c>
      <c r="E75" s="27">
        <f>D75-C75</f>
        <v>3358281</v>
      </c>
      <c r="F75" s="28">
        <f>IF(C75=0,0,E75/C75)</f>
        <v>1.41259921033394E-2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FILING&amp;RMIDSTATE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172470335</v>
      </c>
      <c r="D11" s="51">
        <v>182022152</v>
      </c>
      <c r="E11" s="51">
        <v>196755436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18721299</v>
      </c>
      <c r="D12" s="49">
        <v>31717287</v>
      </c>
      <c r="E12" s="49">
        <v>27400731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191191634</v>
      </c>
      <c r="D13" s="51">
        <f>+D11+D12</f>
        <v>213739439</v>
      </c>
      <c r="E13" s="51">
        <f>+E11+E12</f>
        <v>224156167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185252485</v>
      </c>
      <c r="D14" s="49">
        <v>203532336</v>
      </c>
      <c r="E14" s="49">
        <v>216717629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5939149</v>
      </c>
      <c r="D15" s="51">
        <f>+D13-D14</f>
        <v>10207103</v>
      </c>
      <c r="E15" s="51">
        <f>+E13-E14</f>
        <v>7438538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-1244067</v>
      </c>
      <c r="D16" s="49">
        <v>534112</v>
      </c>
      <c r="E16" s="49">
        <v>455490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4695082</v>
      </c>
      <c r="D17" s="51">
        <f>D15+D16</f>
        <v>10741215</v>
      </c>
      <c r="E17" s="51">
        <f>E15+E16</f>
        <v>7894028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3.1267307572304941E-2</v>
      </c>
      <c r="D20" s="169">
        <f>IF(+D27=0,0,+D24/+D27)</f>
        <v>4.7635851239521389E-2</v>
      </c>
      <c r="E20" s="169">
        <f>IF(+E27=0,0,+E24/+E27)</f>
        <v>3.3117328367334026E-2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-6.5495284811939707E-3</v>
      </c>
      <c r="D21" s="169">
        <f>IF(+D27=0,0,+D26/+D27)</f>
        <v>2.4926641552694482E-3</v>
      </c>
      <c r="E21" s="169">
        <f>IF(+E27=0,0,+E26/+E27)</f>
        <v>2.0279000924693772E-3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2.4717779091110968E-2</v>
      </c>
      <c r="D22" s="169">
        <f>IF(+D27=0,0,+D28/+D27)</f>
        <v>5.0128515394790837E-2</v>
      </c>
      <c r="E22" s="169">
        <f>IF(+E27=0,0,+E28/+E27)</f>
        <v>3.5145228459803404E-2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5939149</v>
      </c>
      <c r="D24" s="51">
        <f>+D15</f>
        <v>10207103</v>
      </c>
      <c r="E24" s="51">
        <f>+E15</f>
        <v>7438538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191191634</v>
      </c>
      <c r="D25" s="51">
        <f>+D13</f>
        <v>213739439</v>
      </c>
      <c r="E25" s="51">
        <f>+E13</f>
        <v>224156167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-1244067</v>
      </c>
      <c r="D26" s="51">
        <f>+D16</f>
        <v>534112</v>
      </c>
      <c r="E26" s="51">
        <f>+E16</f>
        <v>455490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189947567</v>
      </c>
      <c r="D27" s="51">
        <f>SUM(D25:D26)</f>
        <v>214273551</v>
      </c>
      <c r="E27" s="51">
        <f>SUM(E25:E26)</f>
        <v>224611657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4695082</v>
      </c>
      <c r="D28" s="51">
        <f>+D17</f>
        <v>10741215</v>
      </c>
      <c r="E28" s="51">
        <f>+E17</f>
        <v>7894028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50950947</v>
      </c>
      <c r="D31" s="51">
        <v>62140641</v>
      </c>
      <c r="E31" s="52">
        <v>57976004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65392517</v>
      </c>
      <c r="D32" s="51">
        <v>77075698</v>
      </c>
      <c r="E32" s="51">
        <v>72403275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-11770618</v>
      </c>
      <c r="D33" s="51">
        <f>+D32-C32</f>
        <v>11683181</v>
      </c>
      <c r="E33" s="51">
        <f>+E32-D32</f>
        <v>-4672423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0.84740000000000004</v>
      </c>
      <c r="D34" s="171">
        <f>IF(C32=0,0,+D33/C32)</f>
        <v>0.17866235367572714</v>
      </c>
      <c r="E34" s="171">
        <f>IF(D32=0,0,+E33/D32)</f>
        <v>-6.0621222009562596E-2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2.4799191170726078</v>
      </c>
      <c r="D38" s="269">
        <f>IF(+D40=0,0,+D39/+D40)</f>
        <v>2.0728289007694873</v>
      </c>
      <c r="E38" s="269">
        <f>IF(+E40=0,0,+E39/+E40)</f>
        <v>2.1681194947792033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69929471</v>
      </c>
      <c r="D39" s="270">
        <v>62140637</v>
      </c>
      <c r="E39" s="270">
        <v>56418567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28198287</v>
      </c>
      <c r="D40" s="270">
        <v>29978662</v>
      </c>
      <c r="E40" s="270">
        <v>26021890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87.57759667202248</v>
      </c>
      <c r="D42" s="271">
        <f>IF((D48/365)=0,0,+D45/(D48/365))</f>
        <v>56.177503123919266</v>
      </c>
      <c r="E42" s="271">
        <f>IF((E48/365)=0,0,+E45/(E48/365))</f>
        <v>37.469891613137797</v>
      </c>
    </row>
    <row r="43" spans="1:14" ht="24" customHeight="1" x14ac:dyDescent="0.2">
      <c r="A43" s="17">
        <v>5</v>
      </c>
      <c r="B43" s="188" t="s">
        <v>16</v>
      </c>
      <c r="C43" s="272">
        <v>42246786</v>
      </c>
      <c r="D43" s="272">
        <v>29570490</v>
      </c>
      <c r="E43" s="272">
        <v>20898243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42246786</v>
      </c>
      <c r="D45" s="270">
        <f>+D43+D44</f>
        <v>29570490</v>
      </c>
      <c r="E45" s="270">
        <f>+E43+E44</f>
        <v>20898243</v>
      </c>
    </row>
    <row r="46" spans="1:14" ht="24" customHeight="1" x14ac:dyDescent="0.2">
      <c r="A46" s="17">
        <v>8</v>
      </c>
      <c r="B46" s="45" t="s">
        <v>324</v>
      </c>
      <c r="C46" s="270">
        <f>+C14</f>
        <v>185252485</v>
      </c>
      <c r="D46" s="270">
        <f>+D14</f>
        <v>203532336</v>
      </c>
      <c r="E46" s="270">
        <f>+E14</f>
        <v>216717629</v>
      </c>
    </row>
    <row r="47" spans="1:14" ht="24" customHeight="1" x14ac:dyDescent="0.2">
      <c r="A47" s="17">
        <v>9</v>
      </c>
      <c r="B47" s="45" t="s">
        <v>347</v>
      </c>
      <c r="C47" s="270">
        <v>9179180</v>
      </c>
      <c r="D47" s="270">
        <v>11405092</v>
      </c>
      <c r="E47" s="270">
        <v>13144617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176073305</v>
      </c>
      <c r="D48" s="270">
        <f>+D46-D47</f>
        <v>192127244</v>
      </c>
      <c r="E48" s="270">
        <f>+E46-E47</f>
        <v>203573012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46.380269656228123</v>
      </c>
      <c r="D50" s="278">
        <f>IF((D55/365)=0,0,+D54/(D55/365))</f>
        <v>52.93565782586726</v>
      </c>
      <c r="E50" s="278">
        <f>IF((E55/365)=0,0,+E54/(E55/365))</f>
        <v>51.536793143544969</v>
      </c>
    </row>
    <row r="51" spans="1:5" ht="24" customHeight="1" x14ac:dyDescent="0.2">
      <c r="A51" s="17">
        <v>12</v>
      </c>
      <c r="B51" s="188" t="s">
        <v>350</v>
      </c>
      <c r="C51" s="279">
        <v>22801140</v>
      </c>
      <c r="D51" s="279">
        <v>27340758</v>
      </c>
      <c r="E51" s="279">
        <v>29581747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885467</v>
      </c>
      <c r="D53" s="270">
        <v>942231</v>
      </c>
      <c r="E53" s="270">
        <v>1800530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21915673</v>
      </c>
      <c r="D54" s="280">
        <f>+D51+D52-D53</f>
        <v>26398527</v>
      </c>
      <c r="E54" s="280">
        <f>+E51+E52-E53</f>
        <v>27781217</v>
      </c>
    </row>
    <row r="55" spans="1:5" ht="24" customHeight="1" x14ac:dyDescent="0.2">
      <c r="A55" s="17">
        <v>16</v>
      </c>
      <c r="B55" s="45" t="s">
        <v>75</v>
      </c>
      <c r="C55" s="270">
        <f>+C11</f>
        <v>172470335</v>
      </c>
      <c r="D55" s="270">
        <f>+D11</f>
        <v>182022152</v>
      </c>
      <c r="E55" s="270">
        <f>+E11</f>
        <v>196755436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58.455055154442633</v>
      </c>
      <c r="D57" s="283">
        <f>IF((D61/365)=0,0,+D58/(D61/365))</f>
        <v>56.952941197657523</v>
      </c>
      <c r="E57" s="283">
        <f>IF((E61/365)=0,0,+E58/(E61/365))</f>
        <v>46.656429340447154</v>
      </c>
    </row>
    <row r="58" spans="1:5" ht="24" customHeight="1" x14ac:dyDescent="0.2">
      <c r="A58" s="17">
        <v>18</v>
      </c>
      <c r="B58" s="45" t="s">
        <v>54</v>
      </c>
      <c r="C58" s="281">
        <f>+C40</f>
        <v>28198287</v>
      </c>
      <c r="D58" s="281">
        <f>+D40</f>
        <v>29978662</v>
      </c>
      <c r="E58" s="281">
        <f>+E40</f>
        <v>26021890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185252485</v>
      </c>
      <c r="D59" s="281">
        <f t="shared" si="0"/>
        <v>203532336</v>
      </c>
      <c r="E59" s="281">
        <f t="shared" si="0"/>
        <v>216717629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9179180</v>
      </c>
      <c r="D60" s="176">
        <f t="shared" si="0"/>
        <v>11405092</v>
      </c>
      <c r="E60" s="176">
        <f t="shared" si="0"/>
        <v>13144617</v>
      </c>
    </row>
    <row r="61" spans="1:5" ht="24" customHeight="1" x14ac:dyDescent="0.2">
      <c r="A61" s="17">
        <v>21</v>
      </c>
      <c r="B61" s="45" t="s">
        <v>353</v>
      </c>
      <c r="C61" s="281">
        <f>+C59-C60</f>
        <v>176073305</v>
      </c>
      <c r="D61" s="281">
        <f>+D59-D60</f>
        <v>192127244</v>
      </c>
      <c r="E61" s="281">
        <f>+E59-E60</f>
        <v>203573012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28.299198877443981</v>
      </c>
      <c r="D65" s="284">
        <f>IF(D67=0,0,(D66/D67)*100)</f>
        <v>31.824725229482993</v>
      </c>
      <c r="E65" s="284">
        <f>IF(E67=0,0,(E66/E67)*100)</f>
        <v>29.270159118405221</v>
      </c>
    </row>
    <row r="66" spans="1:5" ht="24" customHeight="1" x14ac:dyDescent="0.2">
      <c r="A66" s="17">
        <v>2</v>
      </c>
      <c r="B66" s="45" t="s">
        <v>67</v>
      </c>
      <c r="C66" s="281">
        <f>+C32</f>
        <v>65392517</v>
      </c>
      <c r="D66" s="281">
        <f>+D32</f>
        <v>77075698</v>
      </c>
      <c r="E66" s="281">
        <f>+E32</f>
        <v>72403275</v>
      </c>
    </row>
    <row r="67" spans="1:5" ht="24" customHeight="1" x14ac:dyDescent="0.2">
      <c r="A67" s="17">
        <v>3</v>
      </c>
      <c r="B67" s="45" t="s">
        <v>43</v>
      </c>
      <c r="C67" s="281">
        <v>231075506</v>
      </c>
      <c r="D67" s="281">
        <v>242188102</v>
      </c>
      <c r="E67" s="281">
        <v>247362082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12.486591275083061</v>
      </c>
      <c r="D69" s="284">
        <f>IF(D75=0,0,(D72/D75)*100)</f>
        <v>20.031272628823963</v>
      </c>
      <c r="E69" s="284">
        <f>IF(E75=0,0,(E72/E75)*100)</f>
        <v>18.330092789960819</v>
      </c>
    </row>
    <row r="70" spans="1:5" ht="24" customHeight="1" x14ac:dyDescent="0.2">
      <c r="A70" s="17">
        <v>5</v>
      </c>
      <c r="B70" s="45" t="s">
        <v>358</v>
      </c>
      <c r="C70" s="281">
        <f>+C28</f>
        <v>4695082</v>
      </c>
      <c r="D70" s="281">
        <f>+D28</f>
        <v>10741215</v>
      </c>
      <c r="E70" s="281">
        <f>+E28</f>
        <v>7894028</v>
      </c>
    </row>
    <row r="71" spans="1:5" ht="24" customHeight="1" x14ac:dyDescent="0.2">
      <c r="A71" s="17">
        <v>6</v>
      </c>
      <c r="B71" s="45" t="s">
        <v>347</v>
      </c>
      <c r="C71" s="176">
        <f>+C47</f>
        <v>9179180</v>
      </c>
      <c r="D71" s="176">
        <f>+D47</f>
        <v>11405092</v>
      </c>
      <c r="E71" s="176">
        <f>+E47</f>
        <v>13144617</v>
      </c>
    </row>
    <row r="72" spans="1:5" ht="24" customHeight="1" x14ac:dyDescent="0.2">
      <c r="A72" s="17">
        <v>7</v>
      </c>
      <c r="B72" s="45" t="s">
        <v>359</v>
      </c>
      <c r="C72" s="281">
        <f>+C70+C71</f>
        <v>13874262</v>
      </c>
      <c r="D72" s="281">
        <f>+D70+D71</f>
        <v>22146307</v>
      </c>
      <c r="E72" s="281">
        <f>+E70+E71</f>
        <v>21038645</v>
      </c>
    </row>
    <row r="73" spans="1:5" ht="24" customHeight="1" x14ac:dyDescent="0.2">
      <c r="A73" s="17">
        <v>8</v>
      </c>
      <c r="B73" s="45" t="s">
        <v>54</v>
      </c>
      <c r="C73" s="270">
        <f>+C40</f>
        <v>28198287</v>
      </c>
      <c r="D73" s="270">
        <f>+D40</f>
        <v>29978662</v>
      </c>
      <c r="E73" s="270">
        <f>+E40</f>
        <v>26021890</v>
      </c>
    </row>
    <row r="74" spans="1:5" ht="24" customHeight="1" x14ac:dyDescent="0.2">
      <c r="A74" s="17">
        <v>9</v>
      </c>
      <c r="B74" s="45" t="s">
        <v>58</v>
      </c>
      <c r="C74" s="281">
        <v>82915000</v>
      </c>
      <c r="D74" s="281">
        <v>80580000</v>
      </c>
      <c r="E74" s="281">
        <v>88754643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111113287</v>
      </c>
      <c r="D75" s="270">
        <f>+D73+D74</f>
        <v>110558662</v>
      </c>
      <c r="E75" s="270">
        <f>+E73+E74</f>
        <v>114776533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55.907483098108912</v>
      </c>
      <c r="D77" s="286">
        <f>IF(D80=0,0,(D78/D80)*100)</f>
        <v>51.111378162811469</v>
      </c>
      <c r="E77" s="286">
        <f>IF(E80=0,0,(E78/E80)*100)</f>
        <v>55.073088621062972</v>
      </c>
    </row>
    <row r="78" spans="1:5" ht="24" customHeight="1" x14ac:dyDescent="0.2">
      <c r="A78" s="17">
        <v>12</v>
      </c>
      <c r="B78" s="45" t="s">
        <v>58</v>
      </c>
      <c r="C78" s="270">
        <f>+C74</f>
        <v>82915000</v>
      </c>
      <c r="D78" s="270">
        <f>+D74</f>
        <v>80580000</v>
      </c>
      <c r="E78" s="270">
        <f>+E74</f>
        <v>88754643</v>
      </c>
    </row>
    <row r="79" spans="1:5" ht="24" customHeight="1" x14ac:dyDescent="0.2">
      <c r="A79" s="17">
        <v>13</v>
      </c>
      <c r="B79" s="45" t="s">
        <v>67</v>
      </c>
      <c r="C79" s="270">
        <f>+C32</f>
        <v>65392517</v>
      </c>
      <c r="D79" s="270">
        <f>+D32</f>
        <v>77075698</v>
      </c>
      <c r="E79" s="270">
        <f>+E32</f>
        <v>72403275</v>
      </c>
    </row>
    <row r="80" spans="1:5" ht="24" customHeight="1" x14ac:dyDescent="0.2">
      <c r="A80" s="17">
        <v>14</v>
      </c>
      <c r="B80" s="45" t="s">
        <v>362</v>
      </c>
      <c r="C80" s="270">
        <f>+C78+C79</f>
        <v>148307517</v>
      </c>
      <c r="D80" s="270">
        <f>+D78+D79</f>
        <v>157655698</v>
      </c>
      <c r="E80" s="270">
        <f>+E78+E79</f>
        <v>161157918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FILING&amp;R&amp;8MIDSTATE MEDICAL CENTER AND SUBSIDIARIES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495</v>
      </c>
      <c r="E6" s="126" t="s">
        <v>496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497</v>
      </c>
      <c r="I7" s="126" t="s">
        <v>497</v>
      </c>
      <c r="J7" s="125"/>
      <c r="K7" s="289"/>
    </row>
    <row r="8" spans="1:11" ht="15.75" customHeight="1" x14ac:dyDescent="0.25">
      <c r="A8" s="287"/>
      <c r="B8" s="126"/>
      <c r="C8" s="126" t="s">
        <v>498</v>
      </c>
      <c r="D8" s="126" t="s">
        <v>499</v>
      </c>
      <c r="E8" s="126" t="s">
        <v>500</v>
      </c>
      <c r="F8" s="126" t="s">
        <v>501</v>
      </c>
      <c r="G8" s="126" t="s">
        <v>502</v>
      </c>
      <c r="H8" s="126" t="s">
        <v>503</v>
      </c>
      <c r="I8" s="126" t="s">
        <v>504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505</v>
      </c>
      <c r="D9" s="292" t="s">
        <v>506</v>
      </c>
      <c r="E9" s="292" t="s">
        <v>507</v>
      </c>
      <c r="F9" s="292" t="s">
        <v>508</v>
      </c>
      <c r="G9" s="292" t="s">
        <v>509</v>
      </c>
      <c r="H9" s="292" t="s">
        <v>508</v>
      </c>
      <c r="I9" s="292" t="s">
        <v>509</v>
      </c>
      <c r="J9" s="125"/>
      <c r="K9" s="56"/>
    </row>
    <row r="10" spans="1:11" ht="15.75" customHeight="1" x14ac:dyDescent="0.25">
      <c r="A10" s="293" t="s">
        <v>507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510</v>
      </c>
      <c r="C11" s="296">
        <v>35753</v>
      </c>
      <c r="D11" s="296">
        <v>7861</v>
      </c>
      <c r="E11" s="296">
        <v>7861</v>
      </c>
      <c r="F11" s="297">
        <v>111</v>
      </c>
      <c r="G11" s="297">
        <v>116</v>
      </c>
      <c r="H11" s="298">
        <f>IF(F11=0,0,$C11/(F11*365))</f>
        <v>0.88246328520301121</v>
      </c>
      <c r="I11" s="298">
        <f>IF(G11=0,0,$C11/(G11*365))</f>
        <v>0.84442607463391595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511</v>
      </c>
      <c r="C13" s="296">
        <v>1915</v>
      </c>
      <c r="D13" s="296">
        <v>602</v>
      </c>
      <c r="E13" s="296">
        <v>0</v>
      </c>
      <c r="F13" s="297">
        <v>7</v>
      </c>
      <c r="G13" s="297">
        <v>9</v>
      </c>
      <c r="H13" s="298">
        <f>IF(F13=0,0,$C13/(F13*365))</f>
        <v>0.74951076320939336</v>
      </c>
      <c r="I13" s="298">
        <f>IF(G13=0,0,$C13/(G13*365))</f>
        <v>0.58295281582952818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512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513</v>
      </c>
      <c r="C16" s="296">
        <v>1835</v>
      </c>
      <c r="D16" s="296">
        <v>283</v>
      </c>
      <c r="E16" s="296">
        <v>283</v>
      </c>
      <c r="F16" s="297">
        <v>6</v>
      </c>
      <c r="G16" s="297">
        <v>6</v>
      </c>
      <c r="H16" s="298">
        <f t="shared" si="0"/>
        <v>0.83789954337899542</v>
      </c>
      <c r="I16" s="298">
        <f t="shared" si="0"/>
        <v>0.83789954337899542</v>
      </c>
      <c r="J16" s="125"/>
      <c r="K16" s="299"/>
    </row>
    <row r="17" spans="1:11" ht="15.75" customHeight="1" x14ac:dyDescent="0.25">
      <c r="A17" s="293"/>
      <c r="B17" s="135" t="s">
        <v>514</v>
      </c>
      <c r="C17" s="300">
        <f>SUM(C15:C16)</f>
        <v>1835</v>
      </c>
      <c r="D17" s="300">
        <f>SUM(D15:D16)</f>
        <v>283</v>
      </c>
      <c r="E17" s="300">
        <f>SUM(E15:E16)</f>
        <v>283</v>
      </c>
      <c r="F17" s="300">
        <f>SUM(F15:F16)</f>
        <v>6</v>
      </c>
      <c r="G17" s="300">
        <f>SUM(G15:G16)</f>
        <v>6</v>
      </c>
      <c r="H17" s="301">
        <f t="shared" si="0"/>
        <v>0.83789954337899542</v>
      </c>
      <c r="I17" s="301">
        <f t="shared" si="0"/>
        <v>0.83789954337899542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515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516</v>
      </c>
      <c r="C21" s="296">
        <v>2635</v>
      </c>
      <c r="D21" s="296">
        <v>1053</v>
      </c>
      <c r="E21" s="296">
        <v>1053</v>
      </c>
      <c r="F21" s="297">
        <v>10</v>
      </c>
      <c r="G21" s="297">
        <v>13</v>
      </c>
      <c r="H21" s="298">
        <f>IF(F21=0,0,$C21/(F21*365))</f>
        <v>0.72191780821917806</v>
      </c>
      <c r="I21" s="298">
        <f>IF(G21=0,0,$C21/(G21*365))</f>
        <v>0.55532139093782928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517</v>
      </c>
      <c r="C23" s="296">
        <v>2466</v>
      </c>
      <c r="D23" s="296">
        <v>1038</v>
      </c>
      <c r="E23" s="296">
        <v>1038</v>
      </c>
      <c r="F23" s="297">
        <v>10</v>
      </c>
      <c r="G23" s="297">
        <v>12</v>
      </c>
      <c r="H23" s="298">
        <f>IF(F23=0,0,$C23/(F23*365))</f>
        <v>0.67561643835616436</v>
      </c>
      <c r="I23" s="298">
        <f>IF(G23=0,0,$C23/(G23*365))</f>
        <v>0.56301369863013695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518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519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520</v>
      </c>
      <c r="C31" s="300">
        <f>SUM(C10:C29)-C17-C23</f>
        <v>42138</v>
      </c>
      <c r="D31" s="300">
        <f>SUM(D10:D29)-D13-D17-D23</f>
        <v>9197</v>
      </c>
      <c r="E31" s="300">
        <f>SUM(E10:E29)-E17-E23</f>
        <v>9197</v>
      </c>
      <c r="F31" s="300">
        <f>SUM(F10:F29)-F17-F23</f>
        <v>134</v>
      </c>
      <c r="G31" s="300">
        <f>SUM(G10:G29)-G17-G23</f>
        <v>144</v>
      </c>
      <c r="H31" s="301">
        <f>IF(F31=0,0,$C31/(F31*365))</f>
        <v>0.8615416070333265</v>
      </c>
      <c r="I31" s="301">
        <f>IF(G31=0,0,$C31/(G31*365))</f>
        <v>0.80171232876712328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521</v>
      </c>
      <c r="C33" s="300">
        <f>SUM(C10:C29)-C17</f>
        <v>44604</v>
      </c>
      <c r="D33" s="300">
        <f>SUM(D10:D29)-D13-D17</f>
        <v>10235</v>
      </c>
      <c r="E33" s="300">
        <f>SUM(E10:E29)-E17</f>
        <v>10235</v>
      </c>
      <c r="F33" s="300">
        <f>SUM(F10:F29)-F17</f>
        <v>144</v>
      </c>
      <c r="G33" s="300">
        <f>SUM(G10:G29)-G17</f>
        <v>156</v>
      </c>
      <c r="H33" s="301">
        <f>IF(F33=0,0,$C33/(F33*365))</f>
        <v>0.84863013698630141</v>
      </c>
      <c r="I33" s="301">
        <f>IF(G33=0,0,$C33/(G33*365))</f>
        <v>0.78335089567966276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522</v>
      </c>
      <c r="C36" s="300">
        <f t="shared" ref="C36:I36" si="1">+C33</f>
        <v>44604</v>
      </c>
      <c r="D36" s="300">
        <f t="shared" si="1"/>
        <v>10235</v>
      </c>
      <c r="E36" s="300">
        <f t="shared" si="1"/>
        <v>10235</v>
      </c>
      <c r="F36" s="300">
        <f t="shared" si="1"/>
        <v>144</v>
      </c>
      <c r="G36" s="300">
        <f t="shared" si="1"/>
        <v>156</v>
      </c>
      <c r="H36" s="301">
        <f t="shared" si="1"/>
        <v>0.84863013698630141</v>
      </c>
      <c r="I36" s="301">
        <f t="shared" si="1"/>
        <v>0.78335089567966276</v>
      </c>
      <c r="J36" s="125"/>
      <c r="K36" s="299"/>
    </row>
    <row r="37" spans="1:11" ht="15.75" customHeight="1" x14ac:dyDescent="0.25">
      <c r="A37" s="293"/>
      <c r="B37" s="135" t="s">
        <v>523</v>
      </c>
      <c r="C37" s="300">
        <v>42359</v>
      </c>
      <c r="D37" s="300">
        <v>0</v>
      </c>
      <c r="E37" s="300">
        <v>0</v>
      </c>
      <c r="F37" s="302">
        <v>142</v>
      </c>
      <c r="G37" s="302">
        <v>156</v>
      </c>
      <c r="H37" s="301">
        <f>IF(F37=0,0,$C37/(F37*365))</f>
        <v>0.81726799151070806</v>
      </c>
      <c r="I37" s="301">
        <f>IF(G37=0,0,$C37/(G37*365))</f>
        <v>0.74392342817000356</v>
      </c>
      <c r="J37" s="125"/>
      <c r="K37" s="299"/>
    </row>
    <row r="38" spans="1:11" ht="15.75" customHeight="1" x14ac:dyDescent="0.25">
      <c r="A38" s="293"/>
      <c r="B38" s="135" t="s">
        <v>524</v>
      </c>
      <c r="C38" s="300">
        <f t="shared" ref="C38:I38" si="2">+C36-C37</f>
        <v>2245</v>
      </c>
      <c r="D38" s="300">
        <f t="shared" si="2"/>
        <v>10235</v>
      </c>
      <c r="E38" s="300">
        <f t="shared" si="2"/>
        <v>10235</v>
      </c>
      <c r="F38" s="300">
        <f t="shared" si="2"/>
        <v>2</v>
      </c>
      <c r="G38" s="300">
        <f t="shared" si="2"/>
        <v>0</v>
      </c>
      <c r="H38" s="301">
        <f t="shared" si="2"/>
        <v>3.136214547559335E-2</v>
      </c>
      <c r="I38" s="301">
        <f t="shared" si="2"/>
        <v>3.9427467509659198E-2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525</v>
      </c>
      <c r="C40" s="148">
        <f t="shared" ref="C40:I40" si="3">IF(C37=0,0,C38/C37)</f>
        <v>5.2999362591184873E-2</v>
      </c>
      <c r="D40" s="148">
        <f t="shared" si="3"/>
        <v>0</v>
      </c>
      <c r="E40" s="148">
        <f t="shared" si="3"/>
        <v>0</v>
      </c>
      <c r="F40" s="148">
        <f t="shared" si="3"/>
        <v>1.4084507042253521E-2</v>
      </c>
      <c r="G40" s="148">
        <f t="shared" si="3"/>
        <v>0</v>
      </c>
      <c r="H40" s="148">
        <f t="shared" si="3"/>
        <v>3.8374371444085162E-2</v>
      </c>
      <c r="I40" s="148">
        <f t="shared" si="3"/>
        <v>5.2999362591184741E-2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526</v>
      </c>
      <c r="C42" s="295">
        <v>156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527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507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/>
  <headerFooter>
    <oddHeader>&amp;LOFFICE OF HEALTH CARE ACCESS&amp;CTWELVE MONTHS ACTUAL FILING&amp;RMIDSTATE MEDICAL CENTER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528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529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530</v>
      </c>
      <c r="C12" s="296">
        <v>6652</v>
      </c>
      <c r="D12" s="296">
        <v>5759</v>
      </c>
      <c r="E12" s="296">
        <f>+D12-C12</f>
        <v>-893</v>
      </c>
      <c r="F12" s="316">
        <f>IF(C12=0,0,+E12/C12)</f>
        <v>-0.13424533974744438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531</v>
      </c>
      <c r="C13" s="296">
        <v>6433</v>
      </c>
      <c r="D13" s="296">
        <v>4983</v>
      </c>
      <c r="E13" s="296">
        <f>+D13-C13</f>
        <v>-1450</v>
      </c>
      <c r="F13" s="316">
        <f>IF(C13=0,0,+E13/C13)</f>
        <v>-0.22540027980724389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532</v>
      </c>
      <c r="C14" s="296">
        <v>7761</v>
      </c>
      <c r="D14" s="296">
        <v>7719</v>
      </c>
      <c r="E14" s="296">
        <f>+D14-C14</f>
        <v>-42</v>
      </c>
      <c r="F14" s="316">
        <f>IF(C14=0,0,+E14/C14)</f>
        <v>-5.4116737533822963E-3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533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534</v>
      </c>
      <c r="C16" s="300">
        <f>SUM(C12:C15)</f>
        <v>20846</v>
      </c>
      <c r="D16" s="300">
        <f>SUM(D12:D15)</f>
        <v>18461</v>
      </c>
      <c r="E16" s="300">
        <f>+D16-C16</f>
        <v>-2385</v>
      </c>
      <c r="F16" s="309">
        <f>IF(C16=0,0,+E16/C16)</f>
        <v>-0.11441043845342032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535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530</v>
      </c>
      <c r="C19" s="296">
        <v>1384</v>
      </c>
      <c r="D19" s="296">
        <v>1527</v>
      </c>
      <c r="E19" s="296">
        <f>+D19-C19</f>
        <v>143</v>
      </c>
      <c r="F19" s="316">
        <f>IF(C19=0,0,+E19/C19)</f>
        <v>0.10332369942196531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531</v>
      </c>
      <c r="C20" s="296">
        <v>5319</v>
      </c>
      <c r="D20" s="296">
        <v>5542</v>
      </c>
      <c r="E20" s="296">
        <f>+D20-C20</f>
        <v>223</v>
      </c>
      <c r="F20" s="316">
        <f>IF(C20=0,0,+E20/C20)</f>
        <v>4.1925173904869335E-2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532</v>
      </c>
      <c r="C21" s="296">
        <v>239</v>
      </c>
      <c r="D21" s="296">
        <v>465</v>
      </c>
      <c r="E21" s="296">
        <f>+D21-C21</f>
        <v>226</v>
      </c>
      <c r="F21" s="316">
        <f>IF(C21=0,0,+E21/C21)</f>
        <v>0.94560669456066948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533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536</v>
      </c>
      <c r="C23" s="300">
        <f>SUM(C19:C22)</f>
        <v>6942</v>
      </c>
      <c r="D23" s="300">
        <f>SUM(D19:D22)</f>
        <v>7534</v>
      </c>
      <c r="E23" s="300">
        <f>+D23-C23</f>
        <v>592</v>
      </c>
      <c r="F23" s="309">
        <f>IF(C23=0,0,+E23/C23)</f>
        <v>8.5278017862287531E-2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537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530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531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532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533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538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539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530</v>
      </c>
      <c r="C33" s="296">
        <v>3</v>
      </c>
      <c r="D33" s="296">
        <v>7</v>
      </c>
      <c r="E33" s="296">
        <f>+D33-C33</f>
        <v>4</v>
      </c>
      <c r="F33" s="316">
        <f>IF(C33=0,0,+E33/C33)</f>
        <v>1.3333333333333333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531</v>
      </c>
      <c r="C34" s="296">
        <v>411</v>
      </c>
      <c r="D34" s="296">
        <v>472</v>
      </c>
      <c r="E34" s="296">
        <f>+D34-C34</f>
        <v>61</v>
      </c>
      <c r="F34" s="316">
        <f>IF(C34=0,0,+E34/C34)</f>
        <v>0.14841849148418493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532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533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540</v>
      </c>
      <c r="C37" s="300">
        <f>SUM(C33:C36)</f>
        <v>414</v>
      </c>
      <c r="D37" s="300">
        <f>SUM(D33:D36)</f>
        <v>479</v>
      </c>
      <c r="E37" s="300">
        <f>+D37-C37</f>
        <v>65</v>
      </c>
      <c r="F37" s="309">
        <f>IF(C37=0,0,+E37/C37)</f>
        <v>0.1570048309178744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541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542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543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544</v>
      </c>
      <c r="C43" s="296">
        <v>123</v>
      </c>
      <c r="D43" s="296">
        <v>131</v>
      </c>
      <c r="E43" s="296">
        <f>+D43-C43</f>
        <v>8</v>
      </c>
      <c r="F43" s="316">
        <f>IF(C43=0,0,+E43/C43)</f>
        <v>6.5040650406504072E-2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545</v>
      </c>
      <c r="C44" s="296">
        <v>6004</v>
      </c>
      <c r="D44" s="296">
        <v>6342</v>
      </c>
      <c r="E44" s="296">
        <f>+D44-C44</f>
        <v>338</v>
      </c>
      <c r="F44" s="316">
        <f>IF(C44=0,0,+E44/C44)</f>
        <v>5.6295802798134578E-2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546</v>
      </c>
      <c r="C45" s="300">
        <f>SUM(C43:C44)</f>
        <v>6127</v>
      </c>
      <c r="D45" s="300">
        <f>SUM(D43:D44)</f>
        <v>6473</v>
      </c>
      <c r="E45" s="300">
        <f>+D45-C45</f>
        <v>346</v>
      </c>
      <c r="F45" s="309">
        <f>IF(C45=0,0,+E45/C45)</f>
        <v>5.647135629182308E-2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547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544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545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548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549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550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551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552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553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554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555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556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557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558</v>
      </c>
      <c r="C63" s="296">
        <v>2228</v>
      </c>
      <c r="D63" s="296">
        <v>2438</v>
      </c>
      <c r="E63" s="296">
        <f>+D63-C63</f>
        <v>210</v>
      </c>
      <c r="F63" s="316">
        <f>IF(C63=0,0,+E63/C63)</f>
        <v>9.4254937163375227E-2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559</v>
      </c>
      <c r="C64" s="296">
        <v>5682</v>
      </c>
      <c r="D64" s="296">
        <v>5878</v>
      </c>
      <c r="E64" s="296">
        <f>+D64-C64</f>
        <v>196</v>
      </c>
      <c r="F64" s="316">
        <f>IF(C64=0,0,+E64/C64)</f>
        <v>3.4494896163322776E-2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560</v>
      </c>
      <c r="C65" s="300">
        <f>SUM(C63:C64)</f>
        <v>7910</v>
      </c>
      <c r="D65" s="300">
        <f>SUM(D63:D64)</f>
        <v>8316</v>
      </c>
      <c r="E65" s="300">
        <f>+D65-C65</f>
        <v>406</v>
      </c>
      <c r="F65" s="309">
        <f>IF(C65=0,0,+E65/C65)</f>
        <v>5.1327433628318583E-2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561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562</v>
      </c>
      <c r="C68" s="296">
        <v>1435</v>
      </c>
      <c r="D68" s="296">
        <v>1288</v>
      </c>
      <c r="E68" s="296">
        <f>+D68-C68</f>
        <v>-147</v>
      </c>
      <c r="F68" s="316">
        <f>IF(C68=0,0,+E68/C68)</f>
        <v>-0.1024390243902439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563</v>
      </c>
      <c r="C69" s="296">
        <v>6662</v>
      </c>
      <c r="D69" s="296">
        <v>6543</v>
      </c>
      <c r="E69" s="296">
        <f>+D69-C69</f>
        <v>-119</v>
      </c>
      <c r="F69" s="318">
        <f>IF(C69=0,0,+E69/C69)</f>
        <v>-1.7862503752626838E-2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564</v>
      </c>
      <c r="C70" s="300">
        <f>SUM(C68:C69)</f>
        <v>8097</v>
      </c>
      <c r="D70" s="300">
        <f>SUM(D68:D69)</f>
        <v>7831</v>
      </c>
      <c r="E70" s="300">
        <f>+D70-C70</f>
        <v>-266</v>
      </c>
      <c r="F70" s="309">
        <f>IF(C70=0,0,+E70/C70)</f>
        <v>-3.2851673459305918E-2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565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566</v>
      </c>
      <c r="C73" s="319">
        <v>6380</v>
      </c>
      <c r="D73" s="319">
        <v>6629</v>
      </c>
      <c r="E73" s="296">
        <f>+D73-C73</f>
        <v>249</v>
      </c>
      <c r="F73" s="316">
        <f>IF(C73=0,0,+E73/C73)</f>
        <v>3.9028213166144202E-2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567</v>
      </c>
      <c r="C74" s="319">
        <v>68942</v>
      </c>
      <c r="D74" s="319">
        <v>78336</v>
      </c>
      <c r="E74" s="296">
        <f>+D74-C74</f>
        <v>9394</v>
      </c>
      <c r="F74" s="316">
        <f>IF(C74=0,0,+E74/C74)</f>
        <v>0.13625946447738679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75322</v>
      </c>
      <c r="D75" s="300">
        <f>SUM(D73:D74)</f>
        <v>84965</v>
      </c>
      <c r="E75" s="300">
        <f>SUM(E73:E74)</f>
        <v>9643</v>
      </c>
      <c r="F75" s="309">
        <f>IF(C75=0,0,+E75/C75)</f>
        <v>0.12802368497915614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568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569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570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571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572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573</v>
      </c>
      <c r="C83" s="319">
        <v>2459</v>
      </c>
      <c r="D83" s="319">
        <v>2260</v>
      </c>
      <c r="E83" s="296">
        <f t="shared" si="0"/>
        <v>-199</v>
      </c>
      <c r="F83" s="316">
        <f t="shared" si="1"/>
        <v>-8.0927206181374542E-2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574</v>
      </c>
      <c r="C84" s="320">
        <f>SUM(C79:C83)</f>
        <v>2459</v>
      </c>
      <c r="D84" s="320">
        <f>SUM(D79:D83)</f>
        <v>2260</v>
      </c>
      <c r="E84" s="300">
        <f t="shared" si="0"/>
        <v>-199</v>
      </c>
      <c r="F84" s="309">
        <f t="shared" si="1"/>
        <v>-8.0927206181374542E-2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575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576</v>
      </c>
      <c r="C87" s="322">
        <v>214</v>
      </c>
      <c r="D87" s="322">
        <v>202</v>
      </c>
      <c r="E87" s="323">
        <f t="shared" ref="E87:E92" si="2">+D87-C87</f>
        <v>-12</v>
      </c>
      <c r="F87" s="318">
        <f t="shared" ref="F87:F92" si="3">IF(C87=0,0,+E87/C87)</f>
        <v>-5.6074766355140186E-2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2270</v>
      </c>
      <c r="D88" s="322">
        <v>2485</v>
      </c>
      <c r="E88" s="296">
        <f t="shared" si="2"/>
        <v>215</v>
      </c>
      <c r="F88" s="316">
        <f t="shared" si="3"/>
        <v>9.4713656387665199E-2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577</v>
      </c>
      <c r="C89" s="322">
        <v>439</v>
      </c>
      <c r="D89" s="322">
        <v>504</v>
      </c>
      <c r="E89" s="296">
        <f t="shared" si="2"/>
        <v>65</v>
      </c>
      <c r="F89" s="316">
        <f t="shared" si="3"/>
        <v>0.1480637813211845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578</v>
      </c>
      <c r="C90" s="322">
        <v>6662</v>
      </c>
      <c r="D90" s="322">
        <v>6543</v>
      </c>
      <c r="E90" s="296">
        <f t="shared" si="2"/>
        <v>-119</v>
      </c>
      <c r="F90" s="316">
        <f t="shared" si="3"/>
        <v>-1.7862503752626838E-2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579</v>
      </c>
      <c r="C91" s="322">
        <v>80436</v>
      </c>
      <c r="D91" s="322">
        <v>69942</v>
      </c>
      <c r="E91" s="296">
        <f t="shared" si="2"/>
        <v>-10494</v>
      </c>
      <c r="F91" s="316">
        <f t="shared" si="3"/>
        <v>-0.13046397135610921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580</v>
      </c>
      <c r="C92" s="320">
        <f>SUM(C87:C91)</f>
        <v>90021</v>
      </c>
      <c r="D92" s="320">
        <f>SUM(D87:D91)</f>
        <v>79676</v>
      </c>
      <c r="E92" s="300">
        <f t="shared" si="2"/>
        <v>-10345</v>
      </c>
      <c r="F92" s="309">
        <f t="shared" si="3"/>
        <v>-0.11491763033070061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581</v>
      </c>
      <c r="B95" s="291" t="s">
        <v>582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583</v>
      </c>
      <c r="C96" s="325">
        <v>308</v>
      </c>
      <c r="D96" s="325">
        <v>315.5</v>
      </c>
      <c r="E96" s="326">
        <f>+D96-C96</f>
        <v>7.5</v>
      </c>
      <c r="F96" s="316">
        <f>IF(C96=0,0,+E96/C96)</f>
        <v>2.4350649350649352E-2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584</v>
      </c>
      <c r="C97" s="325">
        <v>51.4</v>
      </c>
      <c r="D97" s="325">
        <v>49.7</v>
      </c>
      <c r="E97" s="326">
        <f>+D97-C97</f>
        <v>-1.6999999999999957</v>
      </c>
      <c r="F97" s="316">
        <f>IF(C97=0,0,+E97/C97)</f>
        <v>-3.3073929961089411E-2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585</v>
      </c>
      <c r="C98" s="325">
        <v>626.4</v>
      </c>
      <c r="D98" s="325">
        <v>653.4</v>
      </c>
      <c r="E98" s="326">
        <f>+D98-C98</f>
        <v>27</v>
      </c>
      <c r="F98" s="316">
        <f>IF(C98=0,0,+E98/C98)</f>
        <v>4.3103448275862072E-2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586</v>
      </c>
      <c r="C99" s="327">
        <f>SUM(C96:C98)</f>
        <v>985.8</v>
      </c>
      <c r="D99" s="327">
        <f>SUM(D96:D98)</f>
        <v>1018.5999999999999</v>
      </c>
      <c r="E99" s="327">
        <f>+D99-C99</f>
        <v>32.799999999999955</v>
      </c>
      <c r="F99" s="309">
        <f>IF(C99=0,0,+E99/C99)</f>
        <v>3.327246906066135E-2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FILING&amp;RMIDSTATE MEDICAL CENTER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559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588</v>
      </c>
      <c r="C12" s="296">
        <v>5682</v>
      </c>
      <c r="D12" s="296">
        <v>5878</v>
      </c>
      <c r="E12" s="296">
        <f>+D12-C12</f>
        <v>196</v>
      </c>
      <c r="F12" s="316">
        <f>IF(C12=0,0,+E12/C12)</f>
        <v>3.4494896163322776E-2</v>
      </c>
    </row>
    <row r="13" spans="1:16" ht="15.75" customHeight="1" x14ac:dyDescent="0.25">
      <c r="A13" s="294"/>
      <c r="B13" s="135" t="s">
        <v>589</v>
      </c>
      <c r="C13" s="300">
        <f>SUM(C11:C12)</f>
        <v>5682</v>
      </c>
      <c r="D13" s="300">
        <f>SUM(D11:D12)</f>
        <v>5878</v>
      </c>
      <c r="E13" s="300">
        <f>+D13-C13</f>
        <v>196</v>
      </c>
      <c r="F13" s="309">
        <f>IF(C13=0,0,+E13/C13)</f>
        <v>3.4494896163322776E-2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563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588</v>
      </c>
      <c r="C16" s="296">
        <v>6662</v>
      </c>
      <c r="D16" s="296">
        <v>6543</v>
      </c>
      <c r="E16" s="296">
        <f>+D16-C16</f>
        <v>-119</v>
      </c>
      <c r="F16" s="316">
        <f>IF(C16=0,0,+E16/C16)</f>
        <v>-1.7862503752626838E-2</v>
      </c>
    </row>
    <row r="17" spans="1:6" ht="15.75" customHeight="1" x14ac:dyDescent="0.25">
      <c r="A17" s="294"/>
      <c r="B17" s="135" t="s">
        <v>590</v>
      </c>
      <c r="C17" s="300">
        <f>SUM(C15:C16)</f>
        <v>6662</v>
      </c>
      <c r="D17" s="300">
        <f>SUM(D15:D16)</f>
        <v>6543</v>
      </c>
      <c r="E17" s="300">
        <f>+D17-C17</f>
        <v>-119</v>
      </c>
      <c r="F17" s="309">
        <f>IF(C17=0,0,+E17/C17)</f>
        <v>-1.7862503752626838E-2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591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592</v>
      </c>
      <c r="C20" s="296">
        <v>22655</v>
      </c>
      <c r="D20" s="296">
        <v>27683</v>
      </c>
      <c r="E20" s="296">
        <f>+D20-C20</f>
        <v>5028</v>
      </c>
      <c r="F20" s="316">
        <f>IF(C20=0,0,+E20/C20)</f>
        <v>0.22193776208342531</v>
      </c>
    </row>
    <row r="21" spans="1:6" ht="15.75" customHeight="1" x14ac:dyDescent="0.2">
      <c r="A21" s="294">
        <v>2</v>
      </c>
      <c r="B21" s="295" t="s">
        <v>588</v>
      </c>
      <c r="C21" s="296">
        <v>46287</v>
      </c>
      <c r="D21" s="296">
        <v>50653</v>
      </c>
      <c r="E21" s="296">
        <f>+D21-C21</f>
        <v>4366</v>
      </c>
      <c r="F21" s="316">
        <f>IF(C21=0,0,+E21/C21)</f>
        <v>9.4324540367705836E-2</v>
      </c>
    </row>
    <row r="22" spans="1:6" ht="15.75" customHeight="1" x14ac:dyDescent="0.25">
      <c r="A22" s="294"/>
      <c r="B22" s="135" t="s">
        <v>593</v>
      </c>
      <c r="C22" s="300">
        <f>SUM(C19:C21)</f>
        <v>68942</v>
      </c>
      <c r="D22" s="300">
        <f>SUM(D19:D21)</f>
        <v>78336</v>
      </c>
      <c r="E22" s="300">
        <f>+D22-C22</f>
        <v>9394</v>
      </c>
      <c r="F22" s="309">
        <f>IF(C22=0,0,+E22/C22)</f>
        <v>0.13625946447738679</v>
      </c>
    </row>
    <row r="23" spans="1:6" ht="15.75" customHeight="1" x14ac:dyDescent="0.25">
      <c r="A23" s="293"/>
      <c r="B23" s="135"/>
      <c r="C23" s="300"/>
      <c r="D23" s="300"/>
      <c r="E23" s="300"/>
      <c r="F23" s="309"/>
    </row>
    <row r="24" spans="1:6" ht="15.75" customHeight="1" x14ac:dyDescent="0.25">
      <c r="B24" s="699" t="s">
        <v>594</v>
      </c>
      <c r="C24" s="700"/>
      <c r="D24" s="700"/>
      <c r="E24" s="700"/>
      <c r="F24" s="701"/>
    </row>
    <row r="25" spans="1:6" ht="15.75" customHeight="1" x14ac:dyDescent="0.25">
      <c r="A25" s="293"/>
      <c r="B25" s="135"/>
      <c r="C25" s="300"/>
      <c r="D25" s="300"/>
      <c r="E25" s="300"/>
      <c r="F25" s="309"/>
    </row>
    <row r="26" spans="1:6" ht="15.75" customHeight="1" x14ac:dyDescent="0.25">
      <c r="B26" s="699" t="s">
        <v>595</v>
      </c>
      <c r="C26" s="700"/>
      <c r="D26" s="700"/>
      <c r="E26" s="700"/>
      <c r="F26" s="701"/>
    </row>
    <row r="27" spans="1:6" ht="15.75" customHeight="1" x14ac:dyDescent="0.25">
      <c r="A27" s="293"/>
      <c r="B27" s="135"/>
      <c r="C27" s="300"/>
      <c r="D27" s="300"/>
      <c r="E27" s="300"/>
      <c r="F27" s="309"/>
    </row>
    <row r="28" spans="1:6" ht="15.75" customHeight="1" x14ac:dyDescent="0.25">
      <c r="B28" s="699" t="s">
        <v>596</v>
      </c>
      <c r="C28" s="700"/>
      <c r="D28" s="700"/>
      <c r="E28" s="700"/>
      <c r="F28" s="701"/>
    </row>
    <row r="29" spans="1:6" ht="15.75" customHeight="1" x14ac:dyDescent="0.25">
      <c r="A29" s="293"/>
      <c r="B29" s="135"/>
      <c r="C29" s="300"/>
      <c r="D29" s="300"/>
      <c r="E29" s="300"/>
      <c r="F29" s="309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FILING&amp;RMIDSTATE MEDICAL CENTER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597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598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599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600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601</v>
      </c>
      <c r="D7" s="341" t="s">
        <v>601</v>
      </c>
      <c r="E7" s="341" t="s">
        <v>602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603</v>
      </c>
      <c r="D8" s="344" t="s">
        <v>604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605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606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607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608</v>
      </c>
      <c r="C15" s="361">
        <v>105242796</v>
      </c>
      <c r="D15" s="361">
        <v>118170811</v>
      </c>
      <c r="E15" s="361">
        <f t="shared" ref="E15:E24" si="0">D15-C15</f>
        <v>12928015</v>
      </c>
      <c r="F15" s="362">
        <f t="shared" ref="F15:F24" si="1">IF(C15=0,0,E15/C15)</f>
        <v>0.12283990440542837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609</v>
      </c>
      <c r="C16" s="361">
        <v>43924410</v>
      </c>
      <c r="D16" s="361">
        <v>48578024</v>
      </c>
      <c r="E16" s="361">
        <f t="shared" si="0"/>
        <v>4653614</v>
      </c>
      <c r="F16" s="362">
        <f t="shared" si="1"/>
        <v>0.10594596489742264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610</v>
      </c>
      <c r="C17" s="366">
        <f>IF(C15=0,0,C16/C15)</f>
        <v>0.41736262879218833</v>
      </c>
      <c r="D17" s="366">
        <f>IF(LN_IA1=0,0,LN_IA2/LN_IA1)</f>
        <v>0.41108310579335872</v>
      </c>
      <c r="E17" s="367">
        <f t="shared" si="0"/>
        <v>-6.279522998829612E-3</v>
      </c>
      <c r="F17" s="362">
        <f t="shared" si="1"/>
        <v>-1.504572418714635E-2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4619</v>
      </c>
      <c r="D18" s="369">
        <v>4826</v>
      </c>
      <c r="E18" s="369">
        <f t="shared" si="0"/>
        <v>207</v>
      </c>
      <c r="F18" s="362">
        <f t="shared" si="1"/>
        <v>4.4814894998917512E-2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611</v>
      </c>
      <c r="C19" s="372">
        <v>1.4248700000000001</v>
      </c>
      <c r="D19" s="372">
        <v>1.4068799999999999</v>
      </c>
      <c r="E19" s="373">
        <f t="shared" si="0"/>
        <v>-1.7990000000000173E-2</v>
      </c>
      <c r="F19" s="362">
        <f t="shared" si="1"/>
        <v>-1.2625713222960811E-2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612</v>
      </c>
      <c r="C20" s="376">
        <f>C18*C19</f>
        <v>6581.4745300000004</v>
      </c>
      <c r="D20" s="376">
        <f>LN_IA4*LN_IA5</f>
        <v>6789.6028799999995</v>
      </c>
      <c r="E20" s="376">
        <f t="shared" si="0"/>
        <v>208.12834999999905</v>
      </c>
      <c r="F20" s="362">
        <f t="shared" si="1"/>
        <v>3.1623361763583248E-2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613</v>
      </c>
      <c r="C21" s="378">
        <f>IF(C20=0,0,C16/C20)</f>
        <v>6673.9466664774891</v>
      </c>
      <c r="D21" s="378">
        <f>IF(LN_IA6=0,0,LN_IA2/LN_IA6)</f>
        <v>7154.7666128007777</v>
      </c>
      <c r="E21" s="378">
        <f t="shared" si="0"/>
        <v>480.8199463232886</v>
      </c>
      <c r="F21" s="362">
        <f t="shared" si="1"/>
        <v>7.2044319553585145E-2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23725</v>
      </c>
      <c r="D22" s="369">
        <v>25200</v>
      </c>
      <c r="E22" s="369">
        <f t="shared" si="0"/>
        <v>1475</v>
      </c>
      <c r="F22" s="362">
        <f t="shared" si="1"/>
        <v>6.2170706006322442E-2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614</v>
      </c>
      <c r="C23" s="378">
        <f>IF(C22=0,0,C16/C22)</f>
        <v>1851.3976817702844</v>
      </c>
      <c r="D23" s="378">
        <f>IF(LN_IA8=0,0,LN_IA2/LN_IA8)</f>
        <v>1927.6993650793652</v>
      </c>
      <c r="E23" s="378">
        <f t="shared" si="0"/>
        <v>76.301683309080772</v>
      </c>
      <c r="F23" s="362">
        <f t="shared" si="1"/>
        <v>4.1213016555212499E-2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615</v>
      </c>
      <c r="C24" s="379">
        <f>IF(C18=0,0,C22/C18)</f>
        <v>5.1363931586923579</v>
      </c>
      <c r="D24" s="379">
        <f>IF(LN_IA4=0,0,LN_IA8/LN_IA4)</f>
        <v>5.2217157065893076</v>
      </c>
      <c r="E24" s="379">
        <f t="shared" si="0"/>
        <v>8.5322547896949708E-2</v>
      </c>
      <c r="F24" s="362">
        <f t="shared" si="1"/>
        <v>1.6611374024700132E-2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616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617</v>
      </c>
      <c r="C27" s="361">
        <v>61316189</v>
      </c>
      <c r="D27" s="361">
        <v>72569539</v>
      </c>
      <c r="E27" s="361">
        <f t="shared" ref="E27:E32" si="2">D27-C27</f>
        <v>11253350</v>
      </c>
      <c r="F27" s="362">
        <f t="shared" ref="F27:F32" si="3">IF(C27=0,0,E27/C27)</f>
        <v>0.183529834184574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618</v>
      </c>
      <c r="C28" s="361">
        <v>19233905</v>
      </c>
      <c r="D28" s="361">
        <v>21457290</v>
      </c>
      <c r="E28" s="361">
        <f t="shared" si="2"/>
        <v>2223385</v>
      </c>
      <c r="F28" s="362">
        <f t="shared" si="3"/>
        <v>0.11559717072534152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619</v>
      </c>
      <c r="C29" s="366">
        <f>IF(C27=0,0,C28/C27)</f>
        <v>0.31368396036485569</v>
      </c>
      <c r="D29" s="366">
        <f>IF(LN_IA11=0,0,LN_IA12/LN_IA11)</f>
        <v>0.29567901761095655</v>
      </c>
      <c r="E29" s="367">
        <f t="shared" si="2"/>
        <v>-1.8004942753899134E-2</v>
      </c>
      <c r="F29" s="362">
        <f t="shared" si="3"/>
        <v>-5.739835321180279E-2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620</v>
      </c>
      <c r="C30" s="366">
        <f>IF(C15=0,0,C27/C15)</f>
        <v>0.58261649566968932</v>
      </c>
      <c r="D30" s="366">
        <f>IF(LN_IA1=0,0,LN_IA11/LN_IA1)</f>
        <v>0.61410714190664228</v>
      </c>
      <c r="E30" s="367">
        <f t="shared" si="2"/>
        <v>3.1490646236952968E-2</v>
      </c>
      <c r="F30" s="362">
        <f t="shared" si="3"/>
        <v>5.4050385581266458E-2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621</v>
      </c>
      <c r="C31" s="376">
        <f>C30*C18</f>
        <v>2691.1055934982951</v>
      </c>
      <c r="D31" s="376">
        <f>LN_IA14*LN_IA4</f>
        <v>2963.6810668414555</v>
      </c>
      <c r="E31" s="376">
        <f t="shared" si="2"/>
        <v>272.57547334316041</v>
      </c>
      <c r="F31" s="362">
        <f t="shared" si="3"/>
        <v>0.10128754293465932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622</v>
      </c>
      <c r="C32" s="378">
        <f>IF(C31=0,0,C28/C31)</f>
        <v>7147.2130437650121</v>
      </c>
      <c r="D32" s="378">
        <f>IF(LN_IA15=0,0,LN_IA12/LN_IA15)</f>
        <v>7240.0806686220512</v>
      </c>
      <c r="E32" s="378">
        <f t="shared" si="2"/>
        <v>92.867624857039118</v>
      </c>
      <c r="F32" s="362">
        <f t="shared" si="3"/>
        <v>1.2993543677567259E-2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623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624</v>
      </c>
      <c r="C35" s="361">
        <f>C15+C27</f>
        <v>166558985</v>
      </c>
      <c r="D35" s="361">
        <f>LN_IA1+LN_IA11</f>
        <v>190740350</v>
      </c>
      <c r="E35" s="361">
        <f>D35-C35</f>
        <v>24181365</v>
      </c>
      <c r="F35" s="362">
        <f>IF(C35=0,0,E35/C35)</f>
        <v>0.14518199063232765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625</v>
      </c>
      <c r="C36" s="361">
        <f>C16+C28</f>
        <v>63158315</v>
      </c>
      <c r="D36" s="361">
        <f>LN_IA2+LN_IA12</f>
        <v>70035314</v>
      </c>
      <c r="E36" s="361">
        <f>D36-C36</f>
        <v>6876999</v>
      </c>
      <c r="F36" s="362">
        <f>IF(C36=0,0,E36/C36)</f>
        <v>0.10888509296044392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626</v>
      </c>
      <c r="C37" s="361">
        <f>C35-C36</f>
        <v>103400670</v>
      </c>
      <c r="D37" s="361">
        <f>LN_IA17-LN_IA18</f>
        <v>120705036</v>
      </c>
      <c r="E37" s="361">
        <f>D37-C37</f>
        <v>17304366</v>
      </c>
      <c r="F37" s="362">
        <f>IF(C37=0,0,E37/C37)</f>
        <v>0.16735255197089149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627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628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608</v>
      </c>
      <c r="C42" s="361">
        <v>52683600</v>
      </c>
      <c r="D42" s="361">
        <v>55065404</v>
      </c>
      <c r="E42" s="361">
        <f t="shared" ref="E42:E53" si="4">D42-C42</f>
        <v>2381804</v>
      </c>
      <c r="F42" s="362">
        <f t="shared" ref="F42:F53" si="5">IF(C42=0,0,E42/C42)</f>
        <v>4.5209590840413337E-2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609</v>
      </c>
      <c r="C43" s="361">
        <v>32669798</v>
      </c>
      <c r="D43" s="361">
        <v>35325625</v>
      </c>
      <c r="E43" s="361">
        <f t="shared" si="4"/>
        <v>2655827</v>
      </c>
      <c r="F43" s="362">
        <f t="shared" si="5"/>
        <v>8.1293034012637599E-2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610</v>
      </c>
      <c r="C44" s="366">
        <f>IF(C42=0,0,C43/C42)</f>
        <v>0.62011324207153651</v>
      </c>
      <c r="D44" s="366">
        <f>IF(LN_IB1=0,0,LN_IB2/LN_IB1)</f>
        <v>0.64152121720563426</v>
      </c>
      <c r="E44" s="367">
        <f t="shared" si="4"/>
        <v>2.1407975134097756E-2</v>
      </c>
      <c r="F44" s="362">
        <f t="shared" si="5"/>
        <v>3.4522686634755211E-2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3270</v>
      </c>
      <c r="D45" s="369">
        <v>3252</v>
      </c>
      <c r="E45" s="369">
        <f t="shared" si="4"/>
        <v>-18</v>
      </c>
      <c r="F45" s="362">
        <f t="shared" si="5"/>
        <v>-5.5045871559633031E-3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611</v>
      </c>
      <c r="C46" s="372">
        <v>1.03484</v>
      </c>
      <c r="D46" s="372">
        <v>1.02963</v>
      </c>
      <c r="E46" s="373">
        <f t="shared" si="4"/>
        <v>-5.2099999999999369E-3</v>
      </c>
      <c r="F46" s="362">
        <f t="shared" si="5"/>
        <v>-5.0345947199566471E-3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612</v>
      </c>
      <c r="C47" s="376">
        <f>C45*C46</f>
        <v>3383.9267999999997</v>
      </c>
      <c r="D47" s="376">
        <f>LN_IB4*LN_IB5</f>
        <v>3348.3567600000001</v>
      </c>
      <c r="E47" s="376">
        <f t="shared" si="4"/>
        <v>-35.570039999999608</v>
      </c>
      <c r="F47" s="362">
        <f t="shared" si="5"/>
        <v>-1.0511468510488942E-2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613</v>
      </c>
      <c r="C48" s="378">
        <f>IF(C47=0,0,C43/C47)</f>
        <v>9654.4044628861357</v>
      </c>
      <c r="D48" s="378">
        <f>IF(LN_IB6=0,0,LN_IB2/LN_IB6)</f>
        <v>10550.137733829772</v>
      </c>
      <c r="E48" s="378">
        <f t="shared" si="4"/>
        <v>895.73327094363594</v>
      </c>
      <c r="F48" s="362">
        <f t="shared" si="5"/>
        <v>9.2779753985556657E-2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629</v>
      </c>
      <c r="C49" s="378">
        <f>C21-C48</f>
        <v>-2980.4577964086466</v>
      </c>
      <c r="D49" s="378">
        <f>LN_IA7-LN_IB7</f>
        <v>-3395.3711210289939</v>
      </c>
      <c r="E49" s="378">
        <f t="shared" si="4"/>
        <v>-414.91332462034734</v>
      </c>
      <c r="F49" s="362">
        <f t="shared" si="5"/>
        <v>0.13921127322128307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630</v>
      </c>
      <c r="C50" s="391">
        <f>C49*C47</f>
        <v>-10085651.013536163</v>
      </c>
      <c r="D50" s="391">
        <f>LN_IB8*LN_IB6</f>
        <v>-11368913.845806211</v>
      </c>
      <c r="E50" s="391">
        <f t="shared" si="4"/>
        <v>-1283262.8322700486</v>
      </c>
      <c r="F50" s="362">
        <f t="shared" si="5"/>
        <v>0.12723648979602356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11526</v>
      </c>
      <c r="D51" s="369">
        <v>11282</v>
      </c>
      <c r="E51" s="369">
        <f t="shared" si="4"/>
        <v>-244</v>
      </c>
      <c r="F51" s="362">
        <f t="shared" si="5"/>
        <v>-2.1169529758806177E-2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614</v>
      </c>
      <c r="C52" s="378">
        <f>IF(C51=0,0,C43/C51)</f>
        <v>2834.4436925212563</v>
      </c>
      <c r="D52" s="378">
        <f>IF(LN_IB10=0,0,LN_IB2/LN_IB10)</f>
        <v>3131.1491756780711</v>
      </c>
      <c r="E52" s="378">
        <f t="shared" si="4"/>
        <v>296.70548315681481</v>
      </c>
      <c r="F52" s="362">
        <f t="shared" si="5"/>
        <v>0.10467855965517288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615</v>
      </c>
      <c r="C53" s="379">
        <f>IF(C45=0,0,C51/C45)</f>
        <v>3.524770642201835</v>
      </c>
      <c r="D53" s="379">
        <f>IF(LN_IB4=0,0,LN_IB10/LN_IB4)</f>
        <v>3.4692496924969252</v>
      </c>
      <c r="E53" s="379">
        <f t="shared" si="4"/>
        <v>-5.5520949704909839E-2</v>
      </c>
      <c r="F53" s="362">
        <f t="shared" si="5"/>
        <v>-1.5751648927212838E-2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631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617</v>
      </c>
      <c r="C56" s="361">
        <v>97810217</v>
      </c>
      <c r="D56" s="361">
        <v>103548217</v>
      </c>
      <c r="E56" s="361">
        <f t="shared" ref="E56:E63" si="6">D56-C56</f>
        <v>5738000</v>
      </c>
      <c r="F56" s="362">
        <f t="shared" ref="F56:F63" si="7">IF(C56=0,0,E56/C56)</f>
        <v>5.8664628052098072E-2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618</v>
      </c>
      <c r="C57" s="361">
        <v>61788697</v>
      </c>
      <c r="D57" s="361">
        <v>66378849</v>
      </c>
      <c r="E57" s="361">
        <f t="shared" si="6"/>
        <v>4590152</v>
      </c>
      <c r="F57" s="362">
        <f t="shared" si="7"/>
        <v>7.428789119796457E-2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619</v>
      </c>
      <c r="C58" s="366">
        <f>IF(C56=0,0,C57/C56)</f>
        <v>0.63172027314896972</v>
      </c>
      <c r="D58" s="366">
        <f>IF(LN_IB13=0,0,LN_IB14/LN_IB13)</f>
        <v>0.64104289695302041</v>
      </c>
      <c r="E58" s="367">
        <f t="shared" si="6"/>
        <v>9.3226238040506892E-3</v>
      </c>
      <c r="F58" s="362">
        <f t="shared" si="7"/>
        <v>1.4757518794797751E-2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620</v>
      </c>
      <c r="C59" s="366">
        <f>IF(C42=0,0,C56/C42)</f>
        <v>1.8565590999855743</v>
      </c>
      <c r="D59" s="366">
        <f>IF(LN_IB1=0,0,LN_IB13/LN_IB1)</f>
        <v>1.8804586814617759</v>
      </c>
      <c r="E59" s="367">
        <f t="shared" si="6"/>
        <v>2.3899581476201526E-2</v>
      </c>
      <c r="F59" s="362">
        <f t="shared" si="7"/>
        <v>1.2873051806639082E-2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621</v>
      </c>
      <c r="C60" s="376">
        <f>C59*C45</f>
        <v>6070.9482569528282</v>
      </c>
      <c r="D60" s="376">
        <f>LN_IB16*LN_IB4</f>
        <v>6115.2516321136955</v>
      </c>
      <c r="E60" s="376">
        <f t="shared" si="6"/>
        <v>44.30337516086729</v>
      </c>
      <c r="F60" s="362">
        <f t="shared" si="7"/>
        <v>7.2976038150429469E-3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622</v>
      </c>
      <c r="C61" s="378">
        <f>IF(C60=0,0,C57/C60)</f>
        <v>10177.767028278611</v>
      </c>
      <c r="D61" s="378">
        <f>IF(LN_IB17=0,0,LN_IB14/LN_IB17)</f>
        <v>10854.639022770123</v>
      </c>
      <c r="E61" s="378">
        <f t="shared" si="6"/>
        <v>676.87199449151194</v>
      </c>
      <c r="F61" s="362">
        <f t="shared" si="7"/>
        <v>6.6504960529244192E-2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632</v>
      </c>
      <c r="C62" s="378">
        <f>C32-C61</f>
        <v>-3030.5539845135991</v>
      </c>
      <c r="D62" s="378">
        <f>LN_IA16-LN_IB18</f>
        <v>-3614.5583541480719</v>
      </c>
      <c r="E62" s="378">
        <f t="shared" si="6"/>
        <v>-584.00436963447282</v>
      </c>
      <c r="F62" s="362">
        <f t="shared" si="7"/>
        <v>0.19270548309608976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633</v>
      </c>
      <c r="C63" s="361">
        <f>C62*C60</f>
        <v>-18398336.429884281</v>
      </c>
      <c r="D63" s="361">
        <f>LN_IB19*LN_IB17</f>
        <v>-22103933.874574188</v>
      </c>
      <c r="E63" s="361">
        <f t="shared" si="6"/>
        <v>-3705597.4446899071</v>
      </c>
      <c r="F63" s="362">
        <f t="shared" si="7"/>
        <v>0.20140937517975444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634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624</v>
      </c>
      <c r="C66" s="361">
        <f>C42+C56</f>
        <v>150493817</v>
      </c>
      <c r="D66" s="361">
        <f>LN_IB1+LN_IB13</f>
        <v>158613621</v>
      </c>
      <c r="E66" s="361">
        <f>D66-C66</f>
        <v>8119804</v>
      </c>
      <c r="F66" s="362">
        <f>IF(C66=0,0,E66/C66)</f>
        <v>5.3954402658283294E-2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625</v>
      </c>
      <c r="C67" s="361">
        <f>C43+C57</f>
        <v>94458495</v>
      </c>
      <c r="D67" s="361">
        <f>LN_IB2+LN_IB14</f>
        <v>101704474</v>
      </c>
      <c r="E67" s="361">
        <f>D67-C67</f>
        <v>7245979</v>
      </c>
      <c r="F67" s="362">
        <f>IF(C67=0,0,E67/C67)</f>
        <v>7.6710718289551408E-2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626</v>
      </c>
      <c r="C68" s="361">
        <f>C66-C67</f>
        <v>56035322</v>
      </c>
      <c r="D68" s="361">
        <f>LN_IB21-LN_IB22</f>
        <v>56909147</v>
      </c>
      <c r="E68" s="361">
        <f>D68-C68</f>
        <v>873825</v>
      </c>
      <c r="F68" s="362">
        <f>IF(C68=0,0,E68/C68)</f>
        <v>1.5594181826955504E-2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635</v>
      </c>
      <c r="C70" s="353">
        <f>C50+C63</f>
        <v>-28483987.443420444</v>
      </c>
      <c r="D70" s="353">
        <f>LN_IB9+LN_IB20</f>
        <v>-33472847.720380399</v>
      </c>
      <c r="E70" s="361">
        <f>D70-C70</f>
        <v>-4988860.2769599557</v>
      </c>
      <c r="F70" s="362">
        <f>IF(C70=0,0,E70/C70)</f>
        <v>0.17514613383641059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636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637</v>
      </c>
      <c r="C73" s="400">
        <v>132260378</v>
      </c>
      <c r="D73" s="400">
        <v>145881128</v>
      </c>
      <c r="E73" s="400">
        <f>D73-C73</f>
        <v>13620750</v>
      </c>
      <c r="F73" s="401">
        <f>IF(C73=0,0,E73/C73)</f>
        <v>0.10298435711411622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638</v>
      </c>
      <c r="C74" s="400">
        <v>93181255</v>
      </c>
      <c r="D74" s="400">
        <v>100144953</v>
      </c>
      <c r="E74" s="400">
        <f>D74-C74</f>
        <v>6963698</v>
      </c>
      <c r="F74" s="401">
        <f>IF(C74=0,0,E74/C74)</f>
        <v>7.4732820458363644E-2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639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640</v>
      </c>
      <c r="C76" s="353">
        <f>C73-C74</f>
        <v>39079123</v>
      </c>
      <c r="D76" s="353">
        <f>LN_IB32-LN_IB33</f>
        <v>45736175</v>
      </c>
      <c r="E76" s="400">
        <f>D76-C76</f>
        <v>6657052</v>
      </c>
      <c r="F76" s="401">
        <f>IF(C76=0,0,E76/C76)</f>
        <v>0.17034803979608243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641</v>
      </c>
      <c r="C77" s="366">
        <f>IF(C73=0,0,C76/C73)</f>
        <v>0.29547112741504489</v>
      </c>
      <c r="D77" s="366">
        <f>IF(LN_IB1=0,0,LN_IB34/LN_IB32)</f>
        <v>0.31351673535181329</v>
      </c>
      <c r="E77" s="405">
        <f>D77-C77</f>
        <v>1.8045607936768404E-2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642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643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608</v>
      </c>
      <c r="C83" s="361">
        <v>3934556</v>
      </c>
      <c r="D83" s="361">
        <v>3391142</v>
      </c>
      <c r="E83" s="361">
        <f t="shared" ref="E83:E95" si="8">D83-C83</f>
        <v>-543414</v>
      </c>
      <c r="F83" s="362">
        <f t="shared" ref="F83:F95" si="9">IF(C83=0,0,E83/C83)</f>
        <v>-0.13811316956729044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609</v>
      </c>
      <c r="C84" s="361">
        <v>102665</v>
      </c>
      <c r="D84" s="361">
        <v>303258</v>
      </c>
      <c r="E84" s="361">
        <f t="shared" si="8"/>
        <v>200593</v>
      </c>
      <c r="F84" s="362">
        <f t="shared" si="9"/>
        <v>1.9538596405785809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610</v>
      </c>
      <c r="C85" s="366">
        <f>IF(C83=0,0,C84/C83)</f>
        <v>2.6093160193932936E-2</v>
      </c>
      <c r="D85" s="366">
        <f>IF(LN_IC1=0,0,LN_IC2/LN_IC1)</f>
        <v>8.9426511776858647E-2</v>
      </c>
      <c r="E85" s="367">
        <f t="shared" si="8"/>
        <v>6.3333351582925718E-2</v>
      </c>
      <c r="F85" s="362">
        <f t="shared" si="9"/>
        <v>2.4272012708392334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234</v>
      </c>
      <c r="D86" s="369">
        <v>209</v>
      </c>
      <c r="E86" s="369">
        <f t="shared" si="8"/>
        <v>-25</v>
      </c>
      <c r="F86" s="362">
        <f t="shared" si="9"/>
        <v>-0.10683760683760683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611</v>
      </c>
      <c r="C87" s="372">
        <v>1.07494</v>
      </c>
      <c r="D87" s="372">
        <v>0.97809999999999997</v>
      </c>
      <c r="E87" s="373">
        <f t="shared" si="8"/>
        <v>-9.6840000000000037E-2</v>
      </c>
      <c r="F87" s="362">
        <f t="shared" si="9"/>
        <v>-9.008874913948689E-2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612</v>
      </c>
      <c r="C88" s="376">
        <f>C86*C87</f>
        <v>251.53595999999999</v>
      </c>
      <c r="D88" s="376">
        <f>LN_IC4*LN_IC5</f>
        <v>204.4229</v>
      </c>
      <c r="E88" s="376">
        <f t="shared" si="8"/>
        <v>-47.11305999999999</v>
      </c>
      <c r="F88" s="362">
        <f t="shared" si="9"/>
        <v>-0.18730148961603738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613</v>
      </c>
      <c r="C89" s="378">
        <f>IF(C88=0,0,C84/C88)</f>
        <v>408.15237709948116</v>
      </c>
      <c r="D89" s="378">
        <f>IF(LN_IC6=0,0,LN_IC2/LN_IC6)</f>
        <v>1483.483504049693</v>
      </c>
      <c r="E89" s="378">
        <f t="shared" si="8"/>
        <v>1075.3311269502119</v>
      </c>
      <c r="F89" s="362">
        <f t="shared" si="9"/>
        <v>2.6346315427390388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644</v>
      </c>
      <c r="C90" s="378">
        <f>C48-C89</f>
        <v>9246.2520857866548</v>
      </c>
      <c r="D90" s="378">
        <f>LN_IB7-LN_IC7</f>
        <v>9066.6542297800788</v>
      </c>
      <c r="E90" s="378">
        <f t="shared" si="8"/>
        <v>-179.59785600657597</v>
      </c>
      <c r="F90" s="362">
        <f t="shared" si="9"/>
        <v>-1.9423854588893799E-2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645</v>
      </c>
      <c r="C91" s="378">
        <f>C21-C89</f>
        <v>6265.7942893780082</v>
      </c>
      <c r="D91" s="378">
        <f>LN_IA7-LN_IC7</f>
        <v>5671.2831087510849</v>
      </c>
      <c r="E91" s="378">
        <f t="shared" si="8"/>
        <v>-594.51118062692331</v>
      </c>
      <c r="F91" s="362">
        <f t="shared" si="9"/>
        <v>-9.4882013862912687E-2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630</v>
      </c>
      <c r="C92" s="353">
        <f>C91*C88</f>
        <v>1576072.581741215</v>
      </c>
      <c r="D92" s="353">
        <f>LN_IC9*LN_IC6</f>
        <v>1159340.1398119121</v>
      </c>
      <c r="E92" s="353">
        <f t="shared" si="8"/>
        <v>-416732.44192930288</v>
      </c>
      <c r="F92" s="362">
        <f t="shared" si="9"/>
        <v>-0.26441196094465702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969</v>
      </c>
      <c r="D93" s="369">
        <v>870</v>
      </c>
      <c r="E93" s="369">
        <f t="shared" si="8"/>
        <v>-99</v>
      </c>
      <c r="F93" s="362">
        <f t="shared" si="9"/>
        <v>-0.1021671826625387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614</v>
      </c>
      <c r="C94" s="411">
        <f>IF(C93=0,0,C84/C93)</f>
        <v>105.94943240454076</v>
      </c>
      <c r="D94" s="411">
        <f>IF(LN_IC11=0,0,LN_IC2/LN_IC11)</f>
        <v>348.57241379310346</v>
      </c>
      <c r="E94" s="411">
        <f t="shared" si="8"/>
        <v>242.62298138856272</v>
      </c>
      <c r="F94" s="362">
        <f t="shared" si="9"/>
        <v>2.2899884962306265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615</v>
      </c>
      <c r="C95" s="379">
        <f>IF(C86=0,0,C93/C86)</f>
        <v>4.1410256410256414</v>
      </c>
      <c r="D95" s="379">
        <f>IF(LN_IC4=0,0,LN_IC11/LN_IC4)</f>
        <v>4.1626794258373208</v>
      </c>
      <c r="E95" s="379">
        <f t="shared" si="8"/>
        <v>2.1653784811679344E-2</v>
      </c>
      <c r="F95" s="362">
        <f t="shared" si="9"/>
        <v>5.2290873539039898E-3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646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617</v>
      </c>
      <c r="C98" s="361">
        <v>7741172</v>
      </c>
      <c r="D98" s="361">
        <v>7307136</v>
      </c>
      <c r="E98" s="361">
        <f t="shared" ref="E98:E106" si="10">D98-C98</f>
        <v>-434036</v>
      </c>
      <c r="F98" s="362">
        <f t="shared" ref="F98:F106" si="11">IF(C98=0,0,E98/C98)</f>
        <v>-5.606851262315319E-2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618</v>
      </c>
      <c r="C99" s="361">
        <v>540733</v>
      </c>
      <c r="D99" s="361">
        <v>519914</v>
      </c>
      <c r="E99" s="361">
        <f t="shared" si="10"/>
        <v>-20819</v>
      </c>
      <c r="F99" s="362">
        <f t="shared" si="11"/>
        <v>-3.8501441561731943E-2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619</v>
      </c>
      <c r="C100" s="366">
        <f>IF(C98=0,0,C99/C98)</f>
        <v>6.9851567695434227E-2</v>
      </c>
      <c r="D100" s="366">
        <f>IF(LN_IC14=0,0,LN_IC15/LN_IC14)</f>
        <v>7.115154282060715E-2</v>
      </c>
      <c r="E100" s="367">
        <f t="shared" si="10"/>
        <v>1.2999751251729225E-3</v>
      </c>
      <c r="F100" s="362">
        <f t="shared" si="11"/>
        <v>1.8610536142024112E-2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620</v>
      </c>
      <c r="C101" s="366">
        <f>IF(C83=0,0,C98/C83)</f>
        <v>1.9674829891860734</v>
      </c>
      <c r="D101" s="366">
        <f>IF(LN_IC1=0,0,LN_IC14/LN_IC1)</f>
        <v>2.1547714604696591</v>
      </c>
      <c r="E101" s="367">
        <f t="shared" si="10"/>
        <v>0.18728847128358561</v>
      </c>
      <c r="F101" s="362">
        <f t="shared" si="11"/>
        <v>9.5191913888447305E-2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621</v>
      </c>
      <c r="C102" s="376">
        <f>C101*C86</f>
        <v>460.39101946954116</v>
      </c>
      <c r="D102" s="376">
        <f>LN_IC17*LN_IC4</f>
        <v>450.34723523815876</v>
      </c>
      <c r="E102" s="376">
        <f t="shared" si="10"/>
        <v>-10.043784231382404</v>
      </c>
      <c r="F102" s="362">
        <f t="shared" si="11"/>
        <v>-2.1815769219292704E-2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622</v>
      </c>
      <c r="C103" s="378">
        <f>IF(C102=0,0,C99/C102)</f>
        <v>1174.5081401088758</v>
      </c>
      <c r="D103" s="378">
        <f>IF(LN_IC18=0,0,LN_IC15/LN_IC18)</f>
        <v>1154.4736135108101</v>
      </c>
      <c r="E103" s="378">
        <f t="shared" si="10"/>
        <v>-20.034526598065668</v>
      </c>
      <c r="F103" s="362">
        <f t="shared" si="11"/>
        <v>-1.7057801401196324E-2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647</v>
      </c>
      <c r="C104" s="378">
        <f>C61-C103</f>
        <v>9003.2588881697357</v>
      </c>
      <c r="D104" s="378">
        <f>LN_IB18-LN_IC19</f>
        <v>9700.1654092593126</v>
      </c>
      <c r="E104" s="378">
        <f t="shared" si="10"/>
        <v>696.90652108957693</v>
      </c>
      <c r="F104" s="362">
        <f t="shared" si="11"/>
        <v>7.7406029277388738E-2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648</v>
      </c>
      <c r="C105" s="378">
        <f>C32-C103</f>
        <v>5972.7049036561366</v>
      </c>
      <c r="D105" s="378">
        <f>LN_IA16-LN_IC19</f>
        <v>6085.6070551112407</v>
      </c>
      <c r="E105" s="378">
        <f t="shared" si="10"/>
        <v>112.9021514551041</v>
      </c>
      <c r="F105" s="362">
        <f t="shared" si="11"/>
        <v>1.89030185278352E-2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633</v>
      </c>
      <c r="C106" s="361">
        <f>C105*C102</f>
        <v>2749779.6995849763</v>
      </c>
      <c r="D106" s="361">
        <f>LN_IC21*LN_IC18</f>
        <v>2740636.3120151805</v>
      </c>
      <c r="E106" s="361">
        <f t="shared" si="10"/>
        <v>-9143.3875697958283</v>
      </c>
      <c r="F106" s="362">
        <f t="shared" si="11"/>
        <v>-3.3251345812087556E-3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649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624</v>
      </c>
      <c r="C109" s="361">
        <f>C83+C98</f>
        <v>11675728</v>
      </c>
      <c r="D109" s="361">
        <f>LN_IC1+LN_IC14</f>
        <v>10698278</v>
      </c>
      <c r="E109" s="361">
        <f>D109-C109</f>
        <v>-977450</v>
      </c>
      <c r="F109" s="362">
        <f>IF(C109=0,0,E109/C109)</f>
        <v>-8.3716407233878687E-2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625</v>
      </c>
      <c r="C110" s="361">
        <f>C84+C99</f>
        <v>643398</v>
      </c>
      <c r="D110" s="361">
        <f>LN_IC2+LN_IC15</f>
        <v>823172</v>
      </c>
      <c r="E110" s="361">
        <f>D110-C110</f>
        <v>179774</v>
      </c>
      <c r="F110" s="362">
        <f>IF(C110=0,0,E110/C110)</f>
        <v>0.27941336466697131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626</v>
      </c>
      <c r="C111" s="361">
        <f>C109-C110</f>
        <v>11032330</v>
      </c>
      <c r="D111" s="361">
        <f>LN_IC23-LN_IC24</f>
        <v>9875106</v>
      </c>
      <c r="E111" s="361">
        <f>D111-C111</f>
        <v>-1157224</v>
      </c>
      <c r="F111" s="362">
        <f>IF(C111=0,0,E111/C111)</f>
        <v>-0.10489388914218484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635</v>
      </c>
      <c r="C113" s="361">
        <f>C92+C106</f>
        <v>4325852.2813261915</v>
      </c>
      <c r="D113" s="361">
        <f>LN_IC10+LN_IC22</f>
        <v>3899976.4518270926</v>
      </c>
      <c r="E113" s="361">
        <f>D113-C113</f>
        <v>-425875.82949909894</v>
      </c>
      <c r="F113" s="362">
        <f>IF(C113=0,0,E113/C113)</f>
        <v>-9.8448999596568915E-2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650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651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608</v>
      </c>
      <c r="C118" s="361">
        <v>20416489</v>
      </c>
      <c r="D118" s="361">
        <v>30010171</v>
      </c>
      <c r="E118" s="361">
        <f t="shared" ref="E118:E130" si="12">D118-C118</f>
        <v>9593682</v>
      </c>
      <c r="F118" s="362">
        <f t="shared" ref="F118:F130" si="13">IF(C118=0,0,E118/C118)</f>
        <v>0.46989871764924912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609</v>
      </c>
      <c r="C119" s="361">
        <v>7724989</v>
      </c>
      <c r="D119" s="361">
        <v>9805384</v>
      </c>
      <c r="E119" s="361">
        <f t="shared" si="12"/>
        <v>2080395</v>
      </c>
      <c r="F119" s="362">
        <f t="shared" si="13"/>
        <v>0.26930717959598388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610</v>
      </c>
      <c r="C120" s="366">
        <f>IF(C118=0,0,C119/C118)</f>
        <v>0.37837010075532573</v>
      </c>
      <c r="D120" s="366">
        <f>IF(LN_ID1=0,0,LN_1D2/LN_ID1)</f>
        <v>0.32673535915540103</v>
      </c>
      <c r="E120" s="367">
        <f t="shared" si="12"/>
        <v>-5.1634741599924705E-2</v>
      </c>
      <c r="F120" s="362">
        <f t="shared" si="13"/>
        <v>-0.1364662310707116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1741</v>
      </c>
      <c r="D121" s="369">
        <v>2106</v>
      </c>
      <c r="E121" s="369">
        <f t="shared" si="12"/>
        <v>365</v>
      </c>
      <c r="F121" s="362">
        <f t="shared" si="13"/>
        <v>0.20964962665134979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611</v>
      </c>
      <c r="C122" s="372">
        <v>0.81113000000000002</v>
      </c>
      <c r="D122" s="372">
        <v>0.90081</v>
      </c>
      <c r="E122" s="373">
        <f t="shared" si="12"/>
        <v>8.9679999999999982E-2</v>
      </c>
      <c r="F122" s="362">
        <f t="shared" si="13"/>
        <v>0.11056180883458876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612</v>
      </c>
      <c r="C123" s="376">
        <f>C121*C122</f>
        <v>1412.17733</v>
      </c>
      <c r="D123" s="376">
        <f>LN_ID4*LN_ID5</f>
        <v>1897.1058599999999</v>
      </c>
      <c r="E123" s="376">
        <f t="shared" si="12"/>
        <v>484.92852999999991</v>
      </c>
      <c r="F123" s="362">
        <f t="shared" si="13"/>
        <v>0.34339067743000795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613</v>
      </c>
      <c r="C124" s="378">
        <f>IF(C123=0,0,C119/C123)</f>
        <v>5470.2683833623078</v>
      </c>
      <c r="D124" s="378">
        <f>IF(LN_ID6=0,0,LN_1D2/LN_ID6)</f>
        <v>5168.6013979209365</v>
      </c>
      <c r="E124" s="378">
        <f t="shared" si="12"/>
        <v>-301.66698544137125</v>
      </c>
      <c r="F124" s="362">
        <f t="shared" si="13"/>
        <v>-5.5146651736299498E-2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652</v>
      </c>
      <c r="C125" s="378">
        <f>C48-C124</f>
        <v>4184.1360795238279</v>
      </c>
      <c r="D125" s="378">
        <f>LN_IB7-LN_ID7</f>
        <v>5381.5363359088351</v>
      </c>
      <c r="E125" s="378">
        <f t="shared" si="12"/>
        <v>1197.4002563850072</v>
      </c>
      <c r="F125" s="362">
        <f t="shared" si="13"/>
        <v>0.28617622219430211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653</v>
      </c>
      <c r="C126" s="378">
        <f>C21-C124</f>
        <v>1203.6782831151813</v>
      </c>
      <c r="D126" s="378">
        <f>LN_IA7-LN_ID7</f>
        <v>1986.1652148798412</v>
      </c>
      <c r="E126" s="378">
        <f t="shared" si="12"/>
        <v>782.48693176465986</v>
      </c>
      <c r="F126" s="362">
        <f t="shared" si="13"/>
        <v>0.65007979519207026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630</v>
      </c>
      <c r="C127" s="391">
        <f>C126*C123</f>
        <v>1699807.1840285808</v>
      </c>
      <c r="D127" s="391">
        <f>LN_ID9*LN_ID6</f>
        <v>3767965.6680767057</v>
      </c>
      <c r="E127" s="391">
        <f t="shared" si="12"/>
        <v>2068158.4840481249</v>
      </c>
      <c r="F127" s="362">
        <f t="shared" si="13"/>
        <v>1.2167018138766441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6201</v>
      </c>
      <c r="D128" s="369">
        <v>7822</v>
      </c>
      <c r="E128" s="369">
        <f t="shared" si="12"/>
        <v>1621</v>
      </c>
      <c r="F128" s="362">
        <f t="shared" si="13"/>
        <v>0.26140945008869537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614</v>
      </c>
      <c r="C129" s="378">
        <f>IF(C128=0,0,C119/C128)</f>
        <v>1245.7650378971134</v>
      </c>
      <c r="D129" s="378">
        <f>IF(LN_ID11=0,0,LN_1D2/LN_ID11)</f>
        <v>1253.5648171823063</v>
      </c>
      <c r="E129" s="378">
        <f t="shared" si="12"/>
        <v>7.7997792851929262</v>
      </c>
      <c r="F129" s="362">
        <f t="shared" si="13"/>
        <v>6.2610356270386058E-3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615</v>
      </c>
      <c r="C130" s="379">
        <f>IF(C121=0,0,C128/C121)</f>
        <v>3.5617461229178633</v>
      </c>
      <c r="D130" s="379">
        <f>IF(LN_ID4=0,0,LN_ID11/LN_ID4)</f>
        <v>3.7141500474833808</v>
      </c>
      <c r="E130" s="379">
        <f t="shared" si="12"/>
        <v>0.15240392456551755</v>
      </c>
      <c r="F130" s="362">
        <f t="shared" si="13"/>
        <v>4.2789103800768592E-2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654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617</v>
      </c>
      <c r="C133" s="361">
        <v>29370249</v>
      </c>
      <c r="D133" s="361">
        <v>41580077</v>
      </c>
      <c r="E133" s="361">
        <f t="shared" ref="E133:E141" si="14">D133-C133</f>
        <v>12209828</v>
      </c>
      <c r="F133" s="362">
        <f t="shared" ref="F133:F141" si="15">IF(C133=0,0,E133/C133)</f>
        <v>0.41572095626427952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618</v>
      </c>
      <c r="C134" s="361">
        <v>8696383</v>
      </c>
      <c r="D134" s="361">
        <v>10948628</v>
      </c>
      <c r="E134" s="361">
        <f t="shared" si="14"/>
        <v>2252245</v>
      </c>
      <c r="F134" s="362">
        <f t="shared" si="15"/>
        <v>0.2589864084872987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619</v>
      </c>
      <c r="C135" s="366">
        <f>IF(C133=0,0,C134/C133)</f>
        <v>0.29609497011754993</v>
      </c>
      <c r="D135" s="366">
        <f>IF(LN_ID14=0,0,LN_ID15/LN_ID14)</f>
        <v>0.26331427909573135</v>
      </c>
      <c r="E135" s="367">
        <f t="shared" si="14"/>
        <v>-3.2780691021818575E-2</v>
      </c>
      <c r="F135" s="362">
        <f t="shared" si="15"/>
        <v>-0.1107100570090894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620</v>
      </c>
      <c r="C136" s="366">
        <f>IF(C118=0,0,C133/C118)</f>
        <v>1.4385553265304334</v>
      </c>
      <c r="D136" s="366">
        <f>IF(LN_ID1=0,0,LN_ID14/LN_ID1)</f>
        <v>1.3855328248546135</v>
      </c>
      <c r="E136" s="367">
        <f t="shared" si="14"/>
        <v>-5.30225016758199E-2</v>
      </c>
      <c r="F136" s="362">
        <f t="shared" si="15"/>
        <v>-3.6858159500685828E-2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621</v>
      </c>
      <c r="C137" s="376">
        <f>C136*C121</f>
        <v>2504.5248234894843</v>
      </c>
      <c r="D137" s="376">
        <f>LN_ID17*LN_ID4</f>
        <v>2917.9321291438159</v>
      </c>
      <c r="E137" s="376">
        <f t="shared" si="14"/>
        <v>413.40730565433159</v>
      </c>
      <c r="F137" s="362">
        <f t="shared" si="15"/>
        <v>0.16506416777228936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622</v>
      </c>
      <c r="C138" s="378">
        <f>IF(C137=0,0,C134/C137)</f>
        <v>3472.2686389203254</v>
      </c>
      <c r="D138" s="378">
        <f>IF(LN_ID18=0,0,LN_ID15/LN_ID18)</f>
        <v>3752.1873420724705</v>
      </c>
      <c r="E138" s="378">
        <f t="shared" si="14"/>
        <v>279.9187031521451</v>
      </c>
      <c r="F138" s="362">
        <f t="shared" si="15"/>
        <v>8.061550883896576E-2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655</v>
      </c>
      <c r="C139" s="378">
        <f>C61-C138</f>
        <v>6705.4983893582857</v>
      </c>
      <c r="D139" s="378">
        <f>LN_IB18-LN_ID19</f>
        <v>7102.4516806976526</v>
      </c>
      <c r="E139" s="378">
        <f t="shared" si="14"/>
        <v>396.95329133936684</v>
      </c>
      <c r="F139" s="362">
        <f t="shared" si="15"/>
        <v>5.9198178612545331E-2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656</v>
      </c>
      <c r="C140" s="378">
        <f>C32-C138</f>
        <v>3674.9444048446867</v>
      </c>
      <c r="D140" s="378">
        <f>LN_IA16-LN_ID19</f>
        <v>3487.8933265495807</v>
      </c>
      <c r="E140" s="378">
        <f t="shared" si="14"/>
        <v>-187.05107829510598</v>
      </c>
      <c r="F140" s="362">
        <f t="shared" si="15"/>
        <v>-5.0899022594332627E-2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633</v>
      </c>
      <c r="C141" s="353">
        <f>C140*C137</f>
        <v>9203989.4868773073</v>
      </c>
      <c r="D141" s="353">
        <f>LN_ID21*LN_ID18</f>
        <v>10177436.000565324</v>
      </c>
      <c r="E141" s="353">
        <f t="shared" si="14"/>
        <v>973446.51368801668</v>
      </c>
      <c r="F141" s="362">
        <f t="shared" si="15"/>
        <v>0.10576354037300011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657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624</v>
      </c>
      <c r="C144" s="361">
        <f>C118+C133</f>
        <v>49786738</v>
      </c>
      <c r="D144" s="361">
        <f>LN_ID1+LN_ID14</f>
        <v>71590248</v>
      </c>
      <c r="E144" s="361">
        <f>D144-C144</f>
        <v>21803510</v>
      </c>
      <c r="F144" s="362">
        <f>IF(C144=0,0,E144/C144)</f>
        <v>0.43793811114919801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625</v>
      </c>
      <c r="C145" s="361">
        <f>C119+C134</f>
        <v>16421372</v>
      </c>
      <c r="D145" s="361">
        <f>LN_1D2+LN_ID15</f>
        <v>20754012</v>
      </c>
      <c r="E145" s="361">
        <f>D145-C145</f>
        <v>4332640</v>
      </c>
      <c r="F145" s="362">
        <f>IF(C145=0,0,E145/C145)</f>
        <v>0.26384153528706372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626</v>
      </c>
      <c r="C146" s="361">
        <f>C144-C145</f>
        <v>33365366</v>
      </c>
      <c r="D146" s="361">
        <f>LN_ID23-LN_ID24</f>
        <v>50836236</v>
      </c>
      <c r="E146" s="361">
        <f>D146-C146</f>
        <v>17470870</v>
      </c>
      <c r="F146" s="362">
        <f>IF(C146=0,0,E146/C146)</f>
        <v>0.52362290885704654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635</v>
      </c>
      <c r="C148" s="361">
        <f>C127+C141</f>
        <v>10903796.670905888</v>
      </c>
      <c r="D148" s="361">
        <f>LN_ID10+LN_ID22</f>
        <v>13945401.668642029</v>
      </c>
      <c r="E148" s="361">
        <f>D148-C148</f>
        <v>3041604.9977361411</v>
      </c>
      <c r="F148" s="415">
        <f>IF(C148=0,0,E148/C148)</f>
        <v>0.27894916693117722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658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659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608</v>
      </c>
      <c r="C153" s="361">
        <v>2586617</v>
      </c>
      <c r="D153" s="361">
        <v>741619</v>
      </c>
      <c r="E153" s="361">
        <f t="shared" ref="E153:E165" si="16">D153-C153</f>
        <v>-1844998</v>
      </c>
      <c r="F153" s="362">
        <f t="shared" ref="F153:F165" si="17">IF(C153=0,0,E153/C153)</f>
        <v>-0.71328611850923429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609</v>
      </c>
      <c r="C154" s="361">
        <v>392213</v>
      </c>
      <c r="D154" s="361">
        <v>272976</v>
      </c>
      <c r="E154" s="361">
        <f t="shared" si="16"/>
        <v>-119237</v>
      </c>
      <c r="F154" s="362">
        <f t="shared" si="17"/>
        <v>-0.30401083084956387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610</v>
      </c>
      <c r="C155" s="366">
        <f>IF(C153=0,0,C154/C153)</f>
        <v>0.15163164859737641</v>
      </c>
      <c r="D155" s="366">
        <f>IF(LN_IE1=0,0,LN_IE2/LN_IE1)</f>
        <v>0.36808118454354594</v>
      </c>
      <c r="E155" s="367">
        <f t="shared" si="16"/>
        <v>0.21644953594616953</v>
      </c>
      <c r="F155" s="362">
        <f t="shared" si="17"/>
        <v>1.4274693835249552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168</v>
      </c>
      <c r="D156" s="419">
        <v>32</v>
      </c>
      <c r="E156" s="419">
        <f t="shared" si="16"/>
        <v>-136</v>
      </c>
      <c r="F156" s="362">
        <f t="shared" si="17"/>
        <v>-0.80952380952380953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611</v>
      </c>
      <c r="C157" s="372">
        <v>1.13961</v>
      </c>
      <c r="D157" s="372">
        <v>1.1315299999999999</v>
      </c>
      <c r="E157" s="373">
        <f t="shared" si="16"/>
        <v>-8.0800000000000871E-3</v>
      </c>
      <c r="F157" s="362">
        <f t="shared" si="17"/>
        <v>-7.0901448741236802E-3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612</v>
      </c>
      <c r="C158" s="376">
        <f>C156*C157</f>
        <v>191.45447999999999</v>
      </c>
      <c r="D158" s="376">
        <f>LN_IE4*LN_IE5</f>
        <v>36.208959999999998</v>
      </c>
      <c r="E158" s="376">
        <f t="shared" si="16"/>
        <v>-155.24552</v>
      </c>
      <c r="F158" s="362">
        <f t="shared" si="17"/>
        <v>-0.81087431330935689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613</v>
      </c>
      <c r="C159" s="378">
        <f>IF(C158=0,0,C154/C158)</f>
        <v>2048.5966168041614</v>
      </c>
      <c r="D159" s="378">
        <f>IF(LN_IE6=0,0,LN_IE2/LN_IE6)</f>
        <v>7538.9074969289377</v>
      </c>
      <c r="E159" s="378">
        <f t="shared" si="16"/>
        <v>5490.3108801247763</v>
      </c>
      <c r="F159" s="362">
        <f t="shared" si="17"/>
        <v>2.680035120183756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660</v>
      </c>
      <c r="C160" s="378">
        <f>C48-C159</f>
        <v>7605.8078460819743</v>
      </c>
      <c r="D160" s="378">
        <f>LN_IB7-LN_IE7</f>
        <v>3011.2302369008339</v>
      </c>
      <c r="E160" s="378">
        <f t="shared" si="16"/>
        <v>-4594.5776091811404</v>
      </c>
      <c r="F160" s="362">
        <f t="shared" si="17"/>
        <v>-0.60408804720828868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661</v>
      </c>
      <c r="C161" s="378">
        <f>C21-C159</f>
        <v>4625.3500496733277</v>
      </c>
      <c r="D161" s="378">
        <f>LN_IA7-LN_IE7</f>
        <v>-384.14088412816</v>
      </c>
      <c r="E161" s="378">
        <f t="shared" si="16"/>
        <v>-5009.4909338014877</v>
      </c>
      <c r="F161" s="362">
        <f t="shared" si="17"/>
        <v>-1.0830512026122845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630</v>
      </c>
      <c r="C162" s="391">
        <f>C161*C158</f>
        <v>885543.98857818113</v>
      </c>
      <c r="D162" s="391">
        <f>LN_IE9*LN_IE6</f>
        <v>-13909.34190776118</v>
      </c>
      <c r="E162" s="391">
        <f t="shared" si="16"/>
        <v>-899453.33048594231</v>
      </c>
      <c r="F162" s="362">
        <f t="shared" si="17"/>
        <v>-1.0157071157245321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849</v>
      </c>
      <c r="D163" s="369">
        <v>242</v>
      </c>
      <c r="E163" s="419">
        <f t="shared" si="16"/>
        <v>-607</v>
      </c>
      <c r="F163" s="362">
        <f t="shared" si="17"/>
        <v>-0.71495877502944638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614</v>
      </c>
      <c r="C164" s="378">
        <f>IF(C163=0,0,C154/C163)</f>
        <v>461.97055359246173</v>
      </c>
      <c r="D164" s="378">
        <f>IF(LN_IE11=0,0,LN_IE2/LN_IE11)</f>
        <v>1128</v>
      </c>
      <c r="E164" s="378">
        <f t="shared" si="16"/>
        <v>666.02944640753822</v>
      </c>
      <c r="F164" s="362">
        <f t="shared" si="17"/>
        <v>1.4417140686310752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615</v>
      </c>
      <c r="C165" s="379">
        <f>IF(C156=0,0,C163/C156)</f>
        <v>5.0535714285714288</v>
      </c>
      <c r="D165" s="379">
        <f>IF(LN_IE4=0,0,LN_IE11/LN_IE4)</f>
        <v>7.5625</v>
      </c>
      <c r="E165" s="379">
        <f t="shared" si="16"/>
        <v>2.5089285714285712</v>
      </c>
      <c r="F165" s="362">
        <f t="shared" si="17"/>
        <v>0.49646643109540628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662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617</v>
      </c>
      <c r="C168" s="424">
        <v>4783917</v>
      </c>
      <c r="D168" s="424">
        <v>965547</v>
      </c>
      <c r="E168" s="424">
        <f t="shared" ref="E168:E176" si="18">D168-C168</f>
        <v>-3818370</v>
      </c>
      <c r="F168" s="362">
        <f t="shared" ref="F168:F176" si="19">IF(C168=0,0,E168/C168)</f>
        <v>-0.79816811203037175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618</v>
      </c>
      <c r="C169" s="424">
        <v>370710</v>
      </c>
      <c r="D169" s="424">
        <v>246214</v>
      </c>
      <c r="E169" s="424">
        <f t="shared" si="18"/>
        <v>-124496</v>
      </c>
      <c r="F169" s="362">
        <f t="shared" si="19"/>
        <v>-0.33583124275039788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619</v>
      </c>
      <c r="C170" s="366">
        <f>IF(C168=0,0,C169/C168)</f>
        <v>7.7490892923100463E-2</v>
      </c>
      <c r="D170" s="366">
        <f>IF(LN_IE14=0,0,LN_IE15/LN_IE14)</f>
        <v>0.25499949769405322</v>
      </c>
      <c r="E170" s="367">
        <f t="shared" si="18"/>
        <v>0.17750860477095276</v>
      </c>
      <c r="F170" s="362">
        <f t="shared" si="19"/>
        <v>2.2907027919668796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620</v>
      </c>
      <c r="C171" s="366">
        <f>IF(C153=0,0,C168/C153)</f>
        <v>1.849487960529139</v>
      </c>
      <c r="D171" s="366">
        <f>IF(LN_IE1=0,0,LN_IE14/LN_IE1)</f>
        <v>1.3019447991488891</v>
      </c>
      <c r="E171" s="367">
        <f t="shared" si="18"/>
        <v>-0.54754316138024994</v>
      </c>
      <c r="F171" s="362">
        <f t="shared" si="19"/>
        <v>-0.29605121691281389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621</v>
      </c>
      <c r="C172" s="376">
        <f>C171*C156</f>
        <v>310.71397736889537</v>
      </c>
      <c r="D172" s="376">
        <f>LN_IE17*LN_IE4</f>
        <v>41.66223357276445</v>
      </c>
      <c r="E172" s="376">
        <f t="shared" si="18"/>
        <v>-269.05174379613095</v>
      </c>
      <c r="F172" s="362">
        <f t="shared" si="19"/>
        <v>-0.86591451750720272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622</v>
      </c>
      <c r="C173" s="378">
        <f>IF(C172=0,0,C169/C172)</f>
        <v>1193.0908391670914</v>
      </c>
      <c r="D173" s="378">
        <f>IF(LN_IE18=0,0,LN_IE15/LN_IE18)</f>
        <v>5909.7647650114395</v>
      </c>
      <c r="E173" s="378">
        <f t="shared" si="18"/>
        <v>4716.6739258443486</v>
      </c>
      <c r="F173" s="362">
        <f t="shared" si="19"/>
        <v>3.9533233941659511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663</v>
      </c>
      <c r="C174" s="378">
        <f>C61-C173</f>
        <v>8984.6761891115202</v>
      </c>
      <c r="D174" s="378">
        <f>LN_IB18-LN_IE19</f>
        <v>4944.8742577586836</v>
      </c>
      <c r="E174" s="378">
        <f t="shared" si="18"/>
        <v>-4039.8019313528366</v>
      </c>
      <c r="F174" s="362">
        <f t="shared" si="19"/>
        <v>-0.44963244599161517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664</v>
      </c>
      <c r="C175" s="378">
        <f>C32-C173</f>
        <v>5954.1222045979212</v>
      </c>
      <c r="D175" s="378">
        <f>LN_IA16-LN_IE19</f>
        <v>1330.3159036106117</v>
      </c>
      <c r="E175" s="378">
        <f t="shared" si="18"/>
        <v>-4623.8063009873094</v>
      </c>
      <c r="F175" s="362">
        <f t="shared" si="19"/>
        <v>-0.77657228758534569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633</v>
      </c>
      <c r="C176" s="353">
        <f>C175*C172</f>
        <v>1850028.9919310759</v>
      </c>
      <c r="D176" s="353">
        <f>LN_IE21*LN_IE18</f>
        <v>55423.931901788506</v>
      </c>
      <c r="E176" s="353">
        <f t="shared" si="18"/>
        <v>-1794605.0600292874</v>
      </c>
      <c r="F176" s="362">
        <f t="shared" si="19"/>
        <v>-0.97004158737861912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665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624</v>
      </c>
      <c r="C179" s="361">
        <f>C153+C168</f>
        <v>7370534</v>
      </c>
      <c r="D179" s="361">
        <f>LN_IE1+LN_IE14</f>
        <v>1707166</v>
      </c>
      <c r="E179" s="361">
        <f>D179-C179</f>
        <v>-5663368</v>
      </c>
      <c r="F179" s="362">
        <f>IF(C179=0,0,E179/C179)</f>
        <v>-0.76837960451712184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625</v>
      </c>
      <c r="C180" s="361">
        <f>C154+C169</f>
        <v>762923</v>
      </c>
      <c r="D180" s="361">
        <f>LN_IE15+LN_IE2</f>
        <v>519190</v>
      </c>
      <c r="E180" s="361">
        <f>D180-C180</f>
        <v>-243733</v>
      </c>
      <c r="F180" s="362">
        <f>IF(C180=0,0,E180/C180)</f>
        <v>-0.31947260732734495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626</v>
      </c>
      <c r="C181" s="361">
        <f>C179-C180</f>
        <v>6607611</v>
      </c>
      <c r="D181" s="361">
        <f>LN_IE23-LN_IE24</f>
        <v>1187976</v>
      </c>
      <c r="E181" s="361">
        <f>D181-C181</f>
        <v>-5419635</v>
      </c>
      <c r="F181" s="362">
        <f>IF(C181=0,0,E181/C181)</f>
        <v>-0.8202109658089739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666</v>
      </c>
      <c r="C183" s="361">
        <f>C162+C176</f>
        <v>2735572.9805092569</v>
      </c>
      <c r="D183" s="361">
        <f>LN_IE10+LN_IE22</f>
        <v>41514.589994027323</v>
      </c>
      <c r="E183" s="353">
        <f>D183-C183</f>
        <v>-2694058.3905152297</v>
      </c>
      <c r="F183" s="362">
        <f>IF(C183=0,0,E183/C183)</f>
        <v>-0.98482417018671575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667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668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608</v>
      </c>
      <c r="C188" s="361">
        <f>C118+C153</f>
        <v>23003106</v>
      </c>
      <c r="D188" s="361">
        <f>LN_ID1+LN_IE1</f>
        <v>30751790</v>
      </c>
      <c r="E188" s="361">
        <f t="shared" ref="E188:E200" si="20">D188-C188</f>
        <v>7748684</v>
      </c>
      <c r="F188" s="362">
        <f t="shared" ref="F188:F200" si="21">IF(C188=0,0,E188/C188)</f>
        <v>0.33685381443705908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609</v>
      </c>
      <c r="C189" s="361">
        <f>C119+C154</f>
        <v>8117202</v>
      </c>
      <c r="D189" s="361">
        <f>LN_1D2+LN_IE2</f>
        <v>10078360</v>
      </c>
      <c r="E189" s="361">
        <f t="shared" si="20"/>
        <v>1961158</v>
      </c>
      <c r="F189" s="362">
        <f t="shared" si="21"/>
        <v>0.24160517380249993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610</v>
      </c>
      <c r="C190" s="366">
        <f>IF(C188=0,0,C189/C188)</f>
        <v>0.35287417273128246</v>
      </c>
      <c r="D190" s="366">
        <f>IF(LN_IF1=0,0,LN_IF2/LN_IF1)</f>
        <v>0.32773246695558211</v>
      </c>
      <c r="E190" s="367">
        <f t="shared" si="20"/>
        <v>-2.5141705775700351E-2</v>
      </c>
      <c r="F190" s="362">
        <f t="shared" si="21"/>
        <v>-7.1248359099508357E-2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1909</v>
      </c>
      <c r="D191" s="369">
        <f>LN_ID4+LN_IE4</f>
        <v>2138</v>
      </c>
      <c r="E191" s="369">
        <f t="shared" si="20"/>
        <v>229</v>
      </c>
      <c r="F191" s="362">
        <f t="shared" si="21"/>
        <v>0.11995809324253535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611</v>
      </c>
      <c r="C192" s="372">
        <f>IF((C121+C156)=0,0,(C123+C158)/(C121+C156))</f>
        <v>0.84003761655316911</v>
      </c>
      <c r="D192" s="372">
        <f>IF((LN_ID4+LN_IE4)=0,0,(LN_ID6+LN_IE6)/(LN_ID4+LN_IE4))</f>
        <v>0.90426324602432173</v>
      </c>
      <c r="E192" s="373">
        <f t="shared" si="20"/>
        <v>6.4225629471152623E-2</v>
      </c>
      <c r="F192" s="362">
        <f t="shared" si="21"/>
        <v>7.6455658896184137E-2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612</v>
      </c>
      <c r="C193" s="376">
        <f>C123+C158</f>
        <v>1603.6318099999999</v>
      </c>
      <c r="D193" s="376">
        <f>LN_IF4*LN_IF5</f>
        <v>1933.3148199999998</v>
      </c>
      <c r="E193" s="376">
        <f t="shared" si="20"/>
        <v>329.68300999999997</v>
      </c>
      <c r="F193" s="362">
        <f t="shared" si="21"/>
        <v>0.20558522719750738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613</v>
      </c>
      <c r="C194" s="378">
        <f>IF(C193=0,0,C189/C193)</f>
        <v>5061.7616521338532</v>
      </c>
      <c r="D194" s="378">
        <f>IF(LN_IF6=0,0,LN_IF2/LN_IF6)</f>
        <v>5212.9947465048663</v>
      </c>
      <c r="E194" s="378">
        <f t="shared" si="20"/>
        <v>151.23309437101307</v>
      </c>
      <c r="F194" s="362">
        <f t="shared" si="21"/>
        <v>2.9877561363889731E-2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669</v>
      </c>
      <c r="C195" s="378">
        <f>C48-C194</f>
        <v>4592.6428107522825</v>
      </c>
      <c r="D195" s="378">
        <f>LN_IB7-LN_IF7</f>
        <v>5337.1429873249053</v>
      </c>
      <c r="E195" s="378">
        <f t="shared" si="20"/>
        <v>744.50017657262288</v>
      </c>
      <c r="F195" s="362">
        <f t="shared" si="21"/>
        <v>0.16210713683842365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670</v>
      </c>
      <c r="C196" s="378">
        <f>C21-C194</f>
        <v>1612.1850143436359</v>
      </c>
      <c r="D196" s="378">
        <f>LN_IA7-LN_IF7</f>
        <v>1941.7718662959114</v>
      </c>
      <c r="E196" s="378">
        <f t="shared" si="20"/>
        <v>329.58685195227554</v>
      </c>
      <c r="F196" s="362">
        <f t="shared" si="21"/>
        <v>0.20443488124497874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630</v>
      </c>
      <c r="C197" s="391">
        <f>C127+C162</f>
        <v>2585351.172606762</v>
      </c>
      <c r="D197" s="391">
        <f>LN_IF9*LN_IF6</f>
        <v>3754056.3261689437</v>
      </c>
      <c r="E197" s="391">
        <f t="shared" si="20"/>
        <v>1168705.1535621816</v>
      </c>
      <c r="F197" s="362">
        <f t="shared" si="21"/>
        <v>0.45204889995032965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7050</v>
      </c>
      <c r="D198" s="369">
        <f>LN_ID11+LN_IE11</f>
        <v>8064</v>
      </c>
      <c r="E198" s="369">
        <f t="shared" si="20"/>
        <v>1014</v>
      </c>
      <c r="F198" s="362">
        <f t="shared" si="21"/>
        <v>0.14382978723404255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614</v>
      </c>
      <c r="C199" s="432">
        <f>IF(C198=0,0,C189/C198)</f>
        <v>1151.3761702127661</v>
      </c>
      <c r="D199" s="432">
        <f>IF(LN_IF11=0,0,LN_IF2/LN_IF11)</f>
        <v>1249.796626984127</v>
      </c>
      <c r="E199" s="432">
        <f t="shared" si="20"/>
        <v>98.420456771360932</v>
      </c>
      <c r="F199" s="362">
        <f t="shared" si="21"/>
        <v>8.5480713703822389E-2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615</v>
      </c>
      <c r="C200" s="379">
        <f>IF(C191=0,0,C198/C191)</f>
        <v>3.6930330015715036</v>
      </c>
      <c r="D200" s="379">
        <f>IF(LN_IF4=0,0,LN_IF11/LN_IF4)</f>
        <v>3.7717492984097287</v>
      </c>
      <c r="E200" s="379">
        <f t="shared" si="20"/>
        <v>7.8716296838225119E-2</v>
      </c>
      <c r="F200" s="362">
        <f t="shared" si="21"/>
        <v>2.1314810023286772E-2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671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617</v>
      </c>
      <c r="C203" s="361">
        <f>C133+C168</f>
        <v>34154166</v>
      </c>
      <c r="D203" s="361">
        <f>LN_ID14+LN_IE14</f>
        <v>42545624</v>
      </c>
      <c r="E203" s="361">
        <f t="shared" ref="E203:E211" si="22">D203-C203</f>
        <v>8391458</v>
      </c>
      <c r="F203" s="362">
        <f t="shared" ref="F203:F211" si="23">IF(C203=0,0,E203/C203)</f>
        <v>0.24569354145552844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618</v>
      </c>
      <c r="C204" s="361">
        <f>C134+C169</f>
        <v>9067093</v>
      </c>
      <c r="D204" s="361">
        <f>LN_ID15+LN_IE15</f>
        <v>11194842</v>
      </c>
      <c r="E204" s="361">
        <f t="shared" si="22"/>
        <v>2127749</v>
      </c>
      <c r="F204" s="362">
        <f t="shared" si="23"/>
        <v>0.23466716399622239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619</v>
      </c>
      <c r="C205" s="366">
        <f>IF(C203=0,0,C204/C203)</f>
        <v>0.26547546205637113</v>
      </c>
      <c r="D205" s="366">
        <f>IF(LN_IF14=0,0,LN_IF15/LN_IF14)</f>
        <v>0.26312558020068055</v>
      </c>
      <c r="E205" s="367">
        <f t="shared" si="22"/>
        <v>-2.3498818556905721E-3</v>
      </c>
      <c r="F205" s="362">
        <f t="shared" si="23"/>
        <v>-8.8515971965484243E-3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620</v>
      </c>
      <c r="C206" s="366">
        <f>IF(C188=0,0,C203/C188)</f>
        <v>1.4847632315392538</v>
      </c>
      <c r="D206" s="366">
        <f>IF(LN_IF1=0,0,LN_IF14/LN_IF1)</f>
        <v>1.3835169920190011</v>
      </c>
      <c r="E206" s="367">
        <f t="shared" si="22"/>
        <v>-0.10124623952025269</v>
      </c>
      <c r="F206" s="362">
        <f t="shared" si="23"/>
        <v>-6.8190158113823118E-2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621</v>
      </c>
      <c r="C207" s="376">
        <f>C137+C172</f>
        <v>2815.2388008583798</v>
      </c>
      <c r="D207" s="376">
        <f>LN_ID18+LN_IE18</f>
        <v>2959.5943627165802</v>
      </c>
      <c r="E207" s="376">
        <f t="shared" si="22"/>
        <v>144.35556185820042</v>
      </c>
      <c r="F207" s="362">
        <f t="shared" si="23"/>
        <v>5.1276489161127543E-2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622</v>
      </c>
      <c r="C208" s="378">
        <f>IF(C207=0,0,C204/C207)</f>
        <v>3220.7189660910472</v>
      </c>
      <c r="D208" s="378">
        <f>IF(LN_IF18=0,0,LN_IF15/LN_IF18)</f>
        <v>3782.5595767537457</v>
      </c>
      <c r="E208" s="378">
        <f t="shared" si="22"/>
        <v>561.84061066269851</v>
      </c>
      <c r="F208" s="362">
        <f t="shared" si="23"/>
        <v>0.17444571121478461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672</v>
      </c>
      <c r="C209" s="378">
        <f>C61-C208</f>
        <v>6957.048062187564</v>
      </c>
      <c r="D209" s="378">
        <f>LN_IB18-LN_IF19</f>
        <v>7072.0794460163779</v>
      </c>
      <c r="E209" s="378">
        <f t="shared" si="22"/>
        <v>115.03138382881389</v>
      </c>
      <c r="F209" s="362">
        <f t="shared" si="23"/>
        <v>1.6534510441867437E-2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673</v>
      </c>
      <c r="C210" s="378">
        <f>C32-C208</f>
        <v>3926.494077673965</v>
      </c>
      <c r="D210" s="378">
        <f>LN_IA16-LN_IF19</f>
        <v>3457.5210918683056</v>
      </c>
      <c r="E210" s="378">
        <f t="shared" si="22"/>
        <v>-468.97298580565939</v>
      </c>
      <c r="F210" s="362">
        <f t="shared" si="23"/>
        <v>-0.11943809834636923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633</v>
      </c>
      <c r="C211" s="391">
        <f>C141+C176</f>
        <v>11054018.478808383</v>
      </c>
      <c r="D211" s="353">
        <f>LN_IF21*LN_IF18</f>
        <v>10232859.932467112</v>
      </c>
      <c r="E211" s="353">
        <f t="shared" si="22"/>
        <v>-821158.54634127021</v>
      </c>
      <c r="F211" s="362">
        <f t="shared" si="23"/>
        <v>-7.4285975540524934E-2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674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624</v>
      </c>
      <c r="C214" s="361">
        <f>C188+C203</f>
        <v>57157272</v>
      </c>
      <c r="D214" s="361">
        <f>LN_IF1+LN_IF14</f>
        <v>73297414</v>
      </c>
      <c r="E214" s="361">
        <f>D214-C214</f>
        <v>16140142</v>
      </c>
      <c r="F214" s="362">
        <f>IF(C214=0,0,E214/C214)</f>
        <v>0.2823812515054952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625</v>
      </c>
      <c r="C215" s="361">
        <f>C189+C204</f>
        <v>17184295</v>
      </c>
      <c r="D215" s="361">
        <f>LN_IF2+LN_IF15</f>
        <v>21273202</v>
      </c>
      <c r="E215" s="361">
        <f>D215-C215</f>
        <v>4088907</v>
      </c>
      <c r="F215" s="362">
        <f>IF(C215=0,0,E215/C215)</f>
        <v>0.23794441378014053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626</v>
      </c>
      <c r="C216" s="361">
        <f>C214-C215</f>
        <v>39972977</v>
      </c>
      <c r="D216" s="361">
        <f>LN_IF23-LN_IF24</f>
        <v>52024212</v>
      </c>
      <c r="E216" s="361">
        <f>D216-C216</f>
        <v>12051235</v>
      </c>
      <c r="F216" s="362">
        <f>IF(C216=0,0,E216/C216)</f>
        <v>0.30148455042515349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675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676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608</v>
      </c>
      <c r="C221" s="361">
        <v>251124</v>
      </c>
      <c r="D221" s="361">
        <v>220664</v>
      </c>
      <c r="E221" s="361">
        <f t="shared" ref="E221:E230" si="24">D221-C221</f>
        <v>-30460</v>
      </c>
      <c r="F221" s="362">
        <f t="shared" ref="F221:F230" si="25">IF(C221=0,0,E221/C221)</f>
        <v>-0.12129465921218203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609</v>
      </c>
      <c r="C222" s="361">
        <v>103021</v>
      </c>
      <c r="D222" s="361">
        <v>82451</v>
      </c>
      <c r="E222" s="361">
        <f t="shared" si="24"/>
        <v>-20570</v>
      </c>
      <c r="F222" s="362">
        <f t="shared" si="25"/>
        <v>-0.19966802884848719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610</v>
      </c>
      <c r="C223" s="366">
        <f>IF(C221=0,0,C222/C221)</f>
        <v>0.41023956292508879</v>
      </c>
      <c r="D223" s="366">
        <f>IF(LN_IG1=0,0,LN_IG2/LN_IG1)</f>
        <v>0.37364953050792155</v>
      </c>
      <c r="E223" s="367">
        <f t="shared" si="24"/>
        <v>-3.659003241716724E-2</v>
      </c>
      <c r="F223" s="362">
        <f t="shared" si="25"/>
        <v>-8.9191866713861312E-2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20</v>
      </c>
      <c r="D224" s="369">
        <v>19</v>
      </c>
      <c r="E224" s="369">
        <f t="shared" si="24"/>
        <v>-1</v>
      </c>
      <c r="F224" s="362">
        <f t="shared" si="25"/>
        <v>-0.05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611</v>
      </c>
      <c r="C225" s="372">
        <v>1.12174</v>
      </c>
      <c r="D225" s="372">
        <v>0.91139000000000003</v>
      </c>
      <c r="E225" s="373">
        <f t="shared" si="24"/>
        <v>-0.21034999999999993</v>
      </c>
      <c r="F225" s="362">
        <f t="shared" si="25"/>
        <v>-0.18752117246420733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612</v>
      </c>
      <c r="C226" s="376">
        <f>C224*C225</f>
        <v>22.434799999999999</v>
      </c>
      <c r="D226" s="376">
        <f>LN_IG3*LN_IG4</f>
        <v>17.316410000000001</v>
      </c>
      <c r="E226" s="376">
        <f t="shared" si="24"/>
        <v>-5.118389999999998</v>
      </c>
      <c r="F226" s="362">
        <f t="shared" si="25"/>
        <v>-0.22814511384099695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613</v>
      </c>
      <c r="C227" s="378">
        <f>IF(C226=0,0,C222/C226)</f>
        <v>4592.0177581257694</v>
      </c>
      <c r="D227" s="378">
        <f>IF(LN_IG5=0,0,LN_IG2/LN_IG5)</f>
        <v>4761.4372725062522</v>
      </c>
      <c r="E227" s="378">
        <f t="shared" si="24"/>
        <v>169.41951438048272</v>
      </c>
      <c r="F227" s="362">
        <f t="shared" si="25"/>
        <v>3.6894350872377996E-2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58</v>
      </c>
      <c r="D228" s="369">
        <v>58</v>
      </c>
      <c r="E228" s="369">
        <f t="shared" si="24"/>
        <v>0</v>
      </c>
      <c r="F228" s="362">
        <f t="shared" si="25"/>
        <v>0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614</v>
      </c>
      <c r="C229" s="378">
        <f>IF(C228=0,0,C222/C228)</f>
        <v>1776.2241379310344</v>
      </c>
      <c r="D229" s="378">
        <f>IF(LN_IG6=0,0,LN_IG2/LN_IG6)</f>
        <v>1421.5689655172414</v>
      </c>
      <c r="E229" s="378">
        <f t="shared" si="24"/>
        <v>-354.65517241379303</v>
      </c>
      <c r="F229" s="362">
        <f t="shared" si="25"/>
        <v>-0.19966802884848717</v>
      </c>
      <c r="Q229" s="330"/>
      <c r="U229" s="375"/>
    </row>
    <row r="230" spans="1:21" ht="11.25" customHeight="1" x14ac:dyDescent="0.2">
      <c r="A230" s="364">
        <v>10</v>
      </c>
      <c r="B230" s="360" t="s">
        <v>615</v>
      </c>
      <c r="C230" s="379">
        <f>IF(C224=0,0,C228/C224)</f>
        <v>2.9</v>
      </c>
      <c r="D230" s="379">
        <f>IF(LN_IG3=0,0,LN_IG6/LN_IG3)</f>
        <v>3.0526315789473686</v>
      </c>
      <c r="E230" s="379">
        <f t="shared" si="24"/>
        <v>0.15263157894736867</v>
      </c>
      <c r="F230" s="362">
        <f t="shared" si="25"/>
        <v>5.2631578947368508E-2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677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617</v>
      </c>
      <c r="C233" s="361">
        <v>409664</v>
      </c>
      <c r="D233" s="361">
        <v>543893</v>
      </c>
      <c r="E233" s="361">
        <f>D233-C233</f>
        <v>134229</v>
      </c>
      <c r="F233" s="362">
        <f>IF(C233=0,0,E233/C233)</f>
        <v>0.32765632323074517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618</v>
      </c>
      <c r="C234" s="361">
        <v>168060</v>
      </c>
      <c r="D234" s="361">
        <v>203226</v>
      </c>
      <c r="E234" s="361">
        <f>D234-C234</f>
        <v>35166</v>
      </c>
      <c r="F234" s="362">
        <f>IF(C234=0,0,E234/C234)</f>
        <v>0.20924669760799713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678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624</v>
      </c>
      <c r="C237" s="361">
        <f>C221+C233</f>
        <v>660788</v>
      </c>
      <c r="D237" s="361">
        <f>LN_IG1+LN_IG9</f>
        <v>764557</v>
      </c>
      <c r="E237" s="361">
        <f>D237-C237</f>
        <v>103769</v>
      </c>
      <c r="F237" s="362">
        <f>IF(C237=0,0,E237/C237)</f>
        <v>0.15703826340672047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625</v>
      </c>
      <c r="C238" s="361">
        <f>C222+C234</f>
        <v>271081</v>
      </c>
      <c r="D238" s="361">
        <f>LN_IG2+LN_IG10</f>
        <v>285677</v>
      </c>
      <c r="E238" s="361">
        <f>D238-C238</f>
        <v>14596</v>
      </c>
      <c r="F238" s="362">
        <f>IF(C238=0,0,E238/C238)</f>
        <v>5.3843685097812094E-2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626</v>
      </c>
      <c r="C239" s="361">
        <f>C237-C238</f>
        <v>389707</v>
      </c>
      <c r="D239" s="361">
        <f>LN_IG13-LN_IG14</f>
        <v>478880</v>
      </c>
      <c r="E239" s="361">
        <f>D239-C239</f>
        <v>89173</v>
      </c>
      <c r="F239" s="362">
        <f>IF(C239=0,0,E239/C239)</f>
        <v>0.22882062677857981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679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680</v>
      </c>
      <c r="C243" s="361">
        <v>18695433</v>
      </c>
      <c r="D243" s="361">
        <v>14584411</v>
      </c>
      <c r="E243" s="353">
        <f>D243-C243</f>
        <v>-4111022</v>
      </c>
      <c r="F243" s="415">
        <f>IF(C243=0,0,E243/C243)</f>
        <v>-0.219894452297521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681</v>
      </c>
      <c r="C244" s="361">
        <v>190181772</v>
      </c>
      <c r="D244" s="361">
        <v>203675287</v>
      </c>
      <c r="E244" s="353">
        <f>D244-C244</f>
        <v>13493515</v>
      </c>
      <c r="F244" s="415">
        <f>IF(C244=0,0,E244/C244)</f>
        <v>7.0950621913439732E-2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682</v>
      </c>
      <c r="C245" s="400">
        <v>1215043</v>
      </c>
      <c r="D245" s="400">
        <v>0</v>
      </c>
      <c r="E245" s="400">
        <f>D245-C245</f>
        <v>-1215043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683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684</v>
      </c>
      <c r="C248" s="353">
        <v>3637983</v>
      </c>
      <c r="D248" s="353">
        <v>3025038</v>
      </c>
      <c r="E248" s="353">
        <f>D248-C248</f>
        <v>-612945</v>
      </c>
      <c r="F248" s="362">
        <f>IF(C248=0,0,E248/C248)</f>
        <v>-0.16848484448662898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685</v>
      </c>
      <c r="C249" s="353">
        <v>10465542</v>
      </c>
      <c r="D249" s="353">
        <v>7875420</v>
      </c>
      <c r="E249" s="353">
        <f>D249-C249</f>
        <v>-2590122</v>
      </c>
      <c r="F249" s="362">
        <f>IF(C249=0,0,E249/C249)</f>
        <v>-0.24749047875399097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686</v>
      </c>
      <c r="C250" s="353">
        <f>C248+C249</f>
        <v>14103525</v>
      </c>
      <c r="D250" s="353">
        <f>LN_IH4+LN_IH5</f>
        <v>10900458</v>
      </c>
      <c r="E250" s="353">
        <f>D250-C250</f>
        <v>-3203067</v>
      </c>
      <c r="F250" s="362">
        <f>IF(C250=0,0,E250/C250)</f>
        <v>-0.22711109456678383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687</v>
      </c>
      <c r="C251" s="353">
        <f>C250*C313</f>
        <v>6632340.7258260716</v>
      </c>
      <c r="D251" s="353">
        <f>LN_IH6*LN_III10</f>
        <v>4976298.2261293456</v>
      </c>
      <c r="E251" s="353">
        <f>D251-C251</f>
        <v>-1656042.499696726</v>
      </c>
      <c r="F251" s="362">
        <f>IF(C251=0,0,E251/C251)</f>
        <v>-0.24969201193903717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688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624</v>
      </c>
      <c r="C254" s="353">
        <f>C188+C203</f>
        <v>57157272</v>
      </c>
      <c r="D254" s="353">
        <f>LN_IF23</f>
        <v>73297414</v>
      </c>
      <c r="E254" s="353">
        <f>D254-C254</f>
        <v>16140142</v>
      </c>
      <c r="F254" s="362">
        <f>IF(C254=0,0,E254/C254)</f>
        <v>0.2823812515054952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625</v>
      </c>
      <c r="C255" s="353">
        <f>C189+C204</f>
        <v>17184295</v>
      </c>
      <c r="D255" s="353">
        <f>LN_IF24</f>
        <v>21273202</v>
      </c>
      <c r="E255" s="353">
        <f>D255-C255</f>
        <v>4088907</v>
      </c>
      <c r="F255" s="362">
        <f>IF(C255=0,0,E255/C255)</f>
        <v>0.23794441378014053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689</v>
      </c>
      <c r="C256" s="353">
        <f>C254*C313</f>
        <v>26878847.866949446</v>
      </c>
      <c r="D256" s="353">
        <f>LN_IH8*LN_III10</f>
        <v>33461877.589736897</v>
      </c>
      <c r="E256" s="353">
        <f>D256-C256</f>
        <v>6583029.722787451</v>
      </c>
      <c r="F256" s="362">
        <f>IF(C256=0,0,E256/C256)</f>
        <v>0.24491487713214163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690</v>
      </c>
      <c r="C257" s="353">
        <f>C256-C255</f>
        <v>9694552.8669494465</v>
      </c>
      <c r="D257" s="353">
        <f>LN_IH10-LN_IH9</f>
        <v>12188675.589736897</v>
      </c>
      <c r="E257" s="353">
        <f>D257-C257</f>
        <v>2494122.722787451</v>
      </c>
      <c r="F257" s="362">
        <f>IF(C257=0,0,E257/C257)</f>
        <v>0.25727052676048467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691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692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693</v>
      </c>
      <c r="C261" s="361">
        <f>C15+C42+C188+C221</f>
        <v>181180626</v>
      </c>
      <c r="D261" s="361">
        <f>LN_IA1+LN_IB1+LN_IF1+LN_IG1</f>
        <v>204208669</v>
      </c>
      <c r="E261" s="361">
        <f t="shared" ref="E261:E274" si="26">D261-C261</f>
        <v>23028043</v>
      </c>
      <c r="F261" s="415">
        <f t="shared" ref="F261:F274" si="27">IF(C261=0,0,E261/C261)</f>
        <v>0.12709991961281777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694</v>
      </c>
      <c r="C262" s="361">
        <f>C16+C43+C189+C222</f>
        <v>84814431</v>
      </c>
      <c r="D262" s="361">
        <f>+LN_IA2+LN_IB2+LN_IF2+LN_IG2</f>
        <v>94064460</v>
      </c>
      <c r="E262" s="361">
        <f t="shared" si="26"/>
        <v>9250029</v>
      </c>
      <c r="F262" s="415">
        <f t="shared" si="27"/>
        <v>0.10906197083371343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695</v>
      </c>
      <c r="C263" s="366">
        <f>IF(C261=0,0,C262/C261)</f>
        <v>0.46812086298896</v>
      </c>
      <c r="D263" s="366">
        <f>IF(LN_IIA1=0,0,LN_IIA2/LN_IIA1)</f>
        <v>0.46062912245904702</v>
      </c>
      <c r="E263" s="367">
        <f t="shared" si="26"/>
        <v>-7.4917405299129713E-3</v>
      </c>
      <c r="F263" s="371">
        <f t="shared" si="27"/>
        <v>-1.6003859520547909E-2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696</v>
      </c>
      <c r="C264" s="369">
        <f>C18+C45+C191+C224</f>
        <v>9818</v>
      </c>
      <c r="D264" s="369">
        <f>LN_IA4+LN_IB4+LN_IF4+LN_IG3</f>
        <v>10235</v>
      </c>
      <c r="E264" s="369">
        <f t="shared" si="26"/>
        <v>417</v>
      </c>
      <c r="F264" s="415">
        <f t="shared" si="27"/>
        <v>4.247300875942147E-2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697</v>
      </c>
      <c r="C265" s="439">
        <f>IF(C264=0,0,C266/C264)</f>
        <v>1.1806343389692402</v>
      </c>
      <c r="D265" s="439">
        <f>IF(LN_IIA4=0,0,LN_IIA6/LN_IIA4)</f>
        <v>1.1811031626770883</v>
      </c>
      <c r="E265" s="439">
        <f t="shared" si="26"/>
        <v>4.6882370784806504E-4</v>
      </c>
      <c r="F265" s="415">
        <f t="shared" si="27"/>
        <v>3.9709475861711288E-4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698</v>
      </c>
      <c r="C266" s="376">
        <f>C20+C47+C193+C226</f>
        <v>11591.46794</v>
      </c>
      <c r="D266" s="376">
        <f>LN_IA6+LN_IB6+LN_IF6+LN_IG5</f>
        <v>12088.590869999998</v>
      </c>
      <c r="E266" s="376">
        <f t="shared" si="26"/>
        <v>497.12292999999772</v>
      </c>
      <c r="F266" s="415">
        <f t="shared" si="27"/>
        <v>4.2886969327199612E-2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699</v>
      </c>
      <c r="C267" s="361">
        <f>C27+C56+C203+C233</f>
        <v>193690236</v>
      </c>
      <c r="D267" s="361">
        <f>LN_IA11+LN_IB13+LN_IF14+LN_IG9</f>
        <v>219207273</v>
      </c>
      <c r="E267" s="361">
        <f t="shared" si="26"/>
        <v>25517037</v>
      </c>
      <c r="F267" s="415">
        <f t="shared" si="27"/>
        <v>0.13174147301880515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620</v>
      </c>
      <c r="C268" s="366">
        <f>IF(C261=0,0,C267/C261)</f>
        <v>1.0690449651057061</v>
      </c>
      <c r="D268" s="366">
        <f>IF(LN_IIA1=0,0,LN_IIA7/LN_IIA1)</f>
        <v>1.0734474401769887</v>
      </c>
      <c r="E268" s="367">
        <f t="shared" si="26"/>
        <v>4.4024750712825522E-3</v>
      </c>
      <c r="F268" s="371">
        <f t="shared" si="27"/>
        <v>4.1181383524380001E-3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700</v>
      </c>
      <c r="C269" s="361">
        <f>C28+C57+C204+C234</f>
        <v>90257755</v>
      </c>
      <c r="D269" s="361">
        <f>LN_IA12+LN_IB14+LN_IF15+LN_IG10</f>
        <v>99234207</v>
      </c>
      <c r="E269" s="361">
        <f t="shared" si="26"/>
        <v>8976452</v>
      </c>
      <c r="F269" s="415">
        <f t="shared" si="27"/>
        <v>9.945352618176688E-2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619</v>
      </c>
      <c r="C270" s="366">
        <f>IF(C267=0,0,C269/C267)</f>
        <v>0.46599021646088551</v>
      </c>
      <c r="D270" s="366">
        <f>IF(LN_IIA7=0,0,LN_IIA9/LN_IIA7)</f>
        <v>0.45269577802740146</v>
      </c>
      <c r="E270" s="367">
        <f t="shared" si="26"/>
        <v>-1.3294438433484046E-2</v>
      </c>
      <c r="F270" s="371">
        <f t="shared" si="27"/>
        <v>-2.8529436807607226E-2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701</v>
      </c>
      <c r="C271" s="353">
        <f>C261+C267</f>
        <v>374870862</v>
      </c>
      <c r="D271" s="353">
        <f>LN_IIA1+LN_IIA7</f>
        <v>423415942</v>
      </c>
      <c r="E271" s="353">
        <f t="shared" si="26"/>
        <v>48545080</v>
      </c>
      <c r="F271" s="415">
        <f t="shared" si="27"/>
        <v>0.12949814168272167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702</v>
      </c>
      <c r="C272" s="353">
        <f>C262+C269</f>
        <v>175072186</v>
      </c>
      <c r="D272" s="353">
        <f>LN_IIA2+LN_IIA9</f>
        <v>193298667</v>
      </c>
      <c r="E272" s="353">
        <f t="shared" si="26"/>
        <v>18226481</v>
      </c>
      <c r="F272" s="415">
        <f t="shared" si="27"/>
        <v>0.1041083761871803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703</v>
      </c>
      <c r="C273" s="366">
        <f>IF(C271=0,0,C272/C271)</f>
        <v>0.46701998940637857</v>
      </c>
      <c r="D273" s="366">
        <f>IF(LN_IIA11=0,0,LN_IIA12/LN_IIA11)</f>
        <v>0.45652193936524005</v>
      </c>
      <c r="E273" s="367">
        <f t="shared" si="26"/>
        <v>-1.0498050041138518E-2</v>
      </c>
      <c r="F273" s="371">
        <f t="shared" si="27"/>
        <v>-2.2478802362362299E-2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42359</v>
      </c>
      <c r="D274" s="421">
        <f>LN_IA8+LN_IB10+LN_IF11+LN_IG6</f>
        <v>44604</v>
      </c>
      <c r="E274" s="442">
        <f t="shared" si="26"/>
        <v>2245</v>
      </c>
      <c r="F274" s="371">
        <f t="shared" si="27"/>
        <v>5.2999362591184873E-2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704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705</v>
      </c>
      <c r="C277" s="361">
        <f>C15+C188+C221</f>
        <v>128497026</v>
      </c>
      <c r="D277" s="361">
        <f>LN_IA1+LN_IF1+LN_IG1</f>
        <v>149143265</v>
      </c>
      <c r="E277" s="361">
        <f t="shared" ref="E277:E291" si="28">D277-C277</f>
        <v>20646239</v>
      </c>
      <c r="F277" s="415">
        <f t="shared" ref="F277:F291" si="29">IF(C277=0,0,E277/C277)</f>
        <v>0.16067483927604675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706</v>
      </c>
      <c r="C278" s="361">
        <f>C16+C189+C222</f>
        <v>52144633</v>
      </c>
      <c r="D278" s="361">
        <f>LN_IA2+LN_IF2+LN_IG2</f>
        <v>58738835</v>
      </c>
      <c r="E278" s="361">
        <f t="shared" si="28"/>
        <v>6594202</v>
      </c>
      <c r="F278" s="415">
        <f t="shared" si="29"/>
        <v>0.12645984103483862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707</v>
      </c>
      <c r="C279" s="366">
        <f>IF(C277=0,0,C278/C277)</f>
        <v>0.40580420125832328</v>
      </c>
      <c r="D279" s="366">
        <f>IF(D277=0,0,LN_IIB2/D277)</f>
        <v>0.39384168638121203</v>
      </c>
      <c r="E279" s="367">
        <f t="shared" si="28"/>
        <v>-1.1962514877111252E-2</v>
      </c>
      <c r="F279" s="371">
        <f t="shared" si="29"/>
        <v>-2.947853876331916E-2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708</v>
      </c>
      <c r="C280" s="369">
        <f>C18+C191+C224</f>
        <v>6548</v>
      </c>
      <c r="D280" s="369">
        <f>LN_IA4+LN_IF4+LN_IG3</f>
        <v>6983</v>
      </c>
      <c r="E280" s="369">
        <f t="shared" si="28"/>
        <v>435</v>
      </c>
      <c r="F280" s="415">
        <f t="shared" si="29"/>
        <v>6.6432498472816126E-2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709</v>
      </c>
      <c r="C281" s="439">
        <f>IF(C280=0,0,C282/C280)</f>
        <v>1.2534424465485647</v>
      </c>
      <c r="D281" s="439">
        <f>IF(LN_IIB4=0,0,LN_IIB6/LN_IIB4)</f>
        <v>1.2516445811255907</v>
      </c>
      <c r="E281" s="439">
        <f t="shared" si="28"/>
        <v>-1.7978654229739988E-3</v>
      </c>
      <c r="F281" s="415">
        <f t="shared" si="29"/>
        <v>-1.4343422212360353E-3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710</v>
      </c>
      <c r="C282" s="376">
        <f>C20+C193+C226</f>
        <v>8207.5411400000012</v>
      </c>
      <c r="D282" s="376">
        <f>LN_IA6+LN_IF6+LN_IG5</f>
        <v>8740.2341099999994</v>
      </c>
      <c r="E282" s="376">
        <f t="shared" si="28"/>
        <v>532.69296999999824</v>
      </c>
      <c r="F282" s="415">
        <f t="shared" si="29"/>
        <v>6.490286931415834E-2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711</v>
      </c>
      <c r="C283" s="361">
        <f>C27+C203+C233</f>
        <v>95880019</v>
      </c>
      <c r="D283" s="361">
        <f>LN_IA11+LN_IF14+LN_IG9</f>
        <v>115659056</v>
      </c>
      <c r="E283" s="361">
        <f t="shared" si="28"/>
        <v>19779037</v>
      </c>
      <c r="F283" s="415">
        <f t="shared" si="29"/>
        <v>0.20628945640905641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712</v>
      </c>
      <c r="C284" s="366">
        <f>IF(C277=0,0,C283/C277)</f>
        <v>0.74616527700804536</v>
      </c>
      <c r="D284" s="366">
        <f>IF(D277=0,0,LN_IIB7/D277)</f>
        <v>0.7754896340776769</v>
      </c>
      <c r="E284" s="367">
        <f t="shared" si="28"/>
        <v>2.9324357069631546E-2</v>
      </c>
      <c r="F284" s="371">
        <f t="shared" si="29"/>
        <v>3.9300082666960341E-2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713</v>
      </c>
      <c r="C285" s="361">
        <f>C28+C204+C234</f>
        <v>28469058</v>
      </c>
      <c r="D285" s="361">
        <f>LN_IA12+LN_IF15+LN_IG10</f>
        <v>32855358</v>
      </c>
      <c r="E285" s="361">
        <f t="shared" si="28"/>
        <v>4386300</v>
      </c>
      <c r="F285" s="415">
        <f t="shared" si="29"/>
        <v>0.15407253727889417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714</v>
      </c>
      <c r="C286" s="366">
        <f>IF(C283=0,0,C285/C283)</f>
        <v>0.2969237834631635</v>
      </c>
      <c r="D286" s="366">
        <f>IF(LN_IIB7=0,0,LN_IIB9/LN_IIB7)</f>
        <v>0.28407077782132339</v>
      </c>
      <c r="E286" s="367">
        <f t="shared" si="28"/>
        <v>-1.285300564184011E-2</v>
      </c>
      <c r="F286" s="371">
        <f t="shared" si="29"/>
        <v>-4.3287221696858981E-2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715</v>
      </c>
      <c r="C287" s="353">
        <f>C277+C283</f>
        <v>224377045</v>
      </c>
      <c r="D287" s="353">
        <f>D277+LN_IIB7</f>
        <v>264802321</v>
      </c>
      <c r="E287" s="353">
        <f t="shared" si="28"/>
        <v>40425276</v>
      </c>
      <c r="F287" s="415">
        <f t="shared" si="29"/>
        <v>0.18016671892617178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716</v>
      </c>
      <c r="C288" s="353">
        <f>C278+C285</f>
        <v>80613691</v>
      </c>
      <c r="D288" s="353">
        <f>LN_IIB2+LN_IIB9</f>
        <v>91594193</v>
      </c>
      <c r="E288" s="353">
        <f t="shared" si="28"/>
        <v>10980502</v>
      </c>
      <c r="F288" s="415">
        <f t="shared" si="29"/>
        <v>0.13621137878428119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717</v>
      </c>
      <c r="C289" s="366">
        <f>IF(C287=0,0,C288/C287)</f>
        <v>0.35927779956278505</v>
      </c>
      <c r="D289" s="366">
        <f>IF(LN_IIB11=0,0,LN_IIB12/LN_IIB11)</f>
        <v>0.34589648857345173</v>
      </c>
      <c r="E289" s="367">
        <f t="shared" si="28"/>
        <v>-1.3381310989333317E-2</v>
      </c>
      <c r="F289" s="371">
        <f t="shared" si="29"/>
        <v>-3.7245026009448394E-2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30833</v>
      </c>
      <c r="D290" s="421">
        <f>LN_IA8+LN_IF11+LN_IG6</f>
        <v>33322</v>
      </c>
      <c r="E290" s="442">
        <f t="shared" si="28"/>
        <v>2489</v>
      </c>
      <c r="F290" s="371">
        <f t="shared" si="29"/>
        <v>8.0725197029157078E-2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718</v>
      </c>
      <c r="C291" s="361">
        <f>C287-C288</f>
        <v>143763354</v>
      </c>
      <c r="D291" s="429">
        <f>LN_IIB11-LN_IIB12</f>
        <v>173208128</v>
      </c>
      <c r="E291" s="353">
        <f t="shared" si="28"/>
        <v>29444774</v>
      </c>
      <c r="F291" s="415">
        <f t="shared" si="29"/>
        <v>0.20481418373141183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615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606</v>
      </c>
      <c r="C294" s="379">
        <f>IF(C18=0,0,C22/C18)</f>
        <v>5.1363931586923579</v>
      </c>
      <c r="D294" s="379">
        <f>IF(LN_IA4=0,0,LN_IA8/LN_IA4)</f>
        <v>5.2217157065893076</v>
      </c>
      <c r="E294" s="379">
        <f t="shared" ref="E294:E300" si="30">D294-C294</f>
        <v>8.5322547896949708E-2</v>
      </c>
      <c r="F294" s="415">
        <f t="shared" ref="F294:F300" si="31">IF(C294=0,0,E294/C294)</f>
        <v>1.6611374024700132E-2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627</v>
      </c>
      <c r="C295" s="379">
        <f>IF(C45=0,0,C51/C45)</f>
        <v>3.524770642201835</v>
      </c>
      <c r="D295" s="379">
        <f>IF(LN_IB4=0,0,(LN_IB10)/(LN_IB4))</f>
        <v>3.4692496924969252</v>
      </c>
      <c r="E295" s="379">
        <f t="shared" si="30"/>
        <v>-5.5520949704909839E-2</v>
      </c>
      <c r="F295" s="415">
        <f t="shared" si="31"/>
        <v>-1.5751648927212838E-2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642</v>
      </c>
      <c r="C296" s="379">
        <f>IF(C86=0,0,C93/C86)</f>
        <v>4.1410256410256414</v>
      </c>
      <c r="D296" s="379">
        <f>IF(LN_IC4=0,0,LN_IC11/LN_IC4)</f>
        <v>4.1626794258373208</v>
      </c>
      <c r="E296" s="379">
        <f t="shared" si="30"/>
        <v>2.1653784811679344E-2</v>
      </c>
      <c r="F296" s="415">
        <f t="shared" si="31"/>
        <v>5.2290873539039898E-3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3.5617461229178633</v>
      </c>
      <c r="D297" s="379">
        <f>IF(LN_ID4=0,0,LN_ID11/LN_ID4)</f>
        <v>3.7141500474833808</v>
      </c>
      <c r="E297" s="379">
        <f t="shared" si="30"/>
        <v>0.15240392456551755</v>
      </c>
      <c r="F297" s="415">
        <f t="shared" si="31"/>
        <v>4.2789103800768592E-2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719</v>
      </c>
      <c r="C298" s="379">
        <f>IF(C156=0,0,C163/C156)</f>
        <v>5.0535714285714288</v>
      </c>
      <c r="D298" s="379">
        <f>IF(LN_IE4=0,0,LN_IE11/LN_IE4)</f>
        <v>7.5625</v>
      </c>
      <c r="E298" s="379">
        <f t="shared" si="30"/>
        <v>2.5089285714285712</v>
      </c>
      <c r="F298" s="415">
        <f t="shared" si="31"/>
        <v>0.49646643109540628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2.9</v>
      </c>
      <c r="D299" s="379">
        <f>IF(LN_IG3=0,0,LN_IG6/LN_IG3)</f>
        <v>3.0526315789473686</v>
      </c>
      <c r="E299" s="379">
        <f t="shared" si="30"/>
        <v>0.15263157894736867</v>
      </c>
      <c r="F299" s="415">
        <f t="shared" si="31"/>
        <v>5.2631578947368508E-2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720</v>
      </c>
      <c r="C300" s="379">
        <f>IF(C264=0,0,C274/C264)</f>
        <v>4.3144224893053575</v>
      </c>
      <c r="D300" s="379">
        <f>IF(LN_IIA4=0,0,LN_IIA14/LN_IIA4)</f>
        <v>4.3579872984855887</v>
      </c>
      <c r="E300" s="379">
        <f t="shared" si="30"/>
        <v>4.3564809180231201E-2</v>
      </c>
      <c r="F300" s="415">
        <f t="shared" si="31"/>
        <v>1.009748333368375E-2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721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715</v>
      </c>
      <c r="C304" s="353">
        <f>C35+C66+C214+C221+C233</f>
        <v>374870862</v>
      </c>
      <c r="D304" s="353">
        <f>LN_IIA11</f>
        <v>423415942</v>
      </c>
      <c r="E304" s="353">
        <f t="shared" ref="E304:E316" si="32">D304-C304</f>
        <v>48545080</v>
      </c>
      <c r="F304" s="362">
        <f>IF(C304=0,0,E304/C304)</f>
        <v>0.12949814168272167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718</v>
      </c>
      <c r="C305" s="353">
        <f>C291</f>
        <v>143763354</v>
      </c>
      <c r="D305" s="353">
        <f>LN_IIB14</f>
        <v>173208128</v>
      </c>
      <c r="E305" s="353">
        <f t="shared" si="32"/>
        <v>29444774</v>
      </c>
      <c r="F305" s="362">
        <f>IF(C305=0,0,E305/C305)</f>
        <v>0.20481418373141183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722</v>
      </c>
      <c r="C306" s="353">
        <f>C250</f>
        <v>14103525</v>
      </c>
      <c r="D306" s="353">
        <f>LN_IH6</f>
        <v>10900458</v>
      </c>
      <c r="E306" s="353">
        <f t="shared" si="32"/>
        <v>-3203067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723</v>
      </c>
      <c r="C307" s="353">
        <f>C73-C74</f>
        <v>39079123</v>
      </c>
      <c r="D307" s="353">
        <f>LN_IB32-LN_IB33</f>
        <v>45736175</v>
      </c>
      <c r="E307" s="353">
        <f t="shared" si="32"/>
        <v>6657052</v>
      </c>
      <c r="F307" s="362">
        <f t="shared" ref="F307:F316" si="33">IF(C307=0,0,E307/C307)</f>
        <v>0.17034803979608243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724</v>
      </c>
      <c r="C308" s="353">
        <v>2852678</v>
      </c>
      <c r="D308" s="353">
        <v>272514</v>
      </c>
      <c r="E308" s="353">
        <f t="shared" si="32"/>
        <v>-2580164</v>
      </c>
      <c r="F308" s="362">
        <f t="shared" si="33"/>
        <v>-0.90447081654501493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725</v>
      </c>
      <c r="C309" s="353">
        <f>C305+C307+C308+C306</f>
        <v>199798680</v>
      </c>
      <c r="D309" s="353">
        <f>LN_III2+LN_III3+LN_III4+LN_III5</f>
        <v>230117275</v>
      </c>
      <c r="E309" s="353">
        <f t="shared" si="32"/>
        <v>30318595</v>
      </c>
      <c r="F309" s="362">
        <f t="shared" si="33"/>
        <v>0.15174572224401081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726</v>
      </c>
      <c r="C310" s="353">
        <f>C304-C309</f>
        <v>175072182</v>
      </c>
      <c r="D310" s="353">
        <f>LN_III1-LN_III6</f>
        <v>193298667</v>
      </c>
      <c r="E310" s="353">
        <f t="shared" si="32"/>
        <v>18226485</v>
      </c>
      <c r="F310" s="362">
        <f t="shared" si="33"/>
        <v>0.10410840141353811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727</v>
      </c>
      <c r="C311" s="353">
        <f>C245</f>
        <v>1215043</v>
      </c>
      <c r="D311" s="353">
        <f>LN_IH3</f>
        <v>0</v>
      </c>
      <c r="E311" s="353">
        <f t="shared" si="32"/>
        <v>-1215043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728</v>
      </c>
      <c r="C312" s="353">
        <f>C310+C311</f>
        <v>176287225</v>
      </c>
      <c r="D312" s="353">
        <f>LN_III7+LN_III8</f>
        <v>193298667</v>
      </c>
      <c r="E312" s="353">
        <f t="shared" si="32"/>
        <v>17011442</v>
      </c>
      <c r="F312" s="362">
        <f t="shared" si="33"/>
        <v>9.6498438840364076E-2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729</v>
      </c>
      <c r="C313" s="448">
        <f>IF(C304=0,0,C312/C304)</f>
        <v>0.47026120957888695</v>
      </c>
      <c r="D313" s="448">
        <f>IF(LN_III1=0,0,LN_III9/LN_III1)</f>
        <v>0.45652193936524005</v>
      </c>
      <c r="E313" s="448">
        <f t="shared" si="32"/>
        <v>-1.3739270213646904E-2</v>
      </c>
      <c r="F313" s="362">
        <f t="shared" si="33"/>
        <v>-2.9216252443934828E-2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687</v>
      </c>
      <c r="C314" s="353">
        <f>C306*C313</f>
        <v>6632340.7258260716</v>
      </c>
      <c r="D314" s="353">
        <f>D313*LN_III5</f>
        <v>4976298.2261293456</v>
      </c>
      <c r="E314" s="353">
        <f t="shared" si="32"/>
        <v>-1656042.499696726</v>
      </c>
      <c r="F314" s="362">
        <f t="shared" si="33"/>
        <v>-0.24969201193903717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690</v>
      </c>
      <c r="C315" s="353">
        <f>(C214*C313)-C215</f>
        <v>9694552.8669494465</v>
      </c>
      <c r="D315" s="353">
        <f>D313*LN_IH8-LN_IH9</f>
        <v>12188675.589736897</v>
      </c>
      <c r="E315" s="353">
        <f t="shared" si="32"/>
        <v>2494122.722787451</v>
      </c>
      <c r="F315" s="362">
        <f t="shared" si="33"/>
        <v>0.25727052676048467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730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731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732</v>
      </c>
      <c r="C318" s="353">
        <f>C314+C315+C316</f>
        <v>16326893.592775518</v>
      </c>
      <c r="D318" s="353">
        <f>D314+D315+D316</f>
        <v>17164973.815866243</v>
      </c>
      <c r="E318" s="353">
        <f>D318-C318</f>
        <v>838080.22309072502</v>
      </c>
      <c r="F318" s="362">
        <f>IF(C318=0,0,E318/C318)</f>
        <v>5.1331272438840836E-2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733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9203989.4868773073</v>
      </c>
      <c r="D322" s="353">
        <f>LN_ID22</f>
        <v>10177436.000565324</v>
      </c>
      <c r="E322" s="353">
        <f>LN_IV2-C322</f>
        <v>973446.51368801668</v>
      </c>
      <c r="F322" s="362">
        <f>IF(C322=0,0,E322/C322)</f>
        <v>0.10576354037300011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719</v>
      </c>
      <c r="C323" s="353">
        <f>C162+C176</f>
        <v>2735572.9805092569</v>
      </c>
      <c r="D323" s="353">
        <f>LN_IE10+LN_IE22</f>
        <v>41514.589994027323</v>
      </c>
      <c r="E323" s="353">
        <f>LN_IV3-C323</f>
        <v>-2694058.3905152297</v>
      </c>
      <c r="F323" s="362">
        <f>IF(C323=0,0,E323/C323)</f>
        <v>-0.98482417018671575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734</v>
      </c>
      <c r="C324" s="353">
        <f>C92+C106</f>
        <v>4325852.2813261915</v>
      </c>
      <c r="D324" s="353">
        <f>LN_IC10+LN_IC22</f>
        <v>3899976.4518270926</v>
      </c>
      <c r="E324" s="353">
        <f>LN_IV1-C324</f>
        <v>-425875.82949909894</v>
      </c>
      <c r="F324" s="362">
        <f>IF(C324=0,0,E324/C324)</f>
        <v>-9.8448999596568915E-2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735</v>
      </c>
      <c r="C325" s="429">
        <f>C324+C322+C323</f>
        <v>16265414.748712756</v>
      </c>
      <c r="D325" s="429">
        <f>LN_IV1+LN_IV2+LN_IV3</f>
        <v>14118927.042386444</v>
      </c>
      <c r="E325" s="353">
        <f>LN_IV4-C325</f>
        <v>-2146487.7063263115</v>
      </c>
      <c r="F325" s="362">
        <f>IF(C325=0,0,E325/C325)</f>
        <v>-0.13196636787243218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736</v>
      </c>
      <c r="B327" s="446" t="s">
        <v>737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738</v>
      </c>
      <c r="C329" s="431">
        <v>5000636</v>
      </c>
      <c r="D329" s="431">
        <v>474597</v>
      </c>
      <c r="E329" s="431">
        <f t="shared" ref="E329:E335" si="34">D329-C329</f>
        <v>-4526039</v>
      </c>
      <c r="F329" s="462">
        <f t="shared" ref="F329:F335" si="35">IF(C329=0,0,E329/C329)</f>
        <v>-0.90509267221209466</v>
      </c>
    </row>
    <row r="330" spans="1:22" s="333" customFormat="1" ht="11.25" customHeight="1" x14ac:dyDescent="0.2">
      <c r="A330" s="364">
        <v>2</v>
      </c>
      <c r="B330" s="360" t="s">
        <v>739</v>
      </c>
      <c r="C330" s="429">
        <v>5734923</v>
      </c>
      <c r="D330" s="429">
        <v>3456769</v>
      </c>
      <c r="E330" s="431">
        <f t="shared" si="34"/>
        <v>-2278154</v>
      </c>
      <c r="F330" s="463">
        <f t="shared" si="35"/>
        <v>-0.3972422995042828</v>
      </c>
    </row>
    <row r="331" spans="1:22" s="333" customFormat="1" ht="11.25" customHeight="1" x14ac:dyDescent="0.2">
      <c r="A331" s="339">
        <v>3</v>
      </c>
      <c r="B331" s="360" t="s">
        <v>740</v>
      </c>
      <c r="C331" s="429">
        <v>182022152</v>
      </c>
      <c r="D331" s="429">
        <v>196755436</v>
      </c>
      <c r="E331" s="431">
        <f t="shared" si="34"/>
        <v>14733284</v>
      </c>
      <c r="F331" s="462">
        <f t="shared" si="35"/>
        <v>8.09422580609859E-2</v>
      </c>
    </row>
    <row r="332" spans="1:22" s="333" customFormat="1" ht="11.25" customHeight="1" x14ac:dyDescent="0.2">
      <c r="A332" s="364">
        <v>4</v>
      </c>
      <c r="B332" s="360" t="s">
        <v>741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742</v>
      </c>
      <c r="C333" s="429">
        <v>374870862</v>
      </c>
      <c r="D333" s="429">
        <v>423415942</v>
      </c>
      <c r="E333" s="431">
        <f t="shared" si="34"/>
        <v>48545080</v>
      </c>
      <c r="F333" s="462">
        <f t="shared" si="35"/>
        <v>0.12949814168272167</v>
      </c>
    </row>
    <row r="334" spans="1:22" s="333" customFormat="1" ht="11.25" customHeight="1" x14ac:dyDescent="0.2">
      <c r="A334" s="339">
        <v>6</v>
      </c>
      <c r="B334" s="360" t="s">
        <v>743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744</v>
      </c>
      <c r="C335" s="429">
        <v>14103525</v>
      </c>
      <c r="D335" s="429">
        <v>10900458</v>
      </c>
      <c r="E335" s="429">
        <f t="shared" si="34"/>
        <v>-3203067</v>
      </c>
      <c r="F335" s="462">
        <f t="shared" si="35"/>
        <v>-0.22711109456678383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FILING&amp;RMIDSTATE MEDICAL CENTER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597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745</v>
      </c>
      <c r="B5" s="710"/>
      <c r="C5" s="710"/>
      <c r="D5" s="710"/>
      <c r="E5" s="710"/>
    </row>
    <row r="6" spans="1:5" s="338" customFormat="1" ht="15.75" customHeight="1" x14ac:dyDescent="0.25">
      <c r="A6" s="710" t="s">
        <v>746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747</v>
      </c>
      <c r="D9" s="494" t="s">
        <v>748</v>
      </c>
      <c r="E9" s="495" t="s">
        <v>749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750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751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627</v>
      </c>
      <c r="C14" s="513">
        <v>52683600</v>
      </c>
      <c r="D14" s="513">
        <v>55065404</v>
      </c>
      <c r="E14" s="514">
        <f t="shared" ref="E14:E22" si="0">D14-C14</f>
        <v>2381804</v>
      </c>
    </row>
    <row r="15" spans="1:5" s="506" customFormat="1" x14ac:dyDescent="0.2">
      <c r="A15" s="512">
        <v>2</v>
      </c>
      <c r="B15" s="511" t="s">
        <v>606</v>
      </c>
      <c r="C15" s="513">
        <v>105242796</v>
      </c>
      <c r="D15" s="515">
        <v>118170811</v>
      </c>
      <c r="E15" s="514">
        <f t="shared" si="0"/>
        <v>12928015</v>
      </c>
    </row>
    <row r="16" spans="1:5" s="506" customFormat="1" x14ac:dyDescent="0.2">
      <c r="A16" s="512">
        <v>3</v>
      </c>
      <c r="B16" s="511" t="s">
        <v>752</v>
      </c>
      <c r="C16" s="513">
        <v>23003106</v>
      </c>
      <c r="D16" s="515">
        <v>30751790</v>
      </c>
      <c r="E16" s="514">
        <f t="shared" si="0"/>
        <v>7748684</v>
      </c>
    </row>
    <row r="17" spans="1:5" s="506" customFormat="1" x14ac:dyDescent="0.2">
      <c r="A17" s="512">
        <v>4</v>
      </c>
      <c r="B17" s="511" t="s">
        <v>114</v>
      </c>
      <c r="C17" s="513">
        <v>20416489</v>
      </c>
      <c r="D17" s="515">
        <v>30010171</v>
      </c>
      <c r="E17" s="514">
        <f t="shared" si="0"/>
        <v>9593682</v>
      </c>
    </row>
    <row r="18" spans="1:5" s="506" customFormat="1" x14ac:dyDescent="0.2">
      <c r="A18" s="512">
        <v>5</v>
      </c>
      <c r="B18" s="511" t="s">
        <v>719</v>
      </c>
      <c r="C18" s="513">
        <v>2586617</v>
      </c>
      <c r="D18" s="515">
        <v>741619</v>
      </c>
      <c r="E18" s="514">
        <f t="shared" si="0"/>
        <v>-1844998</v>
      </c>
    </row>
    <row r="19" spans="1:5" s="506" customFormat="1" x14ac:dyDescent="0.2">
      <c r="A19" s="512">
        <v>6</v>
      </c>
      <c r="B19" s="511" t="s">
        <v>418</v>
      </c>
      <c r="C19" s="513">
        <v>251124</v>
      </c>
      <c r="D19" s="515">
        <v>220664</v>
      </c>
      <c r="E19" s="514">
        <f t="shared" si="0"/>
        <v>-30460</v>
      </c>
    </row>
    <row r="20" spans="1:5" s="506" customFormat="1" x14ac:dyDescent="0.2">
      <c r="A20" s="512">
        <v>7</v>
      </c>
      <c r="B20" s="511" t="s">
        <v>734</v>
      </c>
      <c r="C20" s="513">
        <v>3934556</v>
      </c>
      <c r="D20" s="515">
        <v>3391142</v>
      </c>
      <c r="E20" s="514">
        <f t="shared" si="0"/>
        <v>-543414</v>
      </c>
    </row>
    <row r="21" spans="1:5" s="506" customFormat="1" x14ac:dyDescent="0.2">
      <c r="A21" s="512"/>
      <c r="B21" s="516" t="s">
        <v>753</v>
      </c>
      <c r="C21" s="517">
        <f>SUM(C15+C16+C19)</f>
        <v>128497026</v>
      </c>
      <c r="D21" s="517">
        <f>SUM(D15+D16+D19)</f>
        <v>149143265</v>
      </c>
      <c r="E21" s="517">
        <f t="shared" si="0"/>
        <v>20646239</v>
      </c>
    </row>
    <row r="22" spans="1:5" s="506" customFormat="1" x14ac:dyDescent="0.2">
      <c r="A22" s="512"/>
      <c r="B22" s="516" t="s">
        <v>693</v>
      </c>
      <c r="C22" s="517">
        <f>SUM(C14+C21)</f>
        <v>181180626</v>
      </c>
      <c r="D22" s="517">
        <f>SUM(D14+D21)</f>
        <v>204208669</v>
      </c>
      <c r="E22" s="517">
        <f t="shared" si="0"/>
        <v>23028043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754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627</v>
      </c>
      <c r="C25" s="513">
        <v>97810217</v>
      </c>
      <c r="D25" s="513">
        <v>103548217</v>
      </c>
      <c r="E25" s="514">
        <f t="shared" ref="E25:E33" si="1">D25-C25</f>
        <v>5738000</v>
      </c>
    </row>
    <row r="26" spans="1:5" s="506" customFormat="1" x14ac:dyDescent="0.2">
      <c r="A26" s="512">
        <v>2</v>
      </c>
      <c r="B26" s="511" t="s">
        <v>606</v>
      </c>
      <c r="C26" s="513">
        <v>61316189</v>
      </c>
      <c r="D26" s="515">
        <v>72569539</v>
      </c>
      <c r="E26" s="514">
        <f t="shared" si="1"/>
        <v>11253350</v>
      </c>
    </row>
    <row r="27" spans="1:5" s="506" customFormat="1" x14ac:dyDescent="0.2">
      <c r="A27" s="512">
        <v>3</v>
      </c>
      <c r="B27" s="511" t="s">
        <v>752</v>
      </c>
      <c r="C27" s="513">
        <v>34154166</v>
      </c>
      <c r="D27" s="515">
        <v>42545624</v>
      </c>
      <c r="E27" s="514">
        <f t="shared" si="1"/>
        <v>8391458</v>
      </c>
    </row>
    <row r="28" spans="1:5" s="506" customFormat="1" x14ac:dyDescent="0.2">
      <c r="A28" s="512">
        <v>4</v>
      </c>
      <c r="B28" s="511" t="s">
        <v>114</v>
      </c>
      <c r="C28" s="513">
        <v>29370249</v>
      </c>
      <c r="D28" s="515">
        <v>41580077</v>
      </c>
      <c r="E28" s="514">
        <f t="shared" si="1"/>
        <v>12209828</v>
      </c>
    </row>
    <row r="29" spans="1:5" s="506" customFormat="1" x14ac:dyDescent="0.2">
      <c r="A29" s="512">
        <v>5</v>
      </c>
      <c r="B29" s="511" t="s">
        <v>719</v>
      </c>
      <c r="C29" s="513">
        <v>4783917</v>
      </c>
      <c r="D29" s="515">
        <v>965547</v>
      </c>
      <c r="E29" s="514">
        <f t="shared" si="1"/>
        <v>-3818370</v>
      </c>
    </row>
    <row r="30" spans="1:5" s="506" customFormat="1" x14ac:dyDescent="0.2">
      <c r="A30" s="512">
        <v>6</v>
      </c>
      <c r="B30" s="511" t="s">
        <v>418</v>
      </c>
      <c r="C30" s="513">
        <v>409664</v>
      </c>
      <c r="D30" s="515">
        <v>543893</v>
      </c>
      <c r="E30" s="514">
        <f t="shared" si="1"/>
        <v>134229</v>
      </c>
    </row>
    <row r="31" spans="1:5" s="506" customFormat="1" x14ac:dyDescent="0.2">
      <c r="A31" s="512">
        <v>7</v>
      </c>
      <c r="B31" s="511" t="s">
        <v>734</v>
      </c>
      <c r="C31" s="514">
        <v>7741172</v>
      </c>
      <c r="D31" s="518">
        <v>7307136</v>
      </c>
      <c r="E31" s="514">
        <f t="shared" si="1"/>
        <v>-434036</v>
      </c>
    </row>
    <row r="32" spans="1:5" s="506" customFormat="1" x14ac:dyDescent="0.2">
      <c r="A32" s="512"/>
      <c r="B32" s="516" t="s">
        <v>755</v>
      </c>
      <c r="C32" s="517">
        <f>SUM(C26+C27+C30)</f>
        <v>95880019</v>
      </c>
      <c r="D32" s="517">
        <f>SUM(D26+D27+D30)</f>
        <v>115659056</v>
      </c>
      <c r="E32" s="517">
        <f t="shared" si="1"/>
        <v>19779037</v>
      </c>
    </row>
    <row r="33" spans="1:5" s="506" customFormat="1" x14ac:dyDescent="0.2">
      <c r="A33" s="512"/>
      <c r="B33" s="516" t="s">
        <v>699</v>
      </c>
      <c r="C33" s="517">
        <f>SUM(C25+C32)</f>
        <v>193690236</v>
      </c>
      <c r="D33" s="517">
        <f>SUM(D25+D32)</f>
        <v>219207273</v>
      </c>
      <c r="E33" s="517">
        <f t="shared" si="1"/>
        <v>25517037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624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756</v>
      </c>
      <c r="C36" s="514">
        <f t="shared" ref="C36:D42" si="2">C14+C25</f>
        <v>150493817</v>
      </c>
      <c r="D36" s="514">
        <f t="shared" si="2"/>
        <v>158613621</v>
      </c>
      <c r="E36" s="514">
        <f t="shared" ref="E36:E44" si="3">D36-C36</f>
        <v>8119804</v>
      </c>
    </row>
    <row r="37" spans="1:5" s="506" customFormat="1" x14ac:dyDescent="0.2">
      <c r="A37" s="512">
        <v>2</v>
      </c>
      <c r="B37" s="511" t="s">
        <v>757</v>
      </c>
      <c r="C37" s="514">
        <f t="shared" si="2"/>
        <v>166558985</v>
      </c>
      <c r="D37" s="514">
        <f t="shared" si="2"/>
        <v>190740350</v>
      </c>
      <c r="E37" s="514">
        <f t="shared" si="3"/>
        <v>24181365</v>
      </c>
    </row>
    <row r="38" spans="1:5" s="506" customFormat="1" x14ac:dyDescent="0.2">
      <c r="A38" s="512">
        <v>3</v>
      </c>
      <c r="B38" s="511" t="s">
        <v>758</v>
      </c>
      <c r="C38" s="514">
        <f t="shared" si="2"/>
        <v>57157272</v>
      </c>
      <c r="D38" s="514">
        <f t="shared" si="2"/>
        <v>73297414</v>
      </c>
      <c r="E38" s="514">
        <f t="shared" si="3"/>
        <v>16140142</v>
      </c>
    </row>
    <row r="39" spans="1:5" s="506" customFormat="1" x14ac:dyDescent="0.2">
      <c r="A39" s="512">
        <v>4</v>
      </c>
      <c r="B39" s="511" t="s">
        <v>759</v>
      </c>
      <c r="C39" s="514">
        <f t="shared" si="2"/>
        <v>49786738</v>
      </c>
      <c r="D39" s="514">
        <f t="shared" si="2"/>
        <v>71590248</v>
      </c>
      <c r="E39" s="514">
        <f t="shared" si="3"/>
        <v>21803510</v>
      </c>
    </row>
    <row r="40" spans="1:5" s="506" customFormat="1" x14ac:dyDescent="0.2">
      <c r="A40" s="512">
        <v>5</v>
      </c>
      <c r="B40" s="511" t="s">
        <v>760</v>
      </c>
      <c r="C40" s="514">
        <f t="shared" si="2"/>
        <v>7370534</v>
      </c>
      <c r="D40" s="514">
        <f t="shared" si="2"/>
        <v>1707166</v>
      </c>
      <c r="E40" s="514">
        <f t="shared" si="3"/>
        <v>-5663368</v>
      </c>
    </row>
    <row r="41" spans="1:5" s="506" customFormat="1" x14ac:dyDescent="0.2">
      <c r="A41" s="512">
        <v>6</v>
      </c>
      <c r="B41" s="511" t="s">
        <v>761</v>
      </c>
      <c r="C41" s="514">
        <f t="shared" si="2"/>
        <v>660788</v>
      </c>
      <c r="D41" s="514">
        <f t="shared" si="2"/>
        <v>764557</v>
      </c>
      <c r="E41" s="514">
        <f t="shared" si="3"/>
        <v>103769</v>
      </c>
    </row>
    <row r="42" spans="1:5" s="506" customFormat="1" x14ac:dyDescent="0.2">
      <c r="A42" s="512">
        <v>7</v>
      </c>
      <c r="B42" s="511" t="s">
        <v>762</v>
      </c>
      <c r="C42" s="514">
        <f t="shared" si="2"/>
        <v>11675728</v>
      </c>
      <c r="D42" s="514">
        <f t="shared" si="2"/>
        <v>10698278</v>
      </c>
      <c r="E42" s="514">
        <f t="shared" si="3"/>
        <v>-977450</v>
      </c>
    </row>
    <row r="43" spans="1:5" s="506" customFormat="1" x14ac:dyDescent="0.2">
      <c r="A43" s="512"/>
      <c r="B43" s="516" t="s">
        <v>763</v>
      </c>
      <c r="C43" s="517">
        <f>SUM(C37+C38+C41)</f>
        <v>224377045</v>
      </c>
      <c r="D43" s="517">
        <f>SUM(D37+D38+D41)</f>
        <v>264802321</v>
      </c>
      <c r="E43" s="517">
        <f t="shared" si="3"/>
        <v>40425276</v>
      </c>
    </row>
    <row r="44" spans="1:5" s="506" customFormat="1" x14ac:dyDescent="0.2">
      <c r="A44" s="512"/>
      <c r="B44" s="516" t="s">
        <v>701</v>
      </c>
      <c r="C44" s="517">
        <f>SUM(C36+C43)</f>
        <v>374870862</v>
      </c>
      <c r="D44" s="517">
        <f>SUM(D36+D43)</f>
        <v>423415942</v>
      </c>
      <c r="E44" s="517">
        <f t="shared" si="3"/>
        <v>48545080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764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627</v>
      </c>
      <c r="C47" s="513">
        <v>32669798</v>
      </c>
      <c r="D47" s="513">
        <v>35325625</v>
      </c>
      <c r="E47" s="514">
        <f t="shared" ref="E47:E55" si="4">D47-C47</f>
        <v>2655827</v>
      </c>
    </row>
    <row r="48" spans="1:5" s="506" customFormat="1" x14ac:dyDescent="0.2">
      <c r="A48" s="512">
        <v>2</v>
      </c>
      <c r="B48" s="511" t="s">
        <v>606</v>
      </c>
      <c r="C48" s="513">
        <v>43924410</v>
      </c>
      <c r="D48" s="515">
        <v>48578024</v>
      </c>
      <c r="E48" s="514">
        <f t="shared" si="4"/>
        <v>4653614</v>
      </c>
    </row>
    <row r="49" spans="1:5" s="506" customFormat="1" x14ac:dyDescent="0.2">
      <c r="A49" s="512">
        <v>3</v>
      </c>
      <c r="B49" s="511" t="s">
        <v>752</v>
      </c>
      <c r="C49" s="513">
        <v>8117202</v>
      </c>
      <c r="D49" s="515">
        <v>10078360</v>
      </c>
      <c r="E49" s="514">
        <f t="shared" si="4"/>
        <v>1961158</v>
      </c>
    </row>
    <row r="50" spans="1:5" s="506" customFormat="1" x14ac:dyDescent="0.2">
      <c r="A50" s="512">
        <v>4</v>
      </c>
      <c r="B50" s="511" t="s">
        <v>114</v>
      </c>
      <c r="C50" s="513">
        <v>7724989</v>
      </c>
      <c r="D50" s="515">
        <v>9805384</v>
      </c>
      <c r="E50" s="514">
        <f t="shared" si="4"/>
        <v>2080395</v>
      </c>
    </row>
    <row r="51" spans="1:5" s="506" customFormat="1" x14ac:dyDescent="0.2">
      <c r="A51" s="512">
        <v>5</v>
      </c>
      <c r="B51" s="511" t="s">
        <v>719</v>
      </c>
      <c r="C51" s="513">
        <v>392213</v>
      </c>
      <c r="D51" s="515">
        <v>272976</v>
      </c>
      <c r="E51" s="514">
        <f t="shared" si="4"/>
        <v>-119237</v>
      </c>
    </row>
    <row r="52" spans="1:5" s="506" customFormat="1" x14ac:dyDescent="0.2">
      <c r="A52" s="512">
        <v>6</v>
      </c>
      <c r="B52" s="511" t="s">
        <v>418</v>
      </c>
      <c r="C52" s="513">
        <v>103021</v>
      </c>
      <c r="D52" s="515">
        <v>82451</v>
      </c>
      <c r="E52" s="514">
        <f t="shared" si="4"/>
        <v>-20570</v>
      </c>
    </row>
    <row r="53" spans="1:5" s="506" customFormat="1" x14ac:dyDescent="0.2">
      <c r="A53" s="512">
        <v>7</v>
      </c>
      <c r="B53" s="511" t="s">
        <v>734</v>
      </c>
      <c r="C53" s="513">
        <v>102665</v>
      </c>
      <c r="D53" s="515">
        <v>303258</v>
      </c>
      <c r="E53" s="514">
        <f t="shared" si="4"/>
        <v>200593</v>
      </c>
    </row>
    <row r="54" spans="1:5" s="506" customFormat="1" x14ac:dyDescent="0.2">
      <c r="A54" s="512"/>
      <c r="B54" s="516" t="s">
        <v>765</v>
      </c>
      <c r="C54" s="517">
        <f>SUM(C48+C49+C52)</f>
        <v>52144633</v>
      </c>
      <c r="D54" s="517">
        <f>SUM(D48+D49+D52)</f>
        <v>58738835</v>
      </c>
      <c r="E54" s="517">
        <f t="shared" si="4"/>
        <v>6594202</v>
      </c>
    </row>
    <row r="55" spans="1:5" s="506" customFormat="1" x14ac:dyDescent="0.2">
      <c r="A55" s="512"/>
      <c r="B55" s="516" t="s">
        <v>694</v>
      </c>
      <c r="C55" s="517">
        <f>SUM(C47+C54)</f>
        <v>84814431</v>
      </c>
      <c r="D55" s="517">
        <f>SUM(D47+D54)</f>
        <v>94064460</v>
      </c>
      <c r="E55" s="517">
        <f t="shared" si="4"/>
        <v>9250029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766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627</v>
      </c>
      <c r="C58" s="513">
        <v>61788697</v>
      </c>
      <c r="D58" s="513">
        <v>66378849</v>
      </c>
      <c r="E58" s="514">
        <f t="shared" ref="E58:E66" si="5">D58-C58</f>
        <v>4590152</v>
      </c>
    </row>
    <row r="59" spans="1:5" s="506" customFormat="1" x14ac:dyDescent="0.2">
      <c r="A59" s="512">
        <v>2</v>
      </c>
      <c r="B59" s="511" t="s">
        <v>606</v>
      </c>
      <c r="C59" s="513">
        <v>19233905</v>
      </c>
      <c r="D59" s="515">
        <v>21457290</v>
      </c>
      <c r="E59" s="514">
        <f t="shared" si="5"/>
        <v>2223385</v>
      </c>
    </row>
    <row r="60" spans="1:5" s="506" customFormat="1" x14ac:dyDescent="0.2">
      <c r="A60" s="512">
        <v>3</v>
      </c>
      <c r="B60" s="511" t="s">
        <v>752</v>
      </c>
      <c r="C60" s="513">
        <f>C61+C62</f>
        <v>9067093</v>
      </c>
      <c r="D60" s="515">
        <f>D61+D62</f>
        <v>11194842</v>
      </c>
      <c r="E60" s="514">
        <f t="shared" si="5"/>
        <v>2127749</v>
      </c>
    </row>
    <row r="61" spans="1:5" s="506" customFormat="1" x14ac:dyDescent="0.2">
      <c r="A61" s="512">
        <v>4</v>
      </c>
      <c r="B61" s="511" t="s">
        <v>114</v>
      </c>
      <c r="C61" s="513">
        <v>8696383</v>
      </c>
      <c r="D61" s="515">
        <v>10948628</v>
      </c>
      <c r="E61" s="514">
        <f t="shared" si="5"/>
        <v>2252245</v>
      </c>
    </row>
    <row r="62" spans="1:5" s="506" customFormat="1" x14ac:dyDescent="0.2">
      <c r="A62" s="512">
        <v>5</v>
      </c>
      <c r="B62" s="511" t="s">
        <v>719</v>
      </c>
      <c r="C62" s="513">
        <v>370710</v>
      </c>
      <c r="D62" s="515">
        <v>246214</v>
      </c>
      <c r="E62" s="514">
        <f t="shared" si="5"/>
        <v>-124496</v>
      </c>
    </row>
    <row r="63" spans="1:5" s="506" customFormat="1" x14ac:dyDescent="0.2">
      <c r="A63" s="512">
        <v>6</v>
      </c>
      <c r="B63" s="511" t="s">
        <v>418</v>
      </c>
      <c r="C63" s="513">
        <v>168060</v>
      </c>
      <c r="D63" s="515">
        <v>203226</v>
      </c>
      <c r="E63" s="514">
        <f t="shared" si="5"/>
        <v>35166</v>
      </c>
    </row>
    <row r="64" spans="1:5" s="506" customFormat="1" x14ac:dyDescent="0.2">
      <c r="A64" s="512">
        <v>7</v>
      </c>
      <c r="B64" s="511" t="s">
        <v>734</v>
      </c>
      <c r="C64" s="513">
        <v>540733</v>
      </c>
      <c r="D64" s="515">
        <v>519914</v>
      </c>
      <c r="E64" s="514">
        <f t="shared" si="5"/>
        <v>-20819</v>
      </c>
    </row>
    <row r="65" spans="1:5" s="506" customFormat="1" x14ac:dyDescent="0.2">
      <c r="A65" s="512"/>
      <c r="B65" s="516" t="s">
        <v>767</v>
      </c>
      <c r="C65" s="517">
        <f>SUM(C59+C60+C63)</f>
        <v>28469058</v>
      </c>
      <c r="D65" s="517">
        <f>SUM(D59+D60+D63)</f>
        <v>32855358</v>
      </c>
      <c r="E65" s="517">
        <f t="shared" si="5"/>
        <v>4386300</v>
      </c>
    </row>
    <row r="66" spans="1:5" s="506" customFormat="1" x14ac:dyDescent="0.2">
      <c r="A66" s="512"/>
      <c r="B66" s="516" t="s">
        <v>700</v>
      </c>
      <c r="C66" s="517">
        <f>SUM(C58+C65)</f>
        <v>90257755</v>
      </c>
      <c r="D66" s="517">
        <f>SUM(D58+D65)</f>
        <v>99234207</v>
      </c>
      <c r="E66" s="517">
        <f t="shared" si="5"/>
        <v>8976452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625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756</v>
      </c>
      <c r="C69" s="514">
        <f t="shared" ref="C69:D75" si="6">C47+C58</f>
        <v>94458495</v>
      </c>
      <c r="D69" s="514">
        <f t="shared" si="6"/>
        <v>101704474</v>
      </c>
      <c r="E69" s="514">
        <f t="shared" ref="E69:E77" si="7">D69-C69</f>
        <v>7245979</v>
      </c>
    </row>
    <row r="70" spans="1:5" s="506" customFormat="1" x14ac:dyDescent="0.2">
      <c r="A70" s="512">
        <v>2</v>
      </c>
      <c r="B70" s="511" t="s">
        <v>757</v>
      </c>
      <c r="C70" s="514">
        <f t="shared" si="6"/>
        <v>63158315</v>
      </c>
      <c r="D70" s="514">
        <f t="shared" si="6"/>
        <v>70035314</v>
      </c>
      <c r="E70" s="514">
        <f t="shared" si="7"/>
        <v>6876999</v>
      </c>
    </row>
    <row r="71" spans="1:5" s="506" customFormat="1" x14ac:dyDescent="0.2">
      <c r="A71" s="512">
        <v>3</v>
      </c>
      <c r="B71" s="511" t="s">
        <v>758</v>
      </c>
      <c r="C71" s="514">
        <f t="shared" si="6"/>
        <v>17184295</v>
      </c>
      <c r="D71" s="514">
        <f t="shared" si="6"/>
        <v>21273202</v>
      </c>
      <c r="E71" s="514">
        <f t="shared" si="7"/>
        <v>4088907</v>
      </c>
    </row>
    <row r="72" spans="1:5" s="506" customFormat="1" x14ac:dyDescent="0.2">
      <c r="A72" s="512">
        <v>4</v>
      </c>
      <c r="B72" s="511" t="s">
        <v>759</v>
      </c>
      <c r="C72" s="514">
        <f t="shared" si="6"/>
        <v>16421372</v>
      </c>
      <c r="D72" s="514">
        <f t="shared" si="6"/>
        <v>20754012</v>
      </c>
      <c r="E72" s="514">
        <f t="shared" si="7"/>
        <v>4332640</v>
      </c>
    </row>
    <row r="73" spans="1:5" s="506" customFormat="1" x14ac:dyDescent="0.2">
      <c r="A73" s="512">
        <v>5</v>
      </c>
      <c r="B73" s="511" t="s">
        <v>760</v>
      </c>
      <c r="C73" s="514">
        <f t="shared" si="6"/>
        <v>762923</v>
      </c>
      <c r="D73" s="514">
        <f t="shared" si="6"/>
        <v>519190</v>
      </c>
      <c r="E73" s="514">
        <f t="shared" si="7"/>
        <v>-243733</v>
      </c>
    </row>
    <row r="74" spans="1:5" s="506" customFormat="1" x14ac:dyDescent="0.2">
      <c r="A74" s="512">
        <v>6</v>
      </c>
      <c r="B74" s="511" t="s">
        <v>761</v>
      </c>
      <c r="C74" s="514">
        <f t="shared" si="6"/>
        <v>271081</v>
      </c>
      <c r="D74" s="514">
        <f t="shared" si="6"/>
        <v>285677</v>
      </c>
      <c r="E74" s="514">
        <f t="shared" si="7"/>
        <v>14596</v>
      </c>
    </row>
    <row r="75" spans="1:5" s="506" customFormat="1" x14ac:dyDescent="0.2">
      <c r="A75" s="512">
        <v>7</v>
      </c>
      <c r="B75" s="511" t="s">
        <v>762</v>
      </c>
      <c r="C75" s="514">
        <f t="shared" si="6"/>
        <v>643398</v>
      </c>
      <c r="D75" s="514">
        <f t="shared" si="6"/>
        <v>823172</v>
      </c>
      <c r="E75" s="514">
        <f t="shared" si="7"/>
        <v>179774</v>
      </c>
    </row>
    <row r="76" spans="1:5" s="506" customFormat="1" x14ac:dyDescent="0.2">
      <c r="A76" s="512"/>
      <c r="B76" s="516" t="s">
        <v>768</v>
      </c>
      <c r="C76" s="517">
        <f>SUM(C70+C71+C74)</f>
        <v>80613691</v>
      </c>
      <c r="D76" s="517">
        <f>SUM(D70+D71+D74)</f>
        <v>91594193</v>
      </c>
      <c r="E76" s="517">
        <f t="shared" si="7"/>
        <v>10980502</v>
      </c>
    </row>
    <row r="77" spans="1:5" s="506" customFormat="1" x14ac:dyDescent="0.2">
      <c r="A77" s="512"/>
      <c r="B77" s="516" t="s">
        <v>702</v>
      </c>
      <c r="C77" s="517">
        <f>SUM(C69+C76)</f>
        <v>175072186</v>
      </c>
      <c r="D77" s="517">
        <f>SUM(D69+D76)</f>
        <v>193298667</v>
      </c>
      <c r="E77" s="517">
        <f t="shared" si="7"/>
        <v>18226481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769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770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627</v>
      </c>
      <c r="C83" s="523">
        <f t="shared" ref="C83:D89" si="8">IF(C$44=0,0,C14/C$44)</f>
        <v>0.14053799678887818</v>
      </c>
      <c r="D83" s="523">
        <f t="shared" si="8"/>
        <v>0.13005037963355665</v>
      </c>
      <c r="E83" s="523">
        <f t="shared" ref="E83:E91" si="9">D83-C83</f>
        <v>-1.0487617155321538E-2</v>
      </c>
    </row>
    <row r="84" spans="1:5" s="506" customFormat="1" x14ac:dyDescent="0.2">
      <c r="A84" s="512">
        <v>2</v>
      </c>
      <c r="B84" s="511" t="s">
        <v>606</v>
      </c>
      <c r="C84" s="523">
        <f t="shared" si="8"/>
        <v>0.28074413529638376</v>
      </c>
      <c r="D84" s="523">
        <f t="shared" si="8"/>
        <v>0.27908918696311158</v>
      </c>
      <c r="E84" s="523">
        <f t="shared" si="9"/>
        <v>-1.6549483332721771E-3</v>
      </c>
    </row>
    <row r="85" spans="1:5" s="506" customFormat="1" x14ac:dyDescent="0.2">
      <c r="A85" s="512">
        <v>3</v>
      </c>
      <c r="B85" s="511" t="s">
        <v>752</v>
      </c>
      <c r="C85" s="523">
        <f t="shared" si="8"/>
        <v>6.1362747366585139E-2</v>
      </c>
      <c r="D85" s="523">
        <f t="shared" si="8"/>
        <v>7.2627851126115611E-2</v>
      </c>
      <c r="E85" s="523">
        <f t="shared" si="9"/>
        <v>1.1265103759530472E-2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5.4462725886654802E-2</v>
      </c>
      <c r="D86" s="523">
        <f t="shared" si="8"/>
        <v>7.0876337008586227E-2</v>
      </c>
      <c r="E86" s="523">
        <f t="shared" si="9"/>
        <v>1.6413611121931425E-2</v>
      </c>
    </row>
    <row r="87" spans="1:5" s="506" customFormat="1" x14ac:dyDescent="0.2">
      <c r="A87" s="512">
        <v>5</v>
      </c>
      <c r="B87" s="511" t="s">
        <v>719</v>
      </c>
      <c r="C87" s="523">
        <f t="shared" si="8"/>
        <v>6.9000214799303343E-3</v>
      </c>
      <c r="D87" s="523">
        <f t="shared" si="8"/>
        <v>1.7515141175293773E-3</v>
      </c>
      <c r="E87" s="523">
        <f t="shared" si="9"/>
        <v>-5.1485073624009565E-3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6.6989469029470744E-4</v>
      </c>
      <c r="D88" s="523">
        <f t="shared" si="8"/>
        <v>5.2115184647440606E-4</v>
      </c>
      <c r="E88" s="523">
        <f t="shared" si="9"/>
        <v>-1.4874284382030139E-4</v>
      </c>
    </row>
    <row r="89" spans="1:5" s="506" customFormat="1" x14ac:dyDescent="0.2">
      <c r="A89" s="512">
        <v>7</v>
      </c>
      <c r="B89" s="511" t="s">
        <v>734</v>
      </c>
      <c r="C89" s="523">
        <f t="shared" si="8"/>
        <v>1.0495763738500433E-2</v>
      </c>
      <c r="D89" s="523">
        <f t="shared" si="8"/>
        <v>8.0090087869199786E-3</v>
      </c>
      <c r="E89" s="523">
        <f t="shared" si="9"/>
        <v>-2.4867549515804541E-3</v>
      </c>
    </row>
    <row r="90" spans="1:5" s="506" customFormat="1" x14ac:dyDescent="0.2">
      <c r="A90" s="512"/>
      <c r="B90" s="516" t="s">
        <v>771</v>
      </c>
      <c r="C90" s="524">
        <f>SUM(C84+C85+C88)</f>
        <v>0.34277677735326362</v>
      </c>
      <c r="D90" s="524">
        <f>SUM(D84+D85+D88)</f>
        <v>0.35223818993570155</v>
      </c>
      <c r="E90" s="525">
        <f t="shared" si="9"/>
        <v>9.4614125824379336E-3</v>
      </c>
    </row>
    <row r="91" spans="1:5" s="506" customFormat="1" x14ac:dyDescent="0.2">
      <c r="A91" s="512"/>
      <c r="B91" s="516" t="s">
        <v>772</v>
      </c>
      <c r="C91" s="524">
        <f>SUM(C83+C90)</f>
        <v>0.4833147741421418</v>
      </c>
      <c r="D91" s="524">
        <f>SUM(D83+D90)</f>
        <v>0.4822885695692582</v>
      </c>
      <c r="E91" s="525">
        <f t="shared" si="9"/>
        <v>-1.0262045728836044E-3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773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627</v>
      </c>
      <c r="C95" s="523">
        <f t="shared" ref="C95:D101" si="10">IF(C$44=0,0,C25/C$44)</f>
        <v>0.26091709683213521</v>
      </c>
      <c r="D95" s="523">
        <f t="shared" si="10"/>
        <v>0.24455436540932132</v>
      </c>
      <c r="E95" s="523">
        <f t="shared" ref="E95:E103" si="11">D95-C95</f>
        <v>-1.6362731422813886E-2</v>
      </c>
    </row>
    <row r="96" spans="1:5" s="506" customFormat="1" x14ac:dyDescent="0.2">
      <c r="A96" s="512">
        <v>2</v>
      </c>
      <c r="B96" s="511" t="s">
        <v>606</v>
      </c>
      <c r="C96" s="523">
        <f t="shared" si="10"/>
        <v>0.16356616428619625</v>
      </c>
      <c r="D96" s="523">
        <f t="shared" si="10"/>
        <v>0.17139066294296496</v>
      </c>
      <c r="E96" s="523">
        <f t="shared" si="11"/>
        <v>7.824498656768708E-3</v>
      </c>
    </row>
    <row r="97" spans="1:5" s="506" customFormat="1" x14ac:dyDescent="0.2">
      <c r="A97" s="512">
        <v>3</v>
      </c>
      <c r="B97" s="511" t="s">
        <v>752</v>
      </c>
      <c r="C97" s="523">
        <f t="shared" si="10"/>
        <v>9.110915107613779E-2</v>
      </c>
      <c r="D97" s="523">
        <f t="shared" si="10"/>
        <v>0.10048186612680729</v>
      </c>
      <c r="E97" s="523">
        <f t="shared" si="11"/>
        <v>9.3727150506695001E-3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7.8347644421614182E-2</v>
      </c>
      <c r="D98" s="523">
        <f t="shared" si="10"/>
        <v>9.8201491430854063E-2</v>
      </c>
      <c r="E98" s="523">
        <f t="shared" si="11"/>
        <v>1.9853847009239881E-2</v>
      </c>
    </row>
    <row r="99" spans="1:5" s="506" customFormat="1" x14ac:dyDescent="0.2">
      <c r="A99" s="512">
        <v>5</v>
      </c>
      <c r="B99" s="511" t="s">
        <v>719</v>
      </c>
      <c r="C99" s="523">
        <f t="shared" si="10"/>
        <v>1.2761506654523604E-2</v>
      </c>
      <c r="D99" s="523">
        <f t="shared" si="10"/>
        <v>2.280374695953229E-3</v>
      </c>
      <c r="E99" s="523">
        <f t="shared" si="11"/>
        <v>-1.0481131958570375E-2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1.0928136633889672E-3</v>
      </c>
      <c r="D100" s="523">
        <f t="shared" si="10"/>
        <v>1.2845359516482258E-3</v>
      </c>
      <c r="E100" s="523">
        <f t="shared" si="11"/>
        <v>1.9172228825925855E-4</v>
      </c>
    </row>
    <row r="101" spans="1:5" s="506" customFormat="1" x14ac:dyDescent="0.2">
      <c r="A101" s="512">
        <v>7</v>
      </c>
      <c r="B101" s="511" t="s">
        <v>734</v>
      </c>
      <c r="C101" s="523">
        <f t="shared" si="10"/>
        <v>2.0650236614015629E-2</v>
      </c>
      <c r="D101" s="523">
        <f t="shared" si="10"/>
        <v>1.7257583560705895E-2</v>
      </c>
      <c r="E101" s="523">
        <f t="shared" si="11"/>
        <v>-3.392653053309734E-3</v>
      </c>
    </row>
    <row r="102" spans="1:5" s="506" customFormat="1" x14ac:dyDescent="0.2">
      <c r="A102" s="512"/>
      <c r="B102" s="516" t="s">
        <v>774</v>
      </c>
      <c r="C102" s="524">
        <f>SUM(C96+C97+C100)</f>
        <v>0.25576812902572299</v>
      </c>
      <c r="D102" s="524">
        <f>SUM(D96+D97+D100)</f>
        <v>0.27315706502142045</v>
      </c>
      <c r="E102" s="525">
        <f t="shared" si="11"/>
        <v>1.7388935995697463E-2</v>
      </c>
    </row>
    <row r="103" spans="1:5" s="506" customFormat="1" x14ac:dyDescent="0.2">
      <c r="A103" s="512"/>
      <c r="B103" s="516" t="s">
        <v>775</v>
      </c>
      <c r="C103" s="524">
        <f>SUM(C95+C102)</f>
        <v>0.51668522585785825</v>
      </c>
      <c r="D103" s="524">
        <f>SUM(D95+D102)</f>
        <v>0.51771143043074175</v>
      </c>
      <c r="E103" s="525">
        <f t="shared" si="11"/>
        <v>1.0262045728834934E-3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776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777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627</v>
      </c>
      <c r="C109" s="523">
        <f t="shared" ref="C109:D115" si="12">IF(C$77=0,0,C47/C$77)</f>
        <v>0.18660758597028085</v>
      </c>
      <c r="D109" s="523">
        <f t="shared" si="12"/>
        <v>0.18275151892278699</v>
      </c>
      <c r="E109" s="523">
        <f t="shared" ref="E109:E117" si="13">D109-C109</f>
        <v>-3.8560670474938608E-3</v>
      </c>
    </row>
    <row r="110" spans="1:5" s="506" customFormat="1" x14ac:dyDescent="0.2">
      <c r="A110" s="512">
        <v>2</v>
      </c>
      <c r="B110" s="511" t="s">
        <v>606</v>
      </c>
      <c r="C110" s="523">
        <f t="shared" si="12"/>
        <v>0.25089313730280377</v>
      </c>
      <c r="D110" s="523">
        <f t="shared" si="12"/>
        <v>0.25131070355492935</v>
      </c>
      <c r="E110" s="523">
        <f t="shared" si="13"/>
        <v>4.1756625212557852E-4</v>
      </c>
    </row>
    <row r="111" spans="1:5" s="506" customFormat="1" x14ac:dyDescent="0.2">
      <c r="A111" s="512">
        <v>3</v>
      </c>
      <c r="B111" s="511" t="s">
        <v>752</v>
      </c>
      <c r="C111" s="523">
        <f t="shared" si="12"/>
        <v>4.6364886310381707E-2</v>
      </c>
      <c r="D111" s="523">
        <f t="shared" si="12"/>
        <v>5.2138797211674512E-2</v>
      </c>
      <c r="E111" s="523">
        <f t="shared" si="13"/>
        <v>5.7739109012928044E-3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4.412459326920154E-2</v>
      </c>
      <c r="D112" s="523">
        <f t="shared" si="12"/>
        <v>5.0726599164804383E-2</v>
      </c>
      <c r="E112" s="523">
        <f t="shared" si="13"/>
        <v>6.602005895602843E-3</v>
      </c>
    </row>
    <row r="113" spans="1:5" s="506" customFormat="1" x14ac:dyDescent="0.2">
      <c r="A113" s="512">
        <v>5</v>
      </c>
      <c r="B113" s="511" t="s">
        <v>719</v>
      </c>
      <c r="C113" s="523">
        <f t="shared" si="12"/>
        <v>2.2402930411801678E-3</v>
      </c>
      <c r="D113" s="523">
        <f t="shared" si="12"/>
        <v>1.4121980468701318E-3</v>
      </c>
      <c r="E113" s="523">
        <f t="shared" si="13"/>
        <v>-8.2809499431003592E-4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5.8844869852713207E-4</v>
      </c>
      <c r="D114" s="523">
        <f t="shared" si="12"/>
        <v>4.2654717324046521E-4</v>
      </c>
      <c r="E114" s="523">
        <f t="shared" si="13"/>
        <v>-1.6190152528666686E-4</v>
      </c>
    </row>
    <row r="115" spans="1:5" s="506" customFormat="1" x14ac:dyDescent="0.2">
      <c r="A115" s="512">
        <v>7</v>
      </c>
      <c r="B115" s="511" t="s">
        <v>734</v>
      </c>
      <c r="C115" s="523">
        <f t="shared" si="12"/>
        <v>5.8641525159227746E-4</v>
      </c>
      <c r="D115" s="523">
        <f t="shared" si="12"/>
        <v>1.5688571716844792E-3</v>
      </c>
      <c r="E115" s="523">
        <f t="shared" si="13"/>
        <v>9.8244192009220178E-4</v>
      </c>
    </row>
    <row r="116" spans="1:5" s="506" customFormat="1" x14ac:dyDescent="0.2">
      <c r="A116" s="512"/>
      <c r="B116" s="516" t="s">
        <v>771</v>
      </c>
      <c r="C116" s="524">
        <f>SUM(C110+C111+C114)</f>
        <v>0.29784647231171263</v>
      </c>
      <c r="D116" s="524">
        <f>SUM(D110+D111+D114)</f>
        <v>0.30387604793984435</v>
      </c>
      <c r="E116" s="525">
        <f t="shared" si="13"/>
        <v>6.0295756281317225E-3</v>
      </c>
    </row>
    <row r="117" spans="1:5" s="506" customFormat="1" x14ac:dyDescent="0.2">
      <c r="A117" s="512"/>
      <c r="B117" s="516" t="s">
        <v>772</v>
      </c>
      <c r="C117" s="524">
        <f>SUM(C109+C116)</f>
        <v>0.4844540582819935</v>
      </c>
      <c r="D117" s="524">
        <f>SUM(D109+D116)</f>
        <v>0.48662756686263131</v>
      </c>
      <c r="E117" s="525">
        <f t="shared" si="13"/>
        <v>2.1735085806378063E-3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778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627</v>
      </c>
      <c r="C121" s="523">
        <f t="shared" ref="C121:D127" si="14">IF(C$77=0,0,C58/C$77)</f>
        <v>0.35293268686323481</v>
      </c>
      <c r="D121" s="523">
        <f t="shared" si="14"/>
        <v>0.34340044879874937</v>
      </c>
      <c r="E121" s="523">
        <f t="shared" ref="E121:E129" si="15">D121-C121</f>
        <v>-9.5322380644854432E-3</v>
      </c>
    </row>
    <row r="122" spans="1:5" s="506" customFormat="1" x14ac:dyDescent="0.2">
      <c r="A122" s="512">
        <v>2</v>
      </c>
      <c r="B122" s="511" t="s">
        <v>606</v>
      </c>
      <c r="C122" s="523">
        <f t="shared" si="14"/>
        <v>0.10986271114476173</v>
      </c>
      <c r="D122" s="523">
        <f t="shared" si="14"/>
        <v>0.11100588707111984</v>
      </c>
      <c r="E122" s="523">
        <f t="shared" si="15"/>
        <v>1.1431759263581115E-3</v>
      </c>
    </row>
    <row r="123" spans="1:5" s="506" customFormat="1" x14ac:dyDescent="0.2">
      <c r="A123" s="512">
        <v>3</v>
      </c>
      <c r="B123" s="511" t="s">
        <v>752</v>
      </c>
      <c r="C123" s="523">
        <f t="shared" si="14"/>
        <v>5.1790596822730024E-2</v>
      </c>
      <c r="D123" s="523">
        <f t="shared" si="14"/>
        <v>5.7914739784522155E-2</v>
      </c>
      <c r="E123" s="523">
        <f t="shared" si="15"/>
        <v>6.1241429617921311E-3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4.9673127403572832E-2</v>
      </c>
      <c r="D124" s="523">
        <f t="shared" si="14"/>
        <v>5.6640990700675652E-2</v>
      </c>
      <c r="E124" s="523">
        <f t="shared" si="15"/>
        <v>6.9678632971028193E-3</v>
      </c>
    </row>
    <row r="125" spans="1:5" s="506" customFormat="1" x14ac:dyDescent="0.2">
      <c r="A125" s="512">
        <v>5</v>
      </c>
      <c r="B125" s="511" t="s">
        <v>719</v>
      </c>
      <c r="C125" s="523">
        <f t="shared" si="14"/>
        <v>2.1174694191571928E-3</v>
      </c>
      <c r="D125" s="523">
        <f t="shared" si="14"/>
        <v>1.2737490838465016E-3</v>
      </c>
      <c r="E125" s="523">
        <f t="shared" si="15"/>
        <v>-8.4372033531069117E-4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9.5994688727997035E-4</v>
      </c>
      <c r="D126" s="523">
        <f t="shared" si="14"/>
        <v>1.0513574829773657E-3</v>
      </c>
      <c r="E126" s="523">
        <f t="shared" si="15"/>
        <v>9.1410595697395377E-5</v>
      </c>
    </row>
    <row r="127" spans="1:5" s="506" customFormat="1" x14ac:dyDescent="0.2">
      <c r="A127" s="512">
        <v>7</v>
      </c>
      <c r="B127" s="511" t="s">
        <v>734</v>
      </c>
      <c r="C127" s="523">
        <f t="shared" si="14"/>
        <v>3.0886288242268248E-3</v>
      </c>
      <c r="D127" s="523">
        <f t="shared" si="14"/>
        <v>2.6896926299031332E-3</v>
      </c>
      <c r="E127" s="523">
        <f t="shared" si="15"/>
        <v>-3.989361943236916E-4</v>
      </c>
    </row>
    <row r="128" spans="1:5" s="506" customFormat="1" x14ac:dyDescent="0.2">
      <c r="A128" s="512"/>
      <c r="B128" s="516" t="s">
        <v>774</v>
      </c>
      <c r="C128" s="524">
        <f>SUM(C122+C123+C126)</f>
        <v>0.16261325485477171</v>
      </c>
      <c r="D128" s="524">
        <f>SUM(D122+D123+D126)</f>
        <v>0.16997198433861935</v>
      </c>
      <c r="E128" s="525">
        <f t="shared" si="15"/>
        <v>7.3587294838476369E-3</v>
      </c>
    </row>
    <row r="129" spans="1:5" s="506" customFormat="1" x14ac:dyDescent="0.2">
      <c r="A129" s="512"/>
      <c r="B129" s="516" t="s">
        <v>775</v>
      </c>
      <c r="C129" s="524">
        <f>SUM(C121+C128)</f>
        <v>0.5155459417180065</v>
      </c>
      <c r="D129" s="524">
        <f>SUM(D121+D128)</f>
        <v>0.51337243313736869</v>
      </c>
      <c r="E129" s="525">
        <f t="shared" si="15"/>
        <v>-2.1735085806378063E-3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779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780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781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627</v>
      </c>
      <c r="C137" s="530">
        <v>3270</v>
      </c>
      <c r="D137" s="530">
        <v>3252</v>
      </c>
      <c r="E137" s="531">
        <f t="shared" ref="E137:E145" si="16">D137-C137</f>
        <v>-18</v>
      </c>
    </row>
    <row r="138" spans="1:5" s="506" customFormat="1" x14ac:dyDescent="0.2">
      <c r="A138" s="512">
        <v>2</v>
      </c>
      <c r="B138" s="511" t="s">
        <v>606</v>
      </c>
      <c r="C138" s="530">
        <v>4619</v>
      </c>
      <c r="D138" s="530">
        <v>4826</v>
      </c>
      <c r="E138" s="531">
        <f t="shared" si="16"/>
        <v>207</v>
      </c>
    </row>
    <row r="139" spans="1:5" s="506" customFormat="1" x14ac:dyDescent="0.2">
      <c r="A139" s="512">
        <v>3</v>
      </c>
      <c r="B139" s="511" t="s">
        <v>752</v>
      </c>
      <c r="C139" s="530">
        <f>C140+C141</f>
        <v>1909</v>
      </c>
      <c r="D139" s="530">
        <f>D140+D141</f>
        <v>2138</v>
      </c>
      <c r="E139" s="531">
        <f t="shared" si="16"/>
        <v>229</v>
      </c>
    </row>
    <row r="140" spans="1:5" s="506" customFormat="1" x14ac:dyDescent="0.2">
      <c r="A140" s="512">
        <v>4</v>
      </c>
      <c r="B140" s="511" t="s">
        <v>114</v>
      </c>
      <c r="C140" s="530">
        <v>1741</v>
      </c>
      <c r="D140" s="530">
        <v>2106</v>
      </c>
      <c r="E140" s="531">
        <f t="shared" si="16"/>
        <v>365</v>
      </c>
    </row>
    <row r="141" spans="1:5" s="506" customFormat="1" x14ac:dyDescent="0.2">
      <c r="A141" s="512">
        <v>5</v>
      </c>
      <c r="B141" s="511" t="s">
        <v>719</v>
      </c>
      <c r="C141" s="530">
        <v>168</v>
      </c>
      <c r="D141" s="530">
        <v>32</v>
      </c>
      <c r="E141" s="531">
        <f t="shared" si="16"/>
        <v>-136</v>
      </c>
    </row>
    <row r="142" spans="1:5" s="506" customFormat="1" x14ac:dyDescent="0.2">
      <c r="A142" s="512">
        <v>6</v>
      </c>
      <c r="B142" s="511" t="s">
        <v>418</v>
      </c>
      <c r="C142" s="530">
        <v>20</v>
      </c>
      <c r="D142" s="530">
        <v>19</v>
      </c>
      <c r="E142" s="531">
        <f t="shared" si="16"/>
        <v>-1</v>
      </c>
    </row>
    <row r="143" spans="1:5" s="506" customFormat="1" x14ac:dyDescent="0.2">
      <c r="A143" s="512">
        <v>7</v>
      </c>
      <c r="B143" s="511" t="s">
        <v>734</v>
      </c>
      <c r="C143" s="530">
        <v>234</v>
      </c>
      <c r="D143" s="530">
        <v>209</v>
      </c>
      <c r="E143" s="531">
        <f t="shared" si="16"/>
        <v>-25</v>
      </c>
    </row>
    <row r="144" spans="1:5" s="506" customFormat="1" x14ac:dyDescent="0.2">
      <c r="A144" s="512"/>
      <c r="B144" s="516" t="s">
        <v>782</v>
      </c>
      <c r="C144" s="532">
        <f>SUM(C138+C139+C142)</f>
        <v>6548</v>
      </c>
      <c r="D144" s="532">
        <f>SUM(D138+D139+D142)</f>
        <v>6983</v>
      </c>
      <c r="E144" s="533">
        <f t="shared" si="16"/>
        <v>435</v>
      </c>
    </row>
    <row r="145" spans="1:5" s="506" customFormat="1" x14ac:dyDescent="0.2">
      <c r="A145" s="512"/>
      <c r="B145" s="516" t="s">
        <v>696</v>
      </c>
      <c r="C145" s="532">
        <f>SUM(C137+C144)</f>
        <v>9818</v>
      </c>
      <c r="D145" s="532">
        <f>SUM(D137+D144)</f>
        <v>10235</v>
      </c>
      <c r="E145" s="533">
        <f t="shared" si="16"/>
        <v>417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627</v>
      </c>
      <c r="C149" s="534">
        <v>11526</v>
      </c>
      <c r="D149" s="534">
        <v>11282</v>
      </c>
      <c r="E149" s="531">
        <f t="shared" ref="E149:E157" si="17">D149-C149</f>
        <v>-244</v>
      </c>
    </row>
    <row r="150" spans="1:5" s="506" customFormat="1" x14ac:dyDescent="0.2">
      <c r="A150" s="512">
        <v>2</v>
      </c>
      <c r="B150" s="511" t="s">
        <v>606</v>
      </c>
      <c r="C150" s="534">
        <v>23725</v>
      </c>
      <c r="D150" s="534">
        <v>25200</v>
      </c>
      <c r="E150" s="531">
        <f t="shared" si="17"/>
        <v>1475</v>
      </c>
    </row>
    <row r="151" spans="1:5" s="506" customFormat="1" x14ac:dyDescent="0.2">
      <c r="A151" s="512">
        <v>3</v>
      </c>
      <c r="B151" s="511" t="s">
        <v>752</v>
      </c>
      <c r="C151" s="534">
        <f>C152+C153</f>
        <v>7050</v>
      </c>
      <c r="D151" s="534">
        <f>D152+D153</f>
        <v>8064</v>
      </c>
      <c r="E151" s="531">
        <f t="shared" si="17"/>
        <v>1014</v>
      </c>
    </row>
    <row r="152" spans="1:5" s="506" customFormat="1" x14ac:dyDescent="0.2">
      <c r="A152" s="512">
        <v>4</v>
      </c>
      <c r="B152" s="511" t="s">
        <v>114</v>
      </c>
      <c r="C152" s="534">
        <v>6201</v>
      </c>
      <c r="D152" s="534">
        <v>7822</v>
      </c>
      <c r="E152" s="531">
        <f t="shared" si="17"/>
        <v>1621</v>
      </c>
    </row>
    <row r="153" spans="1:5" s="506" customFormat="1" x14ac:dyDescent="0.2">
      <c r="A153" s="512">
        <v>5</v>
      </c>
      <c r="B153" s="511" t="s">
        <v>719</v>
      </c>
      <c r="C153" s="535">
        <v>849</v>
      </c>
      <c r="D153" s="534">
        <v>242</v>
      </c>
      <c r="E153" s="531">
        <f t="shared" si="17"/>
        <v>-607</v>
      </c>
    </row>
    <row r="154" spans="1:5" s="506" customFormat="1" x14ac:dyDescent="0.2">
      <c r="A154" s="512">
        <v>6</v>
      </c>
      <c r="B154" s="511" t="s">
        <v>418</v>
      </c>
      <c r="C154" s="534">
        <v>58</v>
      </c>
      <c r="D154" s="534">
        <v>58</v>
      </c>
      <c r="E154" s="531">
        <f t="shared" si="17"/>
        <v>0</v>
      </c>
    </row>
    <row r="155" spans="1:5" s="506" customFormat="1" x14ac:dyDescent="0.2">
      <c r="A155" s="512">
        <v>7</v>
      </c>
      <c r="B155" s="511" t="s">
        <v>734</v>
      </c>
      <c r="C155" s="534">
        <v>969</v>
      </c>
      <c r="D155" s="534">
        <v>870</v>
      </c>
      <c r="E155" s="531">
        <f t="shared" si="17"/>
        <v>-99</v>
      </c>
    </row>
    <row r="156" spans="1:5" s="506" customFormat="1" x14ac:dyDescent="0.2">
      <c r="A156" s="512"/>
      <c r="B156" s="516" t="s">
        <v>783</v>
      </c>
      <c r="C156" s="532">
        <f>SUM(C150+C151+C154)</f>
        <v>30833</v>
      </c>
      <c r="D156" s="532">
        <f>SUM(D150+D151+D154)</f>
        <v>33322</v>
      </c>
      <c r="E156" s="533">
        <f t="shared" si="17"/>
        <v>2489</v>
      </c>
    </row>
    <row r="157" spans="1:5" s="506" customFormat="1" x14ac:dyDescent="0.2">
      <c r="A157" s="512"/>
      <c r="B157" s="516" t="s">
        <v>784</v>
      </c>
      <c r="C157" s="532">
        <f>SUM(C149+C156)</f>
        <v>42359</v>
      </c>
      <c r="D157" s="532">
        <f>SUM(D149+D156)</f>
        <v>44604</v>
      </c>
      <c r="E157" s="533">
        <f t="shared" si="17"/>
        <v>2245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785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627</v>
      </c>
      <c r="C161" s="536">
        <f t="shared" ref="C161:D169" si="18">IF(C137=0,0,C149/C137)</f>
        <v>3.524770642201835</v>
      </c>
      <c r="D161" s="536">
        <f t="shared" si="18"/>
        <v>3.4692496924969252</v>
      </c>
      <c r="E161" s="537">
        <f t="shared" ref="E161:E169" si="19">D161-C161</f>
        <v>-5.5520949704909839E-2</v>
      </c>
    </row>
    <row r="162" spans="1:5" s="506" customFormat="1" x14ac:dyDescent="0.2">
      <c r="A162" s="512">
        <v>2</v>
      </c>
      <c r="B162" s="511" t="s">
        <v>606</v>
      </c>
      <c r="C162" s="536">
        <f t="shared" si="18"/>
        <v>5.1363931586923579</v>
      </c>
      <c r="D162" s="536">
        <f t="shared" si="18"/>
        <v>5.2217157065893076</v>
      </c>
      <c r="E162" s="537">
        <f t="shared" si="19"/>
        <v>8.5322547896949708E-2</v>
      </c>
    </row>
    <row r="163" spans="1:5" s="506" customFormat="1" x14ac:dyDescent="0.2">
      <c r="A163" s="512">
        <v>3</v>
      </c>
      <c r="B163" s="511" t="s">
        <v>752</v>
      </c>
      <c r="C163" s="536">
        <f t="shared" si="18"/>
        <v>3.6930330015715036</v>
      </c>
      <c r="D163" s="536">
        <f t="shared" si="18"/>
        <v>3.7717492984097287</v>
      </c>
      <c r="E163" s="537">
        <f t="shared" si="19"/>
        <v>7.8716296838225119E-2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3.5617461229178633</v>
      </c>
      <c r="D164" s="536">
        <f t="shared" si="18"/>
        <v>3.7141500474833808</v>
      </c>
      <c r="E164" s="537">
        <f t="shared" si="19"/>
        <v>0.15240392456551755</v>
      </c>
    </row>
    <row r="165" spans="1:5" s="506" customFormat="1" x14ac:dyDescent="0.2">
      <c r="A165" s="512">
        <v>5</v>
      </c>
      <c r="B165" s="511" t="s">
        <v>719</v>
      </c>
      <c r="C165" s="536">
        <f t="shared" si="18"/>
        <v>5.0535714285714288</v>
      </c>
      <c r="D165" s="536">
        <f t="shared" si="18"/>
        <v>7.5625</v>
      </c>
      <c r="E165" s="537">
        <f t="shared" si="19"/>
        <v>2.5089285714285712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2.9</v>
      </c>
      <c r="D166" s="536">
        <f t="shared" si="18"/>
        <v>3.0526315789473686</v>
      </c>
      <c r="E166" s="537">
        <f t="shared" si="19"/>
        <v>0.15263157894736867</v>
      </c>
    </row>
    <row r="167" spans="1:5" s="506" customFormat="1" x14ac:dyDescent="0.2">
      <c r="A167" s="512">
        <v>7</v>
      </c>
      <c r="B167" s="511" t="s">
        <v>734</v>
      </c>
      <c r="C167" s="536">
        <f t="shared" si="18"/>
        <v>4.1410256410256414</v>
      </c>
      <c r="D167" s="536">
        <f t="shared" si="18"/>
        <v>4.1626794258373208</v>
      </c>
      <c r="E167" s="537">
        <f t="shared" si="19"/>
        <v>2.1653784811679344E-2</v>
      </c>
    </row>
    <row r="168" spans="1:5" s="506" customFormat="1" x14ac:dyDescent="0.2">
      <c r="A168" s="512"/>
      <c r="B168" s="516" t="s">
        <v>786</v>
      </c>
      <c r="C168" s="538">
        <f t="shared" si="18"/>
        <v>4.7087660354306662</v>
      </c>
      <c r="D168" s="538">
        <f t="shared" si="18"/>
        <v>4.7718745524846051</v>
      </c>
      <c r="E168" s="539">
        <f t="shared" si="19"/>
        <v>6.310851705393894E-2</v>
      </c>
    </row>
    <row r="169" spans="1:5" s="506" customFormat="1" x14ac:dyDescent="0.2">
      <c r="A169" s="512"/>
      <c r="B169" s="516" t="s">
        <v>720</v>
      </c>
      <c r="C169" s="538">
        <f t="shared" si="18"/>
        <v>4.3144224893053575</v>
      </c>
      <c r="D169" s="538">
        <f t="shared" si="18"/>
        <v>4.3579872984855887</v>
      </c>
      <c r="E169" s="539">
        <f t="shared" si="19"/>
        <v>4.3564809180231201E-2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787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627</v>
      </c>
      <c r="C173" s="541">
        <f t="shared" ref="C173:D181" si="20">IF(C137=0,0,C203/C137)</f>
        <v>1.03484</v>
      </c>
      <c r="D173" s="541">
        <f t="shared" si="20"/>
        <v>1.02963</v>
      </c>
      <c r="E173" s="542">
        <f t="shared" ref="E173:E181" si="21">D173-C173</f>
        <v>-5.2099999999999369E-3</v>
      </c>
    </row>
    <row r="174" spans="1:5" s="506" customFormat="1" x14ac:dyDescent="0.2">
      <c r="A174" s="512">
        <v>2</v>
      </c>
      <c r="B174" s="511" t="s">
        <v>606</v>
      </c>
      <c r="C174" s="541">
        <f t="shared" si="20"/>
        <v>1.4248700000000001</v>
      </c>
      <c r="D174" s="541">
        <f t="shared" si="20"/>
        <v>1.4068799999999999</v>
      </c>
      <c r="E174" s="542">
        <f t="shared" si="21"/>
        <v>-1.7990000000000173E-2</v>
      </c>
    </row>
    <row r="175" spans="1:5" s="506" customFormat="1" x14ac:dyDescent="0.2">
      <c r="A175" s="512">
        <v>0</v>
      </c>
      <c r="B175" s="511" t="s">
        <v>752</v>
      </c>
      <c r="C175" s="541">
        <f t="shared" si="20"/>
        <v>0.84003761655316911</v>
      </c>
      <c r="D175" s="541">
        <f t="shared" si="20"/>
        <v>0.90426324602432173</v>
      </c>
      <c r="E175" s="542">
        <f t="shared" si="21"/>
        <v>6.4225629471152623E-2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0.81113000000000002</v>
      </c>
      <c r="D176" s="541">
        <f t="shared" si="20"/>
        <v>0.90081</v>
      </c>
      <c r="E176" s="542">
        <f t="shared" si="21"/>
        <v>8.9679999999999982E-2</v>
      </c>
    </row>
    <row r="177" spans="1:5" s="506" customFormat="1" x14ac:dyDescent="0.2">
      <c r="A177" s="512">
        <v>5</v>
      </c>
      <c r="B177" s="511" t="s">
        <v>719</v>
      </c>
      <c r="C177" s="541">
        <f t="shared" si="20"/>
        <v>1.13961</v>
      </c>
      <c r="D177" s="541">
        <f t="shared" si="20"/>
        <v>1.1315299999999999</v>
      </c>
      <c r="E177" s="542">
        <f t="shared" si="21"/>
        <v>-8.0800000000000871E-3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1.12174</v>
      </c>
      <c r="D178" s="541">
        <f t="shared" si="20"/>
        <v>0.91139000000000003</v>
      </c>
      <c r="E178" s="542">
        <f t="shared" si="21"/>
        <v>-0.21034999999999993</v>
      </c>
    </row>
    <row r="179" spans="1:5" s="506" customFormat="1" x14ac:dyDescent="0.2">
      <c r="A179" s="512">
        <v>7</v>
      </c>
      <c r="B179" s="511" t="s">
        <v>734</v>
      </c>
      <c r="C179" s="541">
        <f t="shared" si="20"/>
        <v>1.07494</v>
      </c>
      <c r="D179" s="541">
        <f t="shared" si="20"/>
        <v>0.97809999999999997</v>
      </c>
      <c r="E179" s="542">
        <f t="shared" si="21"/>
        <v>-9.6840000000000037E-2</v>
      </c>
    </row>
    <row r="180" spans="1:5" s="506" customFormat="1" x14ac:dyDescent="0.2">
      <c r="A180" s="512"/>
      <c r="B180" s="516" t="s">
        <v>788</v>
      </c>
      <c r="C180" s="543">
        <f t="shared" si="20"/>
        <v>1.2534424465485647</v>
      </c>
      <c r="D180" s="543">
        <f t="shared" si="20"/>
        <v>1.2516445811255907</v>
      </c>
      <c r="E180" s="544">
        <f t="shared" si="21"/>
        <v>-1.7978654229739988E-3</v>
      </c>
    </row>
    <row r="181" spans="1:5" s="506" customFormat="1" x14ac:dyDescent="0.2">
      <c r="A181" s="512"/>
      <c r="B181" s="516" t="s">
        <v>697</v>
      </c>
      <c r="C181" s="543">
        <f t="shared" si="20"/>
        <v>1.1806343389692402</v>
      </c>
      <c r="D181" s="543">
        <f t="shared" si="20"/>
        <v>1.1811031626770885</v>
      </c>
      <c r="E181" s="544">
        <f t="shared" si="21"/>
        <v>4.6882370784828709E-4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789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790</v>
      </c>
      <c r="C185" s="513">
        <v>132260378</v>
      </c>
      <c r="D185" s="513">
        <v>145881128</v>
      </c>
      <c r="E185" s="514">
        <f>D185-C185</f>
        <v>13620750</v>
      </c>
    </row>
    <row r="186" spans="1:5" s="506" customFormat="1" ht="25.5" x14ac:dyDescent="0.2">
      <c r="A186" s="512">
        <v>2</v>
      </c>
      <c r="B186" s="511" t="s">
        <v>791</v>
      </c>
      <c r="C186" s="513">
        <v>93181255</v>
      </c>
      <c r="D186" s="513">
        <v>100144953</v>
      </c>
      <c r="E186" s="514">
        <f>D186-C186</f>
        <v>6963698</v>
      </c>
    </row>
    <row r="187" spans="1:5" s="506" customFormat="1" x14ac:dyDescent="0.2">
      <c r="A187" s="512"/>
      <c r="B187" s="511" t="s">
        <v>639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723</v>
      </c>
      <c r="C188" s="546">
        <f>+C185-C186</f>
        <v>39079123</v>
      </c>
      <c r="D188" s="546">
        <f>+D185-D186</f>
        <v>45736175</v>
      </c>
      <c r="E188" s="514">
        <f t="shared" ref="E188:E197" si="22">D188-C188</f>
        <v>6657052</v>
      </c>
    </row>
    <row r="189" spans="1:5" s="506" customFormat="1" x14ac:dyDescent="0.2">
      <c r="A189" s="512">
        <v>4</v>
      </c>
      <c r="B189" s="511" t="s">
        <v>641</v>
      </c>
      <c r="C189" s="547">
        <f>IF(C185=0,0,+C188/C185)</f>
        <v>0.29547112741504489</v>
      </c>
      <c r="D189" s="547">
        <f>IF(D185=0,0,+D188/D185)</f>
        <v>0.31351673535181329</v>
      </c>
      <c r="E189" s="523">
        <f t="shared" si="22"/>
        <v>1.8045607936768404E-2</v>
      </c>
    </row>
    <row r="190" spans="1:5" s="506" customFormat="1" x14ac:dyDescent="0.2">
      <c r="A190" s="512">
        <v>5</v>
      </c>
      <c r="B190" s="511" t="s">
        <v>738</v>
      </c>
      <c r="C190" s="513">
        <v>5000636</v>
      </c>
      <c r="D190" s="513">
        <v>474597</v>
      </c>
      <c r="E190" s="546">
        <f t="shared" si="22"/>
        <v>-4526039</v>
      </c>
    </row>
    <row r="191" spans="1:5" s="506" customFormat="1" x14ac:dyDescent="0.2">
      <c r="A191" s="512">
        <v>6</v>
      </c>
      <c r="B191" s="511" t="s">
        <v>724</v>
      </c>
      <c r="C191" s="513">
        <v>2852678</v>
      </c>
      <c r="D191" s="513">
        <v>272514</v>
      </c>
      <c r="E191" s="546">
        <f t="shared" si="22"/>
        <v>-2580164</v>
      </c>
    </row>
    <row r="192" spans="1:5" ht="29.25" x14ac:dyDescent="0.2">
      <c r="A192" s="512">
        <v>7</v>
      </c>
      <c r="B192" s="548" t="s">
        <v>792</v>
      </c>
      <c r="C192" s="513">
        <v>1215043</v>
      </c>
      <c r="D192" s="513">
        <v>0</v>
      </c>
      <c r="E192" s="546">
        <f t="shared" si="22"/>
        <v>-1215043</v>
      </c>
    </row>
    <row r="193" spans="1:5" s="506" customFormat="1" x14ac:dyDescent="0.2">
      <c r="A193" s="512">
        <v>8</v>
      </c>
      <c r="B193" s="511" t="s">
        <v>793</v>
      </c>
      <c r="C193" s="513">
        <v>3637983</v>
      </c>
      <c r="D193" s="513">
        <v>3025038</v>
      </c>
      <c r="E193" s="546">
        <f t="shared" si="22"/>
        <v>-612945</v>
      </c>
    </row>
    <row r="194" spans="1:5" s="506" customFormat="1" x14ac:dyDescent="0.2">
      <c r="A194" s="512">
        <v>9</v>
      </c>
      <c r="B194" s="511" t="s">
        <v>794</v>
      </c>
      <c r="C194" s="513">
        <v>10465542</v>
      </c>
      <c r="D194" s="513">
        <v>7875420</v>
      </c>
      <c r="E194" s="546">
        <f t="shared" si="22"/>
        <v>-2590122</v>
      </c>
    </row>
    <row r="195" spans="1:5" s="506" customFormat="1" x14ac:dyDescent="0.2">
      <c r="A195" s="512">
        <v>10</v>
      </c>
      <c r="B195" s="511" t="s">
        <v>795</v>
      </c>
      <c r="C195" s="513">
        <f>+C193+C194</f>
        <v>14103525</v>
      </c>
      <c r="D195" s="513">
        <f>+D193+D194</f>
        <v>10900458</v>
      </c>
      <c r="E195" s="549">
        <f t="shared" si="22"/>
        <v>-3203067</v>
      </c>
    </row>
    <row r="196" spans="1:5" s="506" customFormat="1" x14ac:dyDescent="0.2">
      <c r="A196" s="512">
        <v>11</v>
      </c>
      <c r="B196" s="511" t="s">
        <v>796</v>
      </c>
      <c r="C196" s="513">
        <v>132260378</v>
      </c>
      <c r="D196" s="513">
        <v>145881128</v>
      </c>
      <c r="E196" s="546">
        <f t="shared" si="22"/>
        <v>13620750</v>
      </c>
    </row>
    <row r="197" spans="1:5" s="506" customFormat="1" x14ac:dyDescent="0.2">
      <c r="A197" s="512">
        <v>12</v>
      </c>
      <c r="B197" s="511" t="s">
        <v>681</v>
      </c>
      <c r="C197" s="513">
        <v>190181772</v>
      </c>
      <c r="D197" s="513">
        <v>203675287</v>
      </c>
      <c r="E197" s="546">
        <f t="shared" si="22"/>
        <v>13493515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797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798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627</v>
      </c>
      <c r="C203" s="553">
        <v>3383.9267999999997</v>
      </c>
      <c r="D203" s="553">
        <v>3348.3567600000001</v>
      </c>
      <c r="E203" s="554">
        <f t="shared" ref="E203:E211" si="23">D203-C203</f>
        <v>-35.570039999999608</v>
      </c>
    </row>
    <row r="204" spans="1:5" s="506" customFormat="1" x14ac:dyDescent="0.2">
      <c r="A204" s="512">
        <v>2</v>
      </c>
      <c r="B204" s="511" t="s">
        <v>606</v>
      </c>
      <c r="C204" s="553">
        <v>6581.4745300000004</v>
      </c>
      <c r="D204" s="553">
        <v>6789.6028799999995</v>
      </c>
      <c r="E204" s="554">
        <f t="shared" si="23"/>
        <v>208.12834999999905</v>
      </c>
    </row>
    <row r="205" spans="1:5" s="506" customFormat="1" x14ac:dyDescent="0.2">
      <c r="A205" s="512">
        <v>3</v>
      </c>
      <c r="B205" s="511" t="s">
        <v>752</v>
      </c>
      <c r="C205" s="553">
        <f>C206+C207</f>
        <v>1603.6318099999999</v>
      </c>
      <c r="D205" s="553">
        <f>D206+D207</f>
        <v>1933.3148199999998</v>
      </c>
      <c r="E205" s="554">
        <f t="shared" si="23"/>
        <v>329.68300999999997</v>
      </c>
    </row>
    <row r="206" spans="1:5" s="506" customFormat="1" x14ac:dyDescent="0.2">
      <c r="A206" s="512">
        <v>4</v>
      </c>
      <c r="B206" s="511" t="s">
        <v>114</v>
      </c>
      <c r="C206" s="553">
        <v>1412.17733</v>
      </c>
      <c r="D206" s="553">
        <v>1897.1058599999999</v>
      </c>
      <c r="E206" s="554">
        <f t="shared" si="23"/>
        <v>484.92852999999991</v>
      </c>
    </row>
    <row r="207" spans="1:5" s="506" customFormat="1" x14ac:dyDescent="0.2">
      <c r="A207" s="512">
        <v>5</v>
      </c>
      <c r="B207" s="511" t="s">
        <v>719</v>
      </c>
      <c r="C207" s="553">
        <v>191.45447999999999</v>
      </c>
      <c r="D207" s="553">
        <v>36.208959999999998</v>
      </c>
      <c r="E207" s="554">
        <f t="shared" si="23"/>
        <v>-155.24552</v>
      </c>
    </row>
    <row r="208" spans="1:5" s="506" customFormat="1" x14ac:dyDescent="0.2">
      <c r="A208" s="512">
        <v>6</v>
      </c>
      <c r="B208" s="511" t="s">
        <v>418</v>
      </c>
      <c r="C208" s="553">
        <v>22.434799999999999</v>
      </c>
      <c r="D208" s="553">
        <v>17.316410000000001</v>
      </c>
      <c r="E208" s="554">
        <f t="shared" si="23"/>
        <v>-5.118389999999998</v>
      </c>
    </row>
    <row r="209" spans="1:5" s="506" customFormat="1" x14ac:dyDescent="0.2">
      <c r="A209" s="512">
        <v>7</v>
      </c>
      <c r="B209" s="511" t="s">
        <v>734</v>
      </c>
      <c r="C209" s="553">
        <v>251.53595999999999</v>
      </c>
      <c r="D209" s="553">
        <v>204.4229</v>
      </c>
      <c r="E209" s="554">
        <f t="shared" si="23"/>
        <v>-47.11305999999999</v>
      </c>
    </row>
    <row r="210" spans="1:5" s="506" customFormat="1" x14ac:dyDescent="0.2">
      <c r="A210" s="512"/>
      <c r="B210" s="516" t="s">
        <v>799</v>
      </c>
      <c r="C210" s="555">
        <f>C204+C205+C208</f>
        <v>8207.5411400000012</v>
      </c>
      <c r="D210" s="555">
        <f>D204+D205+D208</f>
        <v>8740.2341099999994</v>
      </c>
      <c r="E210" s="556">
        <f t="shared" si="23"/>
        <v>532.69296999999824</v>
      </c>
    </row>
    <row r="211" spans="1:5" s="506" customFormat="1" x14ac:dyDescent="0.2">
      <c r="A211" s="512"/>
      <c r="B211" s="516" t="s">
        <v>698</v>
      </c>
      <c r="C211" s="555">
        <f>C210+C203</f>
        <v>11591.46794</v>
      </c>
      <c r="D211" s="555">
        <f>D210+D203</f>
        <v>12088.59087</v>
      </c>
      <c r="E211" s="556">
        <f t="shared" si="23"/>
        <v>497.12292999999954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800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627</v>
      </c>
      <c r="C215" s="557">
        <f>IF(C14*C137=0,0,C25/C14*C137)</f>
        <v>6070.9482569528282</v>
      </c>
      <c r="D215" s="557">
        <f>IF(D14*D137=0,0,D25/D14*D137)</f>
        <v>6115.2516321136955</v>
      </c>
      <c r="E215" s="557">
        <f t="shared" ref="E215:E223" si="24">D215-C215</f>
        <v>44.30337516086729</v>
      </c>
    </row>
    <row r="216" spans="1:5" s="506" customFormat="1" x14ac:dyDescent="0.2">
      <c r="A216" s="512">
        <v>2</v>
      </c>
      <c r="B216" s="511" t="s">
        <v>606</v>
      </c>
      <c r="C216" s="557">
        <f>IF(C15*C138=0,0,C26/C15*C138)</f>
        <v>2691.1055934982951</v>
      </c>
      <c r="D216" s="557">
        <f>IF(D15*D138=0,0,D26/D15*D138)</f>
        <v>2963.6810668414555</v>
      </c>
      <c r="E216" s="557">
        <f t="shared" si="24"/>
        <v>272.57547334316041</v>
      </c>
    </row>
    <row r="217" spans="1:5" s="506" customFormat="1" x14ac:dyDescent="0.2">
      <c r="A217" s="512">
        <v>3</v>
      </c>
      <c r="B217" s="511" t="s">
        <v>752</v>
      </c>
      <c r="C217" s="557">
        <f>C218+C219</f>
        <v>2815.2388008583798</v>
      </c>
      <c r="D217" s="557">
        <f>D218+D219</f>
        <v>2959.5943627165802</v>
      </c>
      <c r="E217" s="557">
        <f t="shared" si="24"/>
        <v>144.35556185820042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2504.5248234894843</v>
      </c>
      <c r="D218" s="557">
        <f t="shared" si="25"/>
        <v>2917.9321291438159</v>
      </c>
      <c r="E218" s="557">
        <f t="shared" si="24"/>
        <v>413.40730565433159</v>
      </c>
    </row>
    <row r="219" spans="1:5" s="506" customFormat="1" x14ac:dyDescent="0.2">
      <c r="A219" s="512">
        <v>5</v>
      </c>
      <c r="B219" s="511" t="s">
        <v>719</v>
      </c>
      <c r="C219" s="557">
        <f t="shared" si="25"/>
        <v>310.71397736889537</v>
      </c>
      <c r="D219" s="557">
        <f t="shared" si="25"/>
        <v>41.66223357276445</v>
      </c>
      <c r="E219" s="557">
        <f t="shared" si="24"/>
        <v>-269.05174379613095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32.62643156368965</v>
      </c>
      <c r="D220" s="557">
        <f t="shared" si="25"/>
        <v>46.831232099481568</v>
      </c>
      <c r="E220" s="557">
        <f t="shared" si="24"/>
        <v>14.204800535791918</v>
      </c>
    </row>
    <row r="221" spans="1:5" s="506" customFormat="1" x14ac:dyDescent="0.2">
      <c r="A221" s="512">
        <v>7</v>
      </c>
      <c r="B221" s="511" t="s">
        <v>734</v>
      </c>
      <c r="C221" s="557">
        <f t="shared" si="25"/>
        <v>460.39101946954116</v>
      </c>
      <c r="D221" s="557">
        <f t="shared" si="25"/>
        <v>450.34723523815876</v>
      </c>
      <c r="E221" s="557">
        <f t="shared" si="24"/>
        <v>-10.043784231382404</v>
      </c>
    </row>
    <row r="222" spans="1:5" s="506" customFormat="1" x14ac:dyDescent="0.2">
      <c r="A222" s="512"/>
      <c r="B222" s="516" t="s">
        <v>801</v>
      </c>
      <c r="C222" s="558">
        <f>C216+C218+C219+C220</f>
        <v>5538.9708259203644</v>
      </c>
      <c r="D222" s="558">
        <f>D216+D218+D219+D220</f>
        <v>5970.1066616575181</v>
      </c>
      <c r="E222" s="558">
        <f t="shared" si="24"/>
        <v>431.13583573715368</v>
      </c>
    </row>
    <row r="223" spans="1:5" s="506" customFormat="1" x14ac:dyDescent="0.2">
      <c r="A223" s="512"/>
      <c r="B223" s="516" t="s">
        <v>802</v>
      </c>
      <c r="C223" s="558">
        <f>C215+C222</f>
        <v>11609.919082873192</v>
      </c>
      <c r="D223" s="558">
        <f>D215+D222</f>
        <v>12085.358293771213</v>
      </c>
      <c r="E223" s="558">
        <f t="shared" si="24"/>
        <v>475.43921089802097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803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627</v>
      </c>
      <c r="C227" s="560">
        <f t="shared" ref="C227:D235" si="26">IF(C203=0,0,C47/C203)</f>
        <v>9654.4044628861357</v>
      </c>
      <c r="D227" s="560">
        <f t="shared" si="26"/>
        <v>10550.137733829772</v>
      </c>
      <c r="E227" s="560">
        <f t="shared" ref="E227:E235" si="27">D227-C227</f>
        <v>895.73327094363594</v>
      </c>
    </row>
    <row r="228" spans="1:5" s="506" customFormat="1" x14ac:dyDescent="0.2">
      <c r="A228" s="512">
        <v>2</v>
      </c>
      <c r="B228" s="511" t="s">
        <v>606</v>
      </c>
      <c r="C228" s="560">
        <f t="shared" si="26"/>
        <v>6673.9466664774891</v>
      </c>
      <c r="D228" s="560">
        <f t="shared" si="26"/>
        <v>7154.7666128007777</v>
      </c>
      <c r="E228" s="560">
        <f t="shared" si="27"/>
        <v>480.8199463232886</v>
      </c>
    </row>
    <row r="229" spans="1:5" s="506" customFormat="1" x14ac:dyDescent="0.2">
      <c r="A229" s="512">
        <v>3</v>
      </c>
      <c r="B229" s="511" t="s">
        <v>752</v>
      </c>
      <c r="C229" s="560">
        <f t="shared" si="26"/>
        <v>5061.7616521338532</v>
      </c>
      <c r="D229" s="560">
        <f t="shared" si="26"/>
        <v>5212.9947465048663</v>
      </c>
      <c r="E229" s="560">
        <f t="shared" si="27"/>
        <v>151.23309437101307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5470.2683833623078</v>
      </c>
      <c r="D230" s="560">
        <f t="shared" si="26"/>
        <v>5168.6013979209365</v>
      </c>
      <c r="E230" s="560">
        <f t="shared" si="27"/>
        <v>-301.66698544137125</v>
      </c>
    </row>
    <row r="231" spans="1:5" s="506" customFormat="1" x14ac:dyDescent="0.2">
      <c r="A231" s="512">
        <v>5</v>
      </c>
      <c r="B231" s="511" t="s">
        <v>719</v>
      </c>
      <c r="C231" s="560">
        <f t="shared" si="26"/>
        <v>2048.5966168041614</v>
      </c>
      <c r="D231" s="560">
        <f t="shared" si="26"/>
        <v>7538.9074969289377</v>
      </c>
      <c r="E231" s="560">
        <f t="shared" si="27"/>
        <v>5490.3108801247763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4592.0177581257694</v>
      </c>
      <c r="D232" s="560">
        <f t="shared" si="26"/>
        <v>4761.4372725062522</v>
      </c>
      <c r="E232" s="560">
        <f t="shared" si="27"/>
        <v>169.41951438048272</v>
      </c>
    </row>
    <row r="233" spans="1:5" s="506" customFormat="1" x14ac:dyDescent="0.2">
      <c r="A233" s="512">
        <v>7</v>
      </c>
      <c r="B233" s="511" t="s">
        <v>734</v>
      </c>
      <c r="C233" s="560">
        <f t="shared" si="26"/>
        <v>408.15237709948116</v>
      </c>
      <c r="D233" s="560">
        <f t="shared" si="26"/>
        <v>1483.483504049693</v>
      </c>
      <c r="E233" s="560">
        <f t="shared" si="27"/>
        <v>1075.3311269502119</v>
      </c>
    </row>
    <row r="234" spans="1:5" x14ac:dyDescent="0.2">
      <c r="A234" s="512"/>
      <c r="B234" s="516" t="s">
        <v>804</v>
      </c>
      <c r="C234" s="561">
        <f t="shared" si="26"/>
        <v>6353.2588031596506</v>
      </c>
      <c r="D234" s="561">
        <f t="shared" si="26"/>
        <v>6720.5104875617571</v>
      </c>
      <c r="E234" s="561">
        <f t="shared" si="27"/>
        <v>367.25168440210655</v>
      </c>
    </row>
    <row r="235" spans="1:5" s="506" customFormat="1" x14ac:dyDescent="0.2">
      <c r="A235" s="512"/>
      <c r="B235" s="516" t="s">
        <v>805</v>
      </c>
      <c r="C235" s="561">
        <f t="shared" si="26"/>
        <v>7316.9706752430529</v>
      </c>
      <c r="D235" s="561">
        <f t="shared" si="26"/>
        <v>7781.2592891565037</v>
      </c>
      <c r="E235" s="561">
        <f t="shared" si="27"/>
        <v>464.28861391345072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806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627</v>
      </c>
      <c r="C239" s="560">
        <f t="shared" ref="C239:D247" si="28">IF(C215=0,0,C58/C215)</f>
        <v>10177.767028278611</v>
      </c>
      <c r="D239" s="560">
        <f t="shared" si="28"/>
        <v>10854.639022770123</v>
      </c>
      <c r="E239" s="562">
        <f t="shared" ref="E239:E247" si="29">D239-C239</f>
        <v>676.87199449151194</v>
      </c>
    </row>
    <row r="240" spans="1:5" s="506" customFormat="1" x14ac:dyDescent="0.2">
      <c r="A240" s="512">
        <v>2</v>
      </c>
      <c r="B240" s="511" t="s">
        <v>606</v>
      </c>
      <c r="C240" s="560">
        <f t="shared" si="28"/>
        <v>7147.2130437650121</v>
      </c>
      <c r="D240" s="560">
        <f t="shared" si="28"/>
        <v>7240.0806686220512</v>
      </c>
      <c r="E240" s="562">
        <f t="shared" si="29"/>
        <v>92.867624857039118</v>
      </c>
    </row>
    <row r="241" spans="1:5" x14ac:dyDescent="0.2">
      <c r="A241" s="512">
        <v>3</v>
      </c>
      <c r="B241" s="511" t="s">
        <v>752</v>
      </c>
      <c r="C241" s="560">
        <f t="shared" si="28"/>
        <v>3220.7189660910472</v>
      </c>
      <c r="D241" s="560">
        <f t="shared" si="28"/>
        <v>3782.5595767537457</v>
      </c>
      <c r="E241" s="562">
        <f t="shared" si="29"/>
        <v>561.84061066269851</v>
      </c>
    </row>
    <row r="242" spans="1:5" x14ac:dyDescent="0.2">
      <c r="A242" s="512">
        <v>4</v>
      </c>
      <c r="B242" s="511" t="s">
        <v>114</v>
      </c>
      <c r="C242" s="560">
        <f t="shared" si="28"/>
        <v>3472.2686389203254</v>
      </c>
      <c r="D242" s="560">
        <f t="shared" si="28"/>
        <v>3752.1873420724705</v>
      </c>
      <c r="E242" s="562">
        <f t="shared" si="29"/>
        <v>279.9187031521451</v>
      </c>
    </row>
    <row r="243" spans="1:5" x14ac:dyDescent="0.2">
      <c r="A243" s="512">
        <v>5</v>
      </c>
      <c r="B243" s="511" t="s">
        <v>719</v>
      </c>
      <c r="C243" s="560">
        <f t="shared" si="28"/>
        <v>1193.0908391670914</v>
      </c>
      <c r="D243" s="560">
        <f t="shared" si="28"/>
        <v>5909.7647650114395</v>
      </c>
      <c r="E243" s="562">
        <f t="shared" si="29"/>
        <v>4716.6739258443486</v>
      </c>
    </row>
    <row r="244" spans="1:5" x14ac:dyDescent="0.2">
      <c r="A244" s="512">
        <v>6</v>
      </c>
      <c r="B244" s="511" t="s">
        <v>418</v>
      </c>
      <c r="C244" s="560">
        <f t="shared" si="28"/>
        <v>5151.0383436181846</v>
      </c>
      <c r="D244" s="560">
        <f t="shared" si="28"/>
        <v>4339.53989440841</v>
      </c>
      <c r="E244" s="562">
        <f t="shared" si="29"/>
        <v>-811.49844920977466</v>
      </c>
    </row>
    <row r="245" spans="1:5" x14ac:dyDescent="0.2">
      <c r="A245" s="512">
        <v>7</v>
      </c>
      <c r="B245" s="511" t="s">
        <v>734</v>
      </c>
      <c r="C245" s="560">
        <f t="shared" si="28"/>
        <v>1174.5081401088758</v>
      </c>
      <c r="D245" s="560">
        <f t="shared" si="28"/>
        <v>1154.4736135108101</v>
      </c>
      <c r="E245" s="562">
        <f t="shared" si="29"/>
        <v>-20.034526598065668</v>
      </c>
    </row>
    <row r="246" spans="1:5" ht="25.5" x14ac:dyDescent="0.2">
      <c r="A246" s="512"/>
      <c r="B246" s="516" t="s">
        <v>807</v>
      </c>
      <c r="C246" s="561">
        <f t="shared" si="28"/>
        <v>5139.7739570635013</v>
      </c>
      <c r="D246" s="561">
        <f t="shared" si="28"/>
        <v>5503.3117265744395</v>
      </c>
      <c r="E246" s="563">
        <f t="shared" si="29"/>
        <v>363.53776951093823</v>
      </c>
    </row>
    <row r="247" spans="1:5" x14ac:dyDescent="0.2">
      <c r="A247" s="512"/>
      <c r="B247" s="516" t="s">
        <v>808</v>
      </c>
      <c r="C247" s="561">
        <f t="shared" si="28"/>
        <v>7774.1932872854486</v>
      </c>
      <c r="D247" s="561">
        <f t="shared" si="28"/>
        <v>8211.1100546473044</v>
      </c>
      <c r="E247" s="563">
        <f t="shared" si="29"/>
        <v>436.91676736185582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736</v>
      </c>
      <c r="B249" s="550" t="s">
        <v>733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9203989.4868773073</v>
      </c>
      <c r="D251" s="546">
        <f>((IF((IF(D15=0,0,D26/D15)*D138)=0,0,D59/(IF(D15=0,0,D26/D15)*D138)))-(IF((IF(D17=0,0,D28/D17)*D140)=0,0,D61/(IF(D17=0,0,D28/D17)*D140))))*(IF(D17=0,0,D28/D17)*D140)</f>
        <v>10177436.000565324</v>
      </c>
      <c r="E251" s="546">
        <f>D251-C251</f>
        <v>973446.51368801668</v>
      </c>
    </row>
    <row r="252" spans="1:5" x14ac:dyDescent="0.2">
      <c r="A252" s="512">
        <v>2</v>
      </c>
      <c r="B252" s="511" t="s">
        <v>719</v>
      </c>
      <c r="C252" s="546">
        <f>IF(C231=0,0,(C228-C231)*C207)+IF(C243=0,0,(C240-C243)*C219)</f>
        <v>2735572.9805092569</v>
      </c>
      <c r="D252" s="546">
        <f>IF(D231=0,0,(D228-D231)*D207)+IF(D243=0,0,(D240-D243)*D219)</f>
        <v>41514.589994027323</v>
      </c>
      <c r="E252" s="546">
        <f>D252-C252</f>
        <v>-2694058.3905152297</v>
      </c>
    </row>
    <row r="253" spans="1:5" x14ac:dyDescent="0.2">
      <c r="A253" s="512">
        <v>3</v>
      </c>
      <c r="B253" s="511" t="s">
        <v>734</v>
      </c>
      <c r="C253" s="546">
        <f>IF(C233=0,0,(C228-C233)*C209+IF(C221=0,0,(C240-C245)*C221))</f>
        <v>4325852.2813261915</v>
      </c>
      <c r="D253" s="546">
        <f>IF(D233=0,0,(D228-D233)*D209+IF(D221=0,0,(D240-D245)*D221))</f>
        <v>3899976.4518270926</v>
      </c>
      <c r="E253" s="546">
        <f>D253-C253</f>
        <v>-425875.82949909894</v>
      </c>
    </row>
    <row r="254" spans="1:5" ht="15" customHeight="1" x14ac:dyDescent="0.2">
      <c r="A254" s="512"/>
      <c r="B254" s="516" t="s">
        <v>735</v>
      </c>
      <c r="C254" s="564">
        <f>+C251+C252+C253</f>
        <v>16265414.748712756</v>
      </c>
      <c r="D254" s="564">
        <f>+D251+D252+D253</f>
        <v>14118927.042386444</v>
      </c>
      <c r="E254" s="564">
        <f>D254-C254</f>
        <v>-2146487.7063263115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809</v>
      </c>
      <c r="B256" s="550" t="s">
        <v>810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701</v>
      </c>
      <c r="C258" s="546">
        <f>+C44</f>
        <v>374870862</v>
      </c>
      <c r="D258" s="549">
        <f>+D44</f>
        <v>423415942</v>
      </c>
      <c r="E258" s="546">
        <f t="shared" ref="E258:E271" si="30">D258-C258</f>
        <v>48545080</v>
      </c>
    </row>
    <row r="259" spans="1:5" x14ac:dyDescent="0.2">
      <c r="A259" s="512">
        <v>2</v>
      </c>
      <c r="B259" s="511" t="s">
        <v>718</v>
      </c>
      <c r="C259" s="546">
        <f>+(C43-C76)</f>
        <v>143763354</v>
      </c>
      <c r="D259" s="549">
        <f>+(D43-D76)</f>
        <v>173208128</v>
      </c>
      <c r="E259" s="546">
        <f t="shared" si="30"/>
        <v>29444774</v>
      </c>
    </row>
    <row r="260" spans="1:5" x14ac:dyDescent="0.2">
      <c r="A260" s="512">
        <v>3</v>
      </c>
      <c r="B260" s="511" t="s">
        <v>722</v>
      </c>
      <c r="C260" s="546">
        <f>C195</f>
        <v>14103525</v>
      </c>
      <c r="D260" s="546">
        <f>D195</f>
        <v>10900458</v>
      </c>
      <c r="E260" s="546">
        <f t="shared" si="30"/>
        <v>-3203067</v>
      </c>
    </row>
    <row r="261" spans="1:5" x14ac:dyDescent="0.2">
      <c r="A261" s="512">
        <v>4</v>
      </c>
      <c r="B261" s="511" t="s">
        <v>723</v>
      </c>
      <c r="C261" s="546">
        <f>C188</f>
        <v>39079123</v>
      </c>
      <c r="D261" s="546">
        <f>D188</f>
        <v>45736175</v>
      </c>
      <c r="E261" s="546">
        <f t="shared" si="30"/>
        <v>6657052</v>
      </c>
    </row>
    <row r="262" spans="1:5" x14ac:dyDescent="0.2">
      <c r="A262" s="512">
        <v>5</v>
      </c>
      <c r="B262" s="511" t="s">
        <v>724</v>
      </c>
      <c r="C262" s="546">
        <f>C191</f>
        <v>2852678</v>
      </c>
      <c r="D262" s="546">
        <f>D191</f>
        <v>272514</v>
      </c>
      <c r="E262" s="546">
        <f t="shared" si="30"/>
        <v>-2580164</v>
      </c>
    </row>
    <row r="263" spans="1:5" x14ac:dyDescent="0.2">
      <c r="A263" s="512">
        <v>6</v>
      </c>
      <c r="B263" s="511" t="s">
        <v>725</v>
      </c>
      <c r="C263" s="546">
        <f>+C259+C260+C261+C262</f>
        <v>199798680</v>
      </c>
      <c r="D263" s="546">
        <f>+D259+D260+D261+D262</f>
        <v>230117275</v>
      </c>
      <c r="E263" s="546">
        <f t="shared" si="30"/>
        <v>30318595</v>
      </c>
    </row>
    <row r="264" spans="1:5" x14ac:dyDescent="0.2">
      <c r="A264" s="512">
        <v>7</v>
      </c>
      <c r="B264" s="511" t="s">
        <v>625</v>
      </c>
      <c r="C264" s="546">
        <f>+C258-C263</f>
        <v>175072182</v>
      </c>
      <c r="D264" s="546">
        <f>+D258-D263</f>
        <v>193298667</v>
      </c>
      <c r="E264" s="546">
        <f t="shared" si="30"/>
        <v>18226485</v>
      </c>
    </row>
    <row r="265" spans="1:5" x14ac:dyDescent="0.2">
      <c r="A265" s="512">
        <v>8</v>
      </c>
      <c r="B265" s="511" t="s">
        <v>811</v>
      </c>
      <c r="C265" s="565">
        <f>C192</f>
        <v>1215043</v>
      </c>
      <c r="D265" s="565">
        <f>D192</f>
        <v>0</v>
      </c>
      <c r="E265" s="546">
        <f t="shared" si="30"/>
        <v>-1215043</v>
      </c>
    </row>
    <row r="266" spans="1:5" x14ac:dyDescent="0.2">
      <c r="A266" s="512">
        <v>9</v>
      </c>
      <c r="B266" s="511" t="s">
        <v>812</v>
      </c>
      <c r="C266" s="546">
        <f>+C264+C265</f>
        <v>176287225</v>
      </c>
      <c r="D266" s="546">
        <f>+D264+D265</f>
        <v>193298667</v>
      </c>
      <c r="E266" s="565">
        <f t="shared" si="30"/>
        <v>17011442</v>
      </c>
    </row>
    <row r="267" spans="1:5" x14ac:dyDescent="0.2">
      <c r="A267" s="512">
        <v>10</v>
      </c>
      <c r="B267" s="511" t="s">
        <v>813</v>
      </c>
      <c r="C267" s="566">
        <f>IF(C258=0,0,C266/C258)</f>
        <v>0.47026120957888695</v>
      </c>
      <c r="D267" s="566">
        <f>IF(D258=0,0,D266/D258)</f>
        <v>0.45652193936524005</v>
      </c>
      <c r="E267" s="567">
        <f t="shared" si="30"/>
        <v>-1.3739270213646904E-2</v>
      </c>
    </row>
    <row r="268" spans="1:5" x14ac:dyDescent="0.2">
      <c r="A268" s="512">
        <v>11</v>
      </c>
      <c r="B268" s="511" t="s">
        <v>687</v>
      </c>
      <c r="C268" s="546">
        <f>+C260*C267</f>
        <v>6632340.7258260716</v>
      </c>
      <c r="D268" s="568">
        <f>+D260*D267</f>
        <v>4976298.2261293456</v>
      </c>
      <c r="E268" s="546">
        <f t="shared" si="30"/>
        <v>-1656042.499696726</v>
      </c>
    </row>
    <row r="269" spans="1:5" x14ac:dyDescent="0.2">
      <c r="A269" s="512">
        <v>12</v>
      </c>
      <c r="B269" s="511" t="s">
        <v>814</v>
      </c>
      <c r="C269" s="546">
        <f>((C17+C18+C28+C29)*C267)-(C50+C51+C61+C62)</f>
        <v>9694552.8669494465</v>
      </c>
      <c r="D269" s="568">
        <f>((D17+D18+D28+D29)*D267)-(D50+D51+D61+D62)</f>
        <v>12188675.589736897</v>
      </c>
      <c r="E269" s="546">
        <f t="shared" si="30"/>
        <v>2494122.722787451</v>
      </c>
    </row>
    <row r="270" spans="1:5" s="569" customFormat="1" x14ac:dyDescent="0.2">
      <c r="A270" s="570">
        <v>13</v>
      </c>
      <c r="B270" s="571" t="s">
        <v>815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816</v>
      </c>
      <c r="C271" s="546">
        <f>+C268+C269+C270</f>
        <v>16326893.592775518</v>
      </c>
      <c r="D271" s="546">
        <f>+D268+D269+D270</f>
        <v>17164973.815866243</v>
      </c>
      <c r="E271" s="549">
        <f t="shared" si="30"/>
        <v>838080.22309072502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817</v>
      </c>
      <c r="B273" s="550" t="s">
        <v>818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819</v>
      </c>
      <c r="C275" s="340"/>
      <c r="D275" s="340"/>
      <c r="E275" s="520"/>
    </row>
    <row r="276" spans="1:5" x14ac:dyDescent="0.2">
      <c r="A276" s="512">
        <v>1</v>
      </c>
      <c r="B276" s="511" t="s">
        <v>627</v>
      </c>
      <c r="C276" s="547">
        <f t="shared" ref="C276:D284" si="31">IF(C14=0,0,+C47/C14)</f>
        <v>0.62011324207153651</v>
      </c>
      <c r="D276" s="547">
        <f t="shared" si="31"/>
        <v>0.64152121720563426</v>
      </c>
      <c r="E276" s="574">
        <f t="shared" ref="E276:E284" si="32">D276-C276</f>
        <v>2.1407975134097756E-2</v>
      </c>
    </row>
    <row r="277" spans="1:5" x14ac:dyDescent="0.2">
      <c r="A277" s="512">
        <v>2</v>
      </c>
      <c r="B277" s="511" t="s">
        <v>606</v>
      </c>
      <c r="C277" s="547">
        <f t="shared" si="31"/>
        <v>0.41736262879218833</v>
      </c>
      <c r="D277" s="547">
        <f t="shared" si="31"/>
        <v>0.41108310579335872</v>
      </c>
      <c r="E277" s="574">
        <f t="shared" si="32"/>
        <v>-6.279522998829612E-3</v>
      </c>
    </row>
    <row r="278" spans="1:5" x14ac:dyDescent="0.2">
      <c r="A278" s="512">
        <v>3</v>
      </c>
      <c r="B278" s="511" t="s">
        <v>752</v>
      </c>
      <c r="C278" s="547">
        <f t="shared" si="31"/>
        <v>0.35287417273128246</v>
      </c>
      <c r="D278" s="547">
        <f t="shared" si="31"/>
        <v>0.32773246695558211</v>
      </c>
      <c r="E278" s="574">
        <f t="shared" si="32"/>
        <v>-2.5141705775700351E-2</v>
      </c>
    </row>
    <row r="279" spans="1:5" x14ac:dyDescent="0.2">
      <c r="A279" s="512">
        <v>4</v>
      </c>
      <c r="B279" s="511" t="s">
        <v>114</v>
      </c>
      <c r="C279" s="547">
        <f t="shared" si="31"/>
        <v>0.37837010075532573</v>
      </c>
      <c r="D279" s="547">
        <f t="shared" si="31"/>
        <v>0.32673535915540103</v>
      </c>
      <c r="E279" s="574">
        <f t="shared" si="32"/>
        <v>-5.1634741599924705E-2</v>
      </c>
    </row>
    <row r="280" spans="1:5" x14ac:dyDescent="0.2">
      <c r="A280" s="512">
        <v>5</v>
      </c>
      <c r="B280" s="511" t="s">
        <v>719</v>
      </c>
      <c r="C280" s="547">
        <f t="shared" si="31"/>
        <v>0.15163164859737641</v>
      </c>
      <c r="D280" s="547">
        <f t="shared" si="31"/>
        <v>0.36808118454354594</v>
      </c>
      <c r="E280" s="574">
        <f t="shared" si="32"/>
        <v>0.21644953594616953</v>
      </c>
    </row>
    <row r="281" spans="1:5" x14ac:dyDescent="0.2">
      <c r="A281" s="512">
        <v>6</v>
      </c>
      <c r="B281" s="511" t="s">
        <v>418</v>
      </c>
      <c r="C281" s="547">
        <f t="shared" si="31"/>
        <v>0.41023956292508879</v>
      </c>
      <c r="D281" s="547">
        <f t="shared" si="31"/>
        <v>0.37364953050792155</v>
      </c>
      <c r="E281" s="574">
        <f t="shared" si="32"/>
        <v>-3.659003241716724E-2</v>
      </c>
    </row>
    <row r="282" spans="1:5" x14ac:dyDescent="0.2">
      <c r="A282" s="512">
        <v>7</v>
      </c>
      <c r="B282" s="511" t="s">
        <v>734</v>
      </c>
      <c r="C282" s="547">
        <f t="shared" si="31"/>
        <v>2.6093160193932936E-2</v>
      </c>
      <c r="D282" s="547">
        <f t="shared" si="31"/>
        <v>8.9426511776858647E-2</v>
      </c>
      <c r="E282" s="574">
        <f t="shared" si="32"/>
        <v>6.3333351582925718E-2</v>
      </c>
    </row>
    <row r="283" spans="1:5" ht="29.25" customHeight="1" x14ac:dyDescent="0.2">
      <c r="A283" s="512"/>
      <c r="B283" s="516" t="s">
        <v>820</v>
      </c>
      <c r="C283" s="575">
        <f t="shared" si="31"/>
        <v>0.40580420125832328</v>
      </c>
      <c r="D283" s="575">
        <f t="shared" si="31"/>
        <v>0.39384168638121203</v>
      </c>
      <c r="E283" s="576">
        <f t="shared" si="32"/>
        <v>-1.1962514877111252E-2</v>
      </c>
    </row>
    <row r="284" spans="1:5" x14ac:dyDescent="0.2">
      <c r="A284" s="512"/>
      <c r="B284" s="516" t="s">
        <v>821</v>
      </c>
      <c r="C284" s="575">
        <f t="shared" si="31"/>
        <v>0.46812086298896</v>
      </c>
      <c r="D284" s="575">
        <f t="shared" si="31"/>
        <v>0.46062912245904702</v>
      </c>
      <c r="E284" s="576">
        <f t="shared" si="32"/>
        <v>-7.4917405299129713E-3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822</v>
      </c>
      <c r="C286" s="520"/>
      <c r="D286" s="520"/>
      <c r="E286" s="520"/>
    </row>
    <row r="287" spans="1:5" x14ac:dyDescent="0.2">
      <c r="A287" s="512">
        <v>1</v>
      </c>
      <c r="B287" s="511" t="s">
        <v>627</v>
      </c>
      <c r="C287" s="547">
        <f t="shared" ref="C287:D295" si="33">IF(C25=0,0,+C58/C25)</f>
        <v>0.63172027314896972</v>
      </c>
      <c r="D287" s="547">
        <f t="shared" si="33"/>
        <v>0.64104289695302041</v>
      </c>
      <c r="E287" s="574">
        <f t="shared" ref="E287:E295" si="34">D287-C287</f>
        <v>9.3226238040506892E-3</v>
      </c>
    </row>
    <row r="288" spans="1:5" x14ac:dyDescent="0.2">
      <c r="A288" s="512">
        <v>2</v>
      </c>
      <c r="B288" s="511" t="s">
        <v>606</v>
      </c>
      <c r="C288" s="547">
        <f t="shared" si="33"/>
        <v>0.31368396036485569</v>
      </c>
      <c r="D288" s="547">
        <f t="shared" si="33"/>
        <v>0.29567901761095655</v>
      </c>
      <c r="E288" s="574">
        <f t="shared" si="34"/>
        <v>-1.8004942753899134E-2</v>
      </c>
    </row>
    <row r="289" spans="1:5" x14ac:dyDescent="0.2">
      <c r="A289" s="512">
        <v>3</v>
      </c>
      <c r="B289" s="511" t="s">
        <v>752</v>
      </c>
      <c r="C289" s="547">
        <f t="shared" si="33"/>
        <v>0.26547546205637113</v>
      </c>
      <c r="D289" s="547">
        <f t="shared" si="33"/>
        <v>0.26312558020068055</v>
      </c>
      <c r="E289" s="574">
        <f t="shared" si="34"/>
        <v>-2.3498818556905721E-3</v>
      </c>
    </row>
    <row r="290" spans="1:5" x14ac:dyDescent="0.2">
      <c r="A290" s="512">
        <v>4</v>
      </c>
      <c r="B290" s="511" t="s">
        <v>114</v>
      </c>
      <c r="C290" s="547">
        <f t="shared" si="33"/>
        <v>0.29609497011754993</v>
      </c>
      <c r="D290" s="547">
        <f t="shared" si="33"/>
        <v>0.26331427909573135</v>
      </c>
      <c r="E290" s="574">
        <f t="shared" si="34"/>
        <v>-3.2780691021818575E-2</v>
      </c>
    </row>
    <row r="291" spans="1:5" x14ac:dyDescent="0.2">
      <c r="A291" s="512">
        <v>5</v>
      </c>
      <c r="B291" s="511" t="s">
        <v>719</v>
      </c>
      <c r="C291" s="547">
        <f t="shared" si="33"/>
        <v>7.7490892923100463E-2</v>
      </c>
      <c r="D291" s="547">
        <f t="shared" si="33"/>
        <v>0.25499949769405322</v>
      </c>
      <c r="E291" s="574">
        <f t="shared" si="34"/>
        <v>0.17750860477095276</v>
      </c>
    </row>
    <row r="292" spans="1:5" x14ac:dyDescent="0.2">
      <c r="A292" s="512">
        <v>6</v>
      </c>
      <c r="B292" s="511" t="s">
        <v>418</v>
      </c>
      <c r="C292" s="547">
        <f t="shared" si="33"/>
        <v>0.41023863458834559</v>
      </c>
      <c r="D292" s="547">
        <f t="shared" si="33"/>
        <v>0.37365069967806169</v>
      </c>
      <c r="E292" s="574">
        <f t="shared" si="34"/>
        <v>-3.6587934910283892E-2</v>
      </c>
    </row>
    <row r="293" spans="1:5" x14ac:dyDescent="0.2">
      <c r="A293" s="512">
        <v>7</v>
      </c>
      <c r="B293" s="511" t="s">
        <v>734</v>
      </c>
      <c r="C293" s="547">
        <f t="shared" si="33"/>
        <v>6.9851567695434227E-2</v>
      </c>
      <c r="D293" s="547">
        <f t="shared" si="33"/>
        <v>7.115154282060715E-2</v>
      </c>
      <c r="E293" s="574">
        <f t="shared" si="34"/>
        <v>1.2999751251729225E-3</v>
      </c>
    </row>
    <row r="294" spans="1:5" ht="29.25" customHeight="1" x14ac:dyDescent="0.2">
      <c r="A294" s="512"/>
      <c r="B294" s="516" t="s">
        <v>823</v>
      </c>
      <c r="C294" s="575">
        <f t="shared" si="33"/>
        <v>0.2969237834631635</v>
      </c>
      <c r="D294" s="575">
        <f t="shared" si="33"/>
        <v>0.28407077782132339</v>
      </c>
      <c r="E294" s="576">
        <f t="shared" si="34"/>
        <v>-1.285300564184011E-2</v>
      </c>
    </row>
    <row r="295" spans="1:5" x14ac:dyDescent="0.2">
      <c r="A295" s="512"/>
      <c r="B295" s="516" t="s">
        <v>824</v>
      </c>
      <c r="C295" s="575">
        <f t="shared" si="33"/>
        <v>0.46599021646088551</v>
      </c>
      <c r="D295" s="575">
        <f t="shared" si="33"/>
        <v>0.45269577802740146</v>
      </c>
      <c r="E295" s="576">
        <f t="shared" si="34"/>
        <v>-1.3294438433484046E-2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825</v>
      </c>
      <c r="B297" s="501" t="s">
        <v>826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827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625</v>
      </c>
      <c r="C301" s="514">
        <f>+C48+C47+C50+C51+C52+C59+C58+C61+C62+C63</f>
        <v>175072186</v>
      </c>
      <c r="D301" s="514">
        <f>+D48+D47+D50+D51+D52+D59+D58+D61+D62+D63</f>
        <v>193298667</v>
      </c>
      <c r="E301" s="514">
        <f>D301-C301</f>
        <v>18226481</v>
      </c>
    </row>
    <row r="302" spans="1:5" ht="25.5" x14ac:dyDescent="0.2">
      <c r="A302" s="512">
        <v>2</v>
      </c>
      <c r="B302" s="511" t="s">
        <v>828</v>
      </c>
      <c r="C302" s="546">
        <f>C265</f>
        <v>1215043</v>
      </c>
      <c r="D302" s="546">
        <f>D265</f>
        <v>0</v>
      </c>
      <c r="E302" s="514">
        <f>D302-C302</f>
        <v>-1215043</v>
      </c>
    </row>
    <row r="303" spans="1:5" x14ac:dyDescent="0.2">
      <c r="A303" s="512"/>
      <c r="B303" s="516" t="s">
        <v>829</v>
      </c>
      <c r="C303" s="517">
        <f>+C301+C302</f>
        <v>176287229</v>
      </c>
      <c r="D303" s="517">
        <f>+D301+D302</f>
        <v>193298667</v>
      </c>
      <c r="E303" s="517">
        <f>D303-C303</f>
        <v>17011438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830</v>
      </c>
      <c r="C305" s="513">
        <v>5734923</v>
      </c>
      <c r="D305" s="578">
        <v>3456769</v>
      </c>
      <c r="E305" s="579">
        <f>D305-C305</f>
        <v>-2278154</v>
      </c>
    </row>
    <row r="306" spans="1:5" x14ac:dyDescent="0.2">
      <c r="A306" s="512">
        <v>4</v>
      </c>
      <c r="B306" s="516" t="s">
        <v>831</v>
      </c>
      <c r="C306" s="580">
        <f>+C303+C305</f>
        <v>182022152</v>
      </c>
      <c r="D306" s="580">
        <f>+D303+D305</f>
        <v>196755436</v>
      </c>
      <c r="E306" s="580">
        <f>D306-C306</f>
        <v>14733284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832</v>
      </c>
      <c r="C308" s="513">
        <v>182022152</v>
      </c>
      <c r="D308" s="513">
        <v>196755436</v>
      </c>
      <c r="E308" s="514">
        <f>D308-C308</f>
        <v>14733284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833</v>
      </c>
      <c r="C310" s="581">
        <f>C306-C308</f>
        <v>0</v>
      </c>
      <c r="D310" s="582">
        <f>D306-D308</f>
        <v>0</v>
      </c>
      <c r="E310" s="580">
        <f>D310-C310</f>
        <v>0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834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835</v>
      </c>
      <c r="C314" s="514">
        <f>+C14+C15+C16+C19+C25+C26+C27+C30</f>
        <v>374870862</v>
      </c>
      <c r="D314" s="514">
        <f>+D14+D15+D16+D19+D25+D26+D27+D30</f>
        <v>423415942</v>
      </c>
      <c r="E314" s="514">
        <f>D314-C314</f>
        <v>48545080</v>
      </c>
    </row>
    <row r="315" spans="1:5" x14ac:dyDescent="0.2">
      <c r="A315" s="512">
        <v>2</v>
      </c>
      <c r="B315" s="583" t="s">
        <v>836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837</v>
      </c>
      <c r="C316" s="581">
        <f>C314+C315</f>
        <v>374870862</v>
      </c>
      <c r="D316" s="581">
        <f>D314+D315</f>
        <v>423415942</v>
      </c>
      <c r="E316" s="517">
        <f>D316-C316</f>
        <v>48545080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838</v>
      </c>
      <c r="C318" s="513">
        <v>374870862</v>
      </c>
      <c r="D318" s="513">
        <v>423415942</v>
      </c>
      <c r="E318" s="514">
        <f>D318-C318</f>
        <v>48545080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833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839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840</v>
      </c>
      <c r="C324" s="513">
        <f>+C193+C194</f>
        <v>14103525</v>
      </c>
      <c r="D324" s="513">
        <f>+D193+D194</f>
        <v>10900458</v>
      </c>
      <c r="E324" s="514">
        <f>D324-C324</f>
        <v>-3203067</v>
      </c>
    </row>
    <row r="325" spans="1:5" x14ac:dyDescent="0.2">
      <c r="A325" s="512">
        <v>2</v>
      </c>
      <c r="B325" s="511" t="s">
        <v>841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842</v>
      </c>
      <c r="C326" s="581">
        <f>C324+C325</f>
        <v>14103525</v>
      </c>
      <c r="D326" s="581">
        <f>D324+D325</f>
        <v>10900458</v>
      </c>
      <c r="E326" s="517">
        <f>D326-C326</f>
        <v>-3203067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843</v>
      </c>
      <c r="C328" s="513">
        <v>14103525</v>
      </c>
      <c r="D328" s="513">
        <v>10900458</v>
      </c>
      <c r="E328" s="514">
        <f>D328-C328</f>
        <v>-3203067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844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FILING&amp;RMIDSTATE MEDICAL CENTER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597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845</v>
      </c>
      <c r="B5" s="696"/>
      <c r="C5" s="697"/>
      <c r="D5" s="585"/>
    </row>
    <row r="6" spans="1:58" s="338" customFormat="1" ht="15.75" customHeight="1" x14ac:dyDescent="0.25">
      <c r="A6" s="695" t="s">
        <v>846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847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848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751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627</v>
      </c>
      <c r="C14" s="513">
        <v>55065404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606</v>
      </c>
      <c r="C15" s="515">
        <v>118170811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752</v>
      </c>
      <c r="C16" s="515">
        <v>30751790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30010171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719</v>
      </c>
      <c r="C18" s="515">
        <v>741619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220664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734</v>
      </c>
      <c r="C20" s="515">
        <v>3391142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753</v>
      </c>
      <c r="C21" s="517">
        <f>SUM(C15+C16+C19)</f>
        <v>149143265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693</v>
      </c>
      <c r="C22" s="517">
        <f>SUM(C14+C21)</f>
        <v>204208669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754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627</v>
      </c>
      <c r="C25" s="513">
        <v>103548217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606</v>
      </c>
      <c r="C26" s="515">
        <v>72569539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752</v>
      </c>
      <c r="C27" s="515">
        <v>42545624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41580077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719</v>
      </c>
      <c r="C29" s="515">
        <v>965547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543893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734</v>
      </c>
      <c r="C31" s="518">
        <v>7307136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755</v>
      </c>
      <c r="C32" s="517">
        <f>SUM(C26+C27+C30)</f>
        <v>115659056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699</v>
      </c>
      <c r="C33" s="517">
        <f>SUM(C25+C32)</f>
        <v>219207273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624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849</v>
      </c>
      <c r="C36" s="514">
        <f>SUM(C14+C25)</f>
        <v>158613621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850</v>
      </c>
      <c r="C37" s="518">
        <f>SUM(C21+C32)</f>
        <v>264802321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624</v>
      </c>
      <c r="C38" s="517">
        <f>SUM(+C36+C37)</f>
        <v>423415942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764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627</v>
      </c>
      <c r="C41" s="513">
        <v>35325625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606</v>
      </c>
      <c r="C42" s="515">
        <v>48578024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752</v>
      </c>
      <c r="C43" s="515">
        <v>10078360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9805384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719</v>
      </c>
      <c r="C45" s="515">
        <v>272976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82451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734</v>
      </c>
      <c r="C47" s="515">
        <v>303258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765</v>
      </c>
      <c r="C48" s="517">
        <f>SUM(C42+C43+C46)</f>
        <v>58738835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694</v>
      </c>
      <c r="C49" s="517">
        <f>SUM(C41+C48)</f>
        <v>94064460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766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627</v>
      </c>
      <c r="C52" s="513">
        <v>66378849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606</v>
      </c>
      <c r="C53" s="515">
        <v>21457290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752</v>
      </c>
      <c r="C54" s="515">
        <v>11194842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10948628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719</v>
      </c>
      <c r="C56" s="515">
        <v>246214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203226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734</v>
      </c>
      <c r="C58" s="515">
        <v>519914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767</v>
      </c>
      <c r="C59" s="517">
        <f>SUM(C53+C54+C57)</f>
        <v>32855358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700</v>
      </c>
      <c r="C60" s="517">
        <f>SUM(C52+C59)</f>
        <v>99234207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625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851</v>
      </c>
      <c r="C63" s="514">
        <f>SUM(C41+C52)</f>
        <v>101704474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852</v>
      </c>
      <c r="C64" s="518">
        <f>SUM(C48+C59)</f>
        <v>91594193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625</v>
      </c>
      <c r="C65" s="517">
        <f>SUM(+C63+C64)</f>
        <v>193298667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853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854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627</v>
      </c>
      <c r="C70" s="530">
        <v>3252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606</v>
      </c>
      <c r="C71" s="530">
        <v>4826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752</v>
      </c>
      <c r="C72" s="530">
        <v>2138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2106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719</v>
      </c>
      <c r="C74" s="530">
        <v>32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19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734</v>
      </c>
      <c r="C76" s="545">
        <v>209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782</v>
      </c>
      <c r="C77" s="532">
        <f>SUM(C71+C72+C75)</f>
        <v>6983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696</v>
      </c>
      <c r="C78" s="596">
        <f>SUM(C70+C77)</f>
        <v>10235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787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627</v>
      </c>
      <c r="C81" s="541">
        <v>1.02963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606</v>
      </c>
      <c r="C82" s="541">
        <v>1.4068799999999999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752</v>
      </c>
      <c r="C83" s="541">
        <f>((C73*C84)+(C74*C85))/(C73+C74)</f>
        <v>0.90426324602432173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0.90081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719</v>
      </c>
      <c r="C85" s="541">
        <v>1.1315299999999999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0.91139000000000003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734</v>
      </c>
      <c r="C87" s="541">
        <v>0.97809999999999997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788</v>
      </c>
      <c r="C88" s="543">
        <f>((C71*C82)+(C73*C84)+(C74*C85)+(C75*C86))/(C71+C73+C74+C75)</f>
        <v>1.2516445811255907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697</v>
      </c>
      <c r="C89" s="543">
        <f>((C70*C81)+(C71*C82)+(C73*C84)+(C74*C85)+(C75*C86))/(C70+C71+C73+C74+C75)</f>
        <v>1.1811031626770883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789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790</v>
      </c>
      <c r="C92" s="513">
        <v>145881128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791</v>
      </c>
      <c r="C93" s="546">
        <v>100144953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639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723</v>
      </c>
      <c r="C95" s="513">
        <f>+C92-C93</f>
        <v>45736175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641</v>
      </c>
      <c r="C96" s="597">
        <f>(+C92-C93)/C92</f>
        <v>0.31351673535181329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738</v>
      </c>
      <c r="C98" s="513">
        <v>474597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724</v>
      </c>
      <c r="C99" s="513">
        <v>272514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855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793</v>
      </c>
      <c r="C103" s="513">
        <v>3025038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794</v>
      </c>
      <c r="C104" s="513">
        <v>7875420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795</v>
      </c>
      <c r="C105" s="578">
        <f>+C103+C104</f>
        <v>10900458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796</v>
      </c>
      <c r="C107" s="513">
        <v>14584411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681</v>
      </c>
      <c r="C108" s="513">
        <v>203675287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826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827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625</v>
      </c>
      <c r="C114" s="514">
        <f>+C65</f>
        <v>193298667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828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829</v>
      </c>
      <c r="C116" s="517">
        <f>+C114+C115</f>
        <v>193298667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830</v>
      </c>
      <c r="C118" s="578">
        <v>3456769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831</v>
      </c>
      <c r="C119" s="580">
        <f>+C116+C118</f>
        <v>196755436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832</v>
      </c>
      <c r="C121" s="513">
        <v>196755436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833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834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835</v>
      </c>
      <c r="C127" s="514">
        <f>+C38</f>
        <v>423415942</v>
      </c>
      <c r="D127" s="588"/>
      <c r="AR127" s="507"/>
    </row>
    <row r="128" spans="1:58" s="506" customFormat="1" x14ac:dyDescent="0.2">
      <c r="A128" s="512">
        <v>2</v>
      </c>
      <c r="B128" s="583" t="s">
        <v>836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837</v>
      </c>
      <c r="C129" s="581">
        <f>C127+C128</f>
        <v>423415942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838</v>
      </c>
      <c r="C131" s="513">
        <v>423415942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833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839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840</v>
      </c>
      <c r="C137" s="513">
        <f>C105</f>
        <v>10900458</v>
      </c>
      <c r="D137" s="588"/>
      <c r="AR137" s="507"/>
    </row>
    <row r="138" spans="1:44" s="506" customFormat="1" x14ac:dyDescent="0.2">
      <c r="A138" s="512">
        <v>2</v>
      </c>
      <c r="B138" s="511" t="s">
        <v>856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842</v>
      </c>
      <c r="C139" s="581">
        <f>C137+C138</f>
        <v>10900458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857</v>
      </c>
      <c r="C141" s="513">
        <v>10900458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844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FILING&amp;RMIDSTATE MEDICAL CENTER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597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598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858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601</v>
      </c>
      <c r="D8" s="35" t="s">
        <v>601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603</v>
      </c>
      <c r="D9" s="607" t="s">
        <v>604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859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860</v>
      </c>
      <c r="C12" s="49">
        <v>5869</v>
      </c>
      <c r="D12" s="49">
        <v>1349</v>
      </c>
      <c r="E12" s="49">
        <f>+D12-C12</f>
        <v>-4520</v>
      </c>
      <c r="F12" s="70">
        <f>IF(C12=0,0,+E12/C12)</f>
        <v>-0.77014823649684783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861</v>
      </c>
      <c r="C13" s="49">
        <v>5576</v>
      </c>
      <c r="D13" s="49">
        <v>1214</v>
      </c>
      <c r="E13" s="49">
        <f>+D13-C13</f>
        <v>-4362</v>
      </c>
      <c r="F13" s="70">
        <f>IF(C13=0,0,+E13/C13)</f>
        <v>-0.78228120516499278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862</v>
      </c>
      <c r="C15" s="51">
        <v>3637983</v>
      </c>
      <c r="D15" s="51">
        <v>3025038</v>
      </c>
      <c r="E15" s="51">
        <f>+D15-C15</f>
        <v>-612945</v>
      </c>
      <c r="F15" s="70">
        <f>IF(C15=0,0,+E15/C15)</f>
        <v>-0.16848484448662898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863</v>
      </c>
      <c r="C16" s="27">
        <f>IF(C13=0,0,+C15/+C13)</f>
        <v>652.43597560975604</v>
      </c>
      <c r="D16" s="27">
        <f>IF(D13=0,0,+D15/+D13)</f>
        <v>2491.7940691927511</v>
      </c>
      <c r="E16" s="27">
        <f>+D16-C16</f>
        <v>1839.358093582995</v>
      </c>
      <c r="F16" s="28">
        <f>IF(C16=0,0,+E16/C16)</f>
        <v>2.819216233231101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864</v>
      </c>
      <c r="C18" s="210">
        <v>0.48923</v>
      </c>
      <c r="D18" s="210">
        <v>0.48322700000000002</v>
      </c>
      <c r="E18" s="210">
        <f>+D18-C18</f>
        <v>-6.0029999999999806E-3</v>
      </c>
      <c r="F18" s="70">
        <f>IF(C18=0,0,+E18/C18)</f>
        <v>-1.2270302311796048E-2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865</v>
      </c>
      <c r="C19" s="27">
        <f>+C15*C18</f>
        <v>1779810.4230899999</v>
      </c>
      <c r="D19" s="27">
        <f>+D15*D18</f>
        <v>1461780.0376260001</v>
      </c>
      <c r="E19" s="27">
        <f>+D19-C19</f>
        <v>-318030.38546399982</v>
      </c>
      <c r="F19" s="28">
        <f>IF(C19=0,0,+E19/C19)</f>
        <v>-0.17868778682161809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866</v>
      </c>
      <c r="C20" s="27">
        <f>IF(C13=0,0,+C19/C13)</f>
        <v>319.19125234756098</v>
      </c>
      <c r="D20" s="27">
        <f>IF(D13=0,0,+D19/D13)</f>
        <v>1204.1021726738056</v>
      </c>
      <c r="E20" s="27">
        <f>+D20-C20</f>
        <v>884.91092032624465</v>
      </c>
      <c r="F20" s="28">
        <f>IF(C20=0,0,+E20/C20)</f>
        <v>2.7723532954552366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867</v>
      </c>
      <c r="C22" s="51">
        <v>1487724</v>
      </c>
      <c r="D22" s="51">
        <v>1362740</v>
      </c>
      <c r="E22" s="51">
        <f>+D22-C22</f>
        <v>-124984</v>
      </c>
      <c r="F22" s="70">
        <f>IF(C22=0,0,+E22/C22)</f>
        <v>-8.4010206194159665E-2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868</v>
      </c>
      <c r="C23" s="49">
        <v>694885</v>
      </c>
      <c r="D23" s="49">
        <v>693898</v>
      </c>
      <c r="E23" s="49">
        <f>+D23-C23</f>
        <v>-987</v>
      </c>
      <c r="F23" s="70">
        <f>IF(C23=0,0,+E23/C23)</f>
        <v>-1.4203789116184692E-3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869</v>
      </c>
      <c r="C24" s="49">
        <v>1455374</v>
      </c>
      <c r="D24" s="49">
        <v>968400</v>
      </c>
      <c r="E24" s="49">
        <f>+D24-C24</f>
        <v>-486974</v>
      </c>
      <c r="F24" s="70">
        <f>IF(C24=0,0,+E24/C24)</f>
        <v>-0.3346040261815863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862</v>
      </c>
      <c r="C25" s="27">
        <f>+C22+C23+C24</f>
        <v>3637983</v>
      </c>
      <c r="D25" s="27">
        <f>+D22+D23+D24</f>
        <v>3025038</v>
      </c>
      <c r="E25" s="27">
        <f>+E22+E23+E24</f>
        <v>-612945</v>
      </c>
      <c r="F25" s="28">
        <f>IF(C25=0,0,+E25/C25)</f>
        <v>-0.16848484448662898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870</v>
      </c>
      <c r="C27" s="49">
        <v>594</v>
      </c>
      <c r="D27" s="49">
        <v>480</v>
      </c>
      <c r="E27" s="49">
        <f>+D27-C27</f>
        <v>-114</v>
      </c>
      <c r="F27" s="70">
        <f>IF(C27=0,0,+E27/C27)</f>
        <v>-0.19191919191919191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871</v>
      </c>
      <c r="C28" s="49">
        <v>362</v>
      </c>
      <c r="D28" s="49">
        <v>250</v>
      </c>
      <c r="E28" s="49">
        <f>+D28-C28</f>
        <v>-112</v>
      </c>
      <c r="F28" s="70">
        <f>IF(C28=0,0,+E28/C28)</f>
        <v>-0.30939226519337015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872</v>
      </c>
      <c r="C29" s="49">
        <v>7683</v>
      </c>
      <c r="D29" s="49">
        <v>1307</v>
      </c>
      <c r="E29" s="49">
        <f>+D29-C29</f>
        <v>-6376</v>
      </c>
      <c r="F29" s="70">
        <f>IF(C29=0,0,+E29/C29)</f>
        <v>-0.82988415983339836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873</v>
      </c>
      <c r="C30" s="49">
        <v>1184</v>
      </c>
      <c r="D30" s="49">
        <v>814</v>
      </c>
      <c r="E30" s="49">
        <f>+D30-C30</f>
        <v>-370</v>
      </c>
      <c r="F30" s="70">
        <f>IF(C30=0,0,+E30/C30)</f>
        <v>-0.3125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874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875</v>
      </c>
      <c r="C33" s="51">
        <v>3813934</v>
      </c>
      <c r="D33" s="51">
        <v>1904896</v>
      </c>
      <c r="E33" s="51">
        <f>+D33-C33</f>
        <v>-1909038</v>
      </c>
      <c r="F33" s="70">
        <f>IF(C33=0,0,+E33/C33)</f>
        <v>-0.50054300887220382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876</v>
      </c>
      <c r="C34" s="49">
        <v>1555764</v>
      </c>
      <c r="D34" s="49">
        <v>1250658</v>
      </c>
      <c r="E34" s="49">
        <f>+D34-C34</f>
        <v>-305106</v>
      </c>
      <c r="F34" s="70">
        <f>IF(C34=0,0,+E34/C34)</f>
        <v>-0.19611329224741028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877</v>
      </c>
      <c r="C35" s="49">
        <v>5095844</v>
      </c>
      <c r="D35" s="49">
        <v>4719866</v>
      </c>
      <c r="E35" s="49">
        <f>+D35-C35</f>
        <v>-375978</v>
      </c>
      <c r="F35" s="70">
        <f>IF(C35=0,0,+E35/C35)</f>
        <v>-7.3781300997440263E-2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878</v>
      </c>
      <c r="C36" s="27">
        <f>+C33+C34+C35</f>
        <v>10465542</v>
      </c>
      <c r="D36" s="27">
        <f>+D33+D34+D35</f>
        <v>7875420</v>
      </c>
      <c r="E36" s="27">
        <f>+E33+E34+E35</f>
        <v>-2590122</v>
      </c>
      <c r="F36" s="28">
        <f>IF(C36=0,0,+E36/C36)</f>
        <v>-0.24749047875399097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879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880</v>
      </c>
      <c r="C39" s="51">
        <f>+C25</f>
        <v>3637983</v>
      </c>
      <c r="D39" s="51">
        <f>+D25</f>
        <v>3025038</v>
      </c>
      <c r="E39" s="51">
        <f>+D39-C39</f>
        <v>-612945</v>
      </c>
      <c r="F39" s="70">
        <f>IF(C39=0,0,+E39/C39)</f>
        <v>-0.16848484448662898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881</v>
      </c>
      <c r="C40" s="49">
        <f>+C36</f>
        <v>10465542</v>
      </c>
      <c r="D40" s="49">
        <f>+D36</f>
        <v>7875420</v>
      </c>
      <c r="E40" s="49">
        <f>+D40-C40</f>
        <v>-2590122</v>
      </c>
      <c r="F40" s="70">
        <f>IF(C40=0,0,+E40/C40)</f>
        <v>-0.24749047875399097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882</v>
      </c>
      <c r="C41" s="27">
        <f>+C39+C40</f>
        <v>14103525</v>
      </c>
      <c r="D41" s="27">
        <f>+D39+D40</f>
        <v>10900458</v>
      </c>
      <c r="E41" s="27">
        <f>+E39+E40</f>
        <v>-3203067</v>
      </c>
      <c r="F41" s="28">
        <f>IF(C41=0,0,+E41/C41)</f>
        <v>-0.22711109456678383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883</v>
      </c>
      <c r="C43" s="51">
        <f t="shared" ref="C43:D45" si="0">+C22+C33</f>
        <v>5301658</v>
      </c>
      <c r="D43" s="51">
        <f t="shared" si="0"/>
        <v>3267636</v>
      </c>
      <c r="E43" s="51">
        <f>+D43-C43</f>
        <v>-2034022</v>
      </c>
      <c r="F43" s="70">
        <f>IF(C43=0,0,+E43/C43)</f>
        <v>-0.38365771613333038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884</v>
      </c>
      <c r="C44" s="49">
        <f t="shared" si="0"/>
        <v>2250649</v>
      </c>
      <c r="D44" s="49">
        <f t="shared" si="0"/>
        <v>1944556</v>
      </c>
      <c r="E44" s="49">
        <f>+D44-C44</f>
        <v>-306093</v>
      </c>
      <c r="F44" s="70">
        <f>IF(C44=0,0,+E44/C44)</f>
        <v>-0.13600210428192047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885</v>
      </c>
      <c r="C45" s="49">
        <f t="shared" si="0"/>
        <v>6551218</v>
      </c>
      <c r="D45" s="49">
        <f t="shared" si="0"/>
        <v>5688266</v>
      </c>
      <c r="E45" s="49">
        <f>+D45-C45</f>
        <v>-862952</v>
      </c>
      <c r="F45" s="70">
        <f>IF(C45=0,0,+E45/C45)</f>
        <v>-0.13172390233388662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882</v>
      </c>
      <c r="C46" s="27">
        <f>+C43+C44+C45</f>
        <v>14103525</v>
      </c>
      <c r="D46" s="27">
        <f>+D43+D44+D45</f>
        <v>10900458</v>
      </c>
      <c r="E46" s="27">
        <f>+E43+E44+E45</f>
        <v>-3203067</v>
      </c>
      <c r="F46" s="28">
        <f>IF(C46=0,0,+E46/C46)</f>
        <v>-0.22711109456678383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886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FILING&amp;RMIDSTATE MEDICAL CENTER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597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598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887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888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603</v>
      </c>
      <c r="D9" s="35" t="s">
        <v>604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889</v>
      </c>
      <c r="D10" s="35" t="s">
        <v>889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890</v>
      </c>
      <c r="D11" s="605" t="s">
        <v>890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891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132260378</v>
      </c>
      <c r="D15" s="51">
        <v>145881128</v>
      </c>
      <c r="E15" s="51">
        <f>+D15-C15</f>
        <v>13620750</v>
      </c>
      <c r="F15" s="70">
        <f>+E15/C15</f>
        <v>0.10298435711411622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507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892</v>
      </c>
      <c r="C17" s="51">
        <v>39079123</v>
      </c>
      <c r="D17" s="51">
        <v>45736175</v>
      </c>
      <c r="E17" s="51">
        <f>+D17-C17</f>
        <v>6657052</v>
      </c>
      <c r="F17" s="70">
        <f>+E17/C17</f>
        <v>0.17034803979608243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893</v>
      </c>
      <c r="C19" s="27">
        <f>+C15-C17</f>
        <v>93181255</v>
      </c>
      <c r="D19" s="27">
        <f>+D15-D17</f>
        <v>100144953</v>
      </c>
      <c r="E19" s="27">
        <f>+D19-C19</f>
        <v>6963698</v>
      </c>
      <c r="F19" s="28">
        <f>+E19/C19</f>
        <v>7.4732820458363644E-2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894</v>
      </c>
      <c r="C21" s="628">
        <f>+C17/C15</f>
        <v>0.29547112741504489</v>
      </c>
      <c r="D21" s="628">
        <f>+D17/D15</f>
        <v>0.31351673535181329</v>
      </c>
      <c r="E21" s="628">
        <f>+D21-C21</f>
        <v>1.8045607936768404E-2</v>
      </c>
      <c r="F21" s="28">
        <f>+E21/C21</f>
        <v>6.1074014556488108E-2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507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507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507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507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895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FILING&amp;R&amp;12MIDSTATE MEDICAL CENTER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896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897</v>
      </c>
      <c r="B6" s="632" t="s">
        <v>898</v>
      </c>
      <c r="C6" s="632" t="s">
        <v>899</v>
      </c>
      <c r="D6" s="632" t="s">
        <v>900</v>
      </c>
      <c r="E6" s="632" t="s">
        <v>901</v>
      </c>
    </row>
    <row r="7" spans="1:6" ht="37.5" customHeight="1" x14ac:dyDescent="0.25">
      <c r="A7" s="633" t="s">
        <v>8</v>
      </c>
      <c r="B7" s="634" t="s">
        <v>902</v>
      </c>
      <c r="C7" s="631" t="s">
        <v>903</v>
      </c>
      <c r="D7" s="631" t="s">
        <v>904</v>
      </c>
      <c r="E7" s="631" t="s">
        <v>905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906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907</v>
      </c>
      <c r="C10" s="641">
        <v>171870736</v>
      </c>
      <c r="D10" s="641">
        <v>181180626</v>
      </c>
      <c r="E10" s="641">
        <v>204208669</v>
      </c>
    </row>
    <row r="11" spans="1:6" ht="26.1" customHeight="1" x14ac:dyDescent="0.25">
      <c r="A11" s="639">
        <v>2</v>
      </c>
      <c r="B11" s="640" t="s">
        <v>908</v>
      </c>
      <c r="C11" s="641">
        <v>175756315</v>
      </c>
      <c r="D11" s="641">
        <v>193690236</v>
      </c>
      <c r="E11" s="641">
        <v>219207273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347627051</v>
      </c>
      <c r="D12" s="641">
        <f>+D11+D10</f>
        <v>374870862</v>
      </c>
      <c r="E12" s="641">
        <f>+E11+E10</f>
        <v>423415942</v>
      </c>
    </row>
    <row r="13" spans="1:6" ht="26.1" customHeight="1" x14ac:dyDescent="0.25">
      <c r="A13" s="639">
        <v>4</v>
      </c>
      <c r="B13" s="640" t="s">
        <v>484</v>
      </c>
      <c r="C13" s="641">
        <v>172470335</v>
      </c>
      <c r="D13" s="641">
        <v>182022152</v>
      </c>
      <c r="E13" s="641">
        <v>196755436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909</v>
      </c>
      <c r="C16" s="641">
        <v>173269841</v>
      </c>
      <c r="D16" s="641">
        <v>190181772</v>
      </c>
      <c r="E16" s="641">
        <v>203675287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910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42873</v>
      </c>
      <c r="D19" s="644">
        <v>42359</v>
      </c>
      <c r="E19" s="644">
        <v>44604</v>
      </c>
    </row>
    <row r="20" spans="1:5" ht="26.1" customHeight="1" x14ac:dyDescent="0.25">
      <c r="A20" s="639">
        <v>2</v>
      </c>
      <c r="B20" s="640" t="s">
        <v>373</v>
      </c>
      <c r="C20" s="645">
        <v>9955</v>
      </c>
      <c r="D20" s="645">
        <v>9818</v>
      </c>
      <c r="E20" s="645">
        <v>10235</v>
      </c>
    </row>
    <row r="21" spans="1:5" ht="26.1" customHeight="1" x14ac:dyDescent="0.25">
      <c r="A21" s="639">
        <v>3</v>
      </c>
      <c r="B21" s="640" t="s">
        <v>911</v>
      </c>
      <c r="C21" s="646">
        <f>IF(C20=0,0,+C19/C20)</f>
        <v>4.3066800602712201</v>
      </c>
      <c r="D21" s="646">
        <f>IF(D20=0,0,+D19/D20)</f>
        <v>4.3144224893053575</v>
      </c>
      <c r="E21" s="646">
        <f>IF(E20=0,0,+E19/E20)</f>
        <v>4.3579872984855887</v>
      </c>
    </row>
    <row r="22" spans="1:5" ht="26.1" customHeight="1" x14ac:dyDescent="0.25">
      <c r="A22" s="639">
        <v>4</v>
      </c>
      <c r="B22" s="640" t="s">
        <v>912</v>
      </c>
      <c r="C22" s="645">
        <f>IF(C10=0,0,C19*(C12/C10))</f>
        <v>86715.25417522504</v>
      </c>
      <c r="D22" s="645">
        <f>IF(D10=0,0,D19*(D12/D10))</f>
        <v>87642.675676912622</v>
      </c>
      <c r="E22" s="645">
        <f>IF(E10=0,0,E19*(E12/E10))</f>
        <v>92484.049621654412</v>
      </c>
    </row>
    <row r="23" spans="1:5" ht="26.1" customHeight="1" x14ac:dyDescent="0.25">
      <c r="A23" s="639">
        <v>0</v>
      </c>
      <c r="B23" s="640" t="s">
        <v>913</v>
      </c>
      <c r="C23" s="645">
        <f>IF(C10=0,0,C20*(C12/C10))</f>
        <v>20135.058319090462</v>
      </c>
      <c r="D23" s="645">
        <f>IF(D10=0,0,D20*(D12/D10))</f>
        <v>20313.883467407824</v>
      </c>
      <c r="E23" s="645">
        <f>IF(E10=0,0,E20*(E12/E10))</f>
        <v>21221.73455021148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914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1.1781655298844802</v>
      </c>
      <c r="D26" s="647">
        <v>1.1806343389692402</v>
      </c>
      <c r="E26" s="647">
        <v>1.1811031626770883</v>
      </c>
    </row>
    <row r="27" spans="1:5" ht="26.1" customHeight="1" x14ac:dyDescent="0.25">
      <c r="A27" s="639">
        <v>2</v>
      </c>
      <c r="B27" s="640" t="s">
        <v>915</v>
      </c>
      <c r="C27" s="645">
        <f>C19*C26</f>
        <v>50511.490762737318</v>
      </c>
      <c r="D27" s="645">
        <f>D19*D26</f>
        <v>50010.489964398046</v>
      </c>
      <c r="E27" s="645">
        <f>E19*E26</f>
        <v>52681.925468048845</v>
      </c>
    </row>
    <row r="28" spans="1:5" ht="26.1" customHeight="1" x14ac:dyDescent="0.25">
      <c r="A28" s="639">
        <v>3</v>
      </c>
      <c r="B28" s="640" t="s">
        <v>916</v>
      </c>
      <c r="C28" s="645">
        <f>C20*C26</f>
        <v>11728.637850000001</v>
      </c>
      <c r="D28" s="645">
        <f>D20*D26</f>
        <v>11591.46794</v>
      </c>
      <c r="E28" s="645">
        <f>E20*E26</f>
        <v>12088.590869999998</v>
      </c>
    </row>
    <row r="29" spans="1:5" ht="26.1" customHeight="1" x14ac:dyDescent="0.25">
      <c r="A29" s="639">
        <v>4</v>
      </c>
      <c r="B29" s="640" t="s">
        <v>917</v>
      </c>
      <c r="C29" s="645">
        <f>C22*C26</f>
        <v>102164.92338442139</v>
      </c>
      <c r="D29" s="645">
        <f>D22*D26</f>
        <v>103473.95246330724</v>
      </c>
      <c r="E29" s="645">
        <f>E22*E26</f>
        <v>109233.20350532079</v>
      </c>
    </row>
    <row r="30" spans="1:5" ht="26.1" customHeight="1" x14ac:dyDescent="0.25">
      <c r="A30" s="639">
        <v>5</v>
      </c>
      <c r="B30" s="640" t="s">
        <v>918</v>
      </c>
      <c r="C30" s="645">
        <f>C23*C26</f>
        <v>23722.431653766125</v>
      </c>
      <c r="D30" s="645">
        <f>D23*D26</f>
        <v>23983.268379441215</v>
      </c>
      <c r="E30" s="645">
        <f>E23*E26</f>
        <v>25065.057794748416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919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920</v>
      </c>
      <c r="C33" s="641">
        <f>IF(C19=0,0,C12/C19)</f>
        <v>8108.2977864856666</v>
      </c>
      <c r="D33" s="641">
        <f>IF(D19=0,0,D12/D19)</f>
        <v>8849.8515545692771</v>
      </c>
      <c r="E33" s="641">
        <f>IF(E19=0,0,E12/E19)</f>
        <v>9492.7796161779206</v>
      </c>
    </row>
    <row r="34" spans="1:5" ht="26.1" customHeight="1" x14ac:dyDescent="0.25">
      <c r="A34" s="639">
        <v>2</v>
      </c>
      <c r="B34" s="640" t="s">
        <v>921</v>
      </c>
      <c r="C34" s="641">
        <f>IF(C20=0,0,C12/C20)</f>
        <v>34919.844399799098</v>
      </c>
      <c r="D34" s="641">
        <f>IF(D20=0,0,D12/D20)</f>
        <v>38181.99857404767</v>
      </c>
      <c r="E34" s="641">
        <f>IF(E20=0,0,E12/E20)</f>
        <v>41369.412994626284</v>
      </c>
    </row>
    <row r="35" spans="1:5" ht="26.1" customHeight="1" x14ac:dyDescent="0.25">
      <c r="A35" s="639">
        <v>3</v>
      </c>
      <c r="B35" s="640" t="s">
        <v>922</v>
      </c>
      <c r="C35" s="641">
        <f>IF(C22=0,0,C12/C22)</f>
        <v>4008.8339047885615</v>
      </c>
      <c r="D35" s="641">
        <f>IF(D22=0,0,D12/D22)</f>
        <v>4277.2640052881316</v>
      </c>
      <c r="E35" s="641">
        <f>IF(E22=0,0,E12/E22)</f>
        <v>4578.2591023226614</v>
      </c>
    </row>
    <row r="36" spans="1:5" ht="26.1" customHeight="1" x14ac:dyDescent="0.25">
      <c r="A36" s="639">
        <v>4</v>
      </c>
      <c r="B36" s="640" t="s">
        <v>923</v>
      </c>
      <c r="C36" s="641">
        <f>IF(C23=0,0,C12/C23)</f>
        <v>17264.765042692114</v>
      </c>
      <c r="D36" s="641">
        <f>IF(D23=0,0,D12/D23)</f>
        <v>18453.924017111425</v>
      </c>
      <c r="E36" s="641">
        <f>IF(E23=0,0,E12/E23)</f>
        <v>19951.995017098194</v>
      </c>
    </row>
    <row r="37" spans="1:5" ht="26.1" customHeight="1" x14ac:dyDescent="0.25">
      <c r="A37" s="639">
        <v>5</v>
      </c>
      <c r="B37" s="640" t="s">
        <v>924</v>
      </c>
      <c r="C37" s="641">
        <f>IF(C29=0,0,C12/C29)</f>
        <v>3402.606682255956</v>
      </c>
      <c r="D37" s="641">
        <f>IF(D29=0,0,D12/D29)</f>
        <v>3622.8524481359927</v>
      </c>
      <c r="E37" s="641">
        <f>IF(E29=0,0,E12/E29)</f>
        <v>3876.2567462317006</v>
      </c>
    </row>
    <row r="38" spans="1:5" ht="26.1" customHeight="1" x14ac:dyDescent="0.25">
      <c r="A38" s="639">
        <v>6</v>
      </c>
      <c r="B38" s="640" t="s">
        <v>925</v>
      </c>
      <c r="C38" s="641">
        <f>IF(C30=0,0,C12/C30)</f>
        <v>14653.938351417335</v>
      </c>
      <c r="D38" s="641">
        <f>IF(D30=0,0,D12/D30)</f>
        <v>15630.516077672901</v>
      </c>
      <c r="E38" s="641">
        <f>IF(E30=0,0,E12/E30)</f>
        <v>16892.677665746829</v>
      </c>
    </row>
    <row r="39" spans="1:5" ht="26.1" customHeight="1" x14ac:dyDescent="0.25">
      <c r="A39" s="639">
        <v>7</v>
      </c>
      <c r="B39" s="640" t="s">
        <v>926</v>
      </c>
      <c r="C39" s="641">
        <f>IF(C22=0,0,C10/C22)</f>
        <v>1982.0127108513311</v>
      </c>
      <c r="D39" s="641">
        <f>IF(D22=0,0,D10/D22)</f>
        <v>2067.2648866621462</v>
      </c>
      <c r="E39" s="641">
        <f>IF(E22=0,0,E10/E22)</f>
        <v>2208.0420335766325</v>
      </c>
    </row>
    <row r="40" spans="1:5" ht="26.1" customHeight="1" x14ac:dyDescent="0.25">
      <c r="A40" s="639">
        <v>8</v>
      </c>
      <c r="B40" s="640" t="s">
        <v>927</v>
      </c>
      <c r="C40" s="641">
        <f>IF(C23=0,0,C10/C23)</f>
        <v>8535.8946210275353</v>
      </c>
      <c r="D40" s="641">
        <f>IF(D23=0,0,D10/D23)</f>
        <v>8919.0541183664554</v>
      </c>
      <c r="E40" s="641">
        <f>IF(E23=0,0,E10/E23)</f>
        <v>9622.6191368492546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928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929</v>
      </c>
      <c r="C43" s="641">
        <f>IF(C19=0,0,C13/C19)</f>
        <v>4022.819373498472</v>
      </c>
      <c r="D43" s="641">
        <f>IF(D19=0,0,D13/D19)</f>
        <v>4297.130527160698</v>
      </c>
      <c r="E43" s="641">
        <f>IF(E19=0,0,E13/E19)</f>
        <v>4411.161241144292</v>
      </c>
    </row>
    <row r="44" spans="1:5" ht="26.1" customHeight="1" x14ac:dyDescent="0.25">
      <c r="A44" s="639">
        <v>2</v>
      </c>
      <c r="B44" s="640" t="s">
        <v>930</v>
      </c>
      <c r="C44" s="641">
        <f>IF(C20=0,0,C13/C20)</f>
        <v>17324.995981918633</v>
      </c>
      <c r="D44" s="641">
        <f>IF(D20=0,0,D13/D20)</f>
        <v>18539.6365858627</v>
      </c>
      <c r="E44" s="641">
        <f>IF(E20=0,0,E13/E20)</f>
        <v>19223.784660478748</v>
      </c>
    </row>
    <row r="45" spans="1:5" ht="26.1" customHeight="1" x14ac:dyDescent="0.25">
      <c r="A45" s="639">
        <v>3</v>
      </c>
      <c r="B45" s="640" t="s">
        <v>931</v>
      </c>
      <c r="C45" s="641">
        <f>IF(C22=0,0,C13/C22)</f>
        <v>1988.9272843678707</v>
      </c>
      <c r="D45" s="641">
        <f>IF(D22=0,0,D13/D22)</f>
        <v>2076.8666701939751</v>
      </c>
      <c r="E45" s="641">
        <f>IF(E22=0,0,E13/E22)</f>
        <v>2127.4526451308343</v>
      </c>
    </row>
    <row r="46" spans="1:5" ht="26.1" customHeight="1" x14ac:dyDescent="0.25">
      <c r="A46" s="639">
        <v>4</v>
      </c>
      <c r="B46" s="640" t="s">
        <v>932</v>
      </c>
      <c r="C46" s="641">
        <f>IF(C23=0,0,C13/C23)</f>
        <v>8565.6734769164959</v>
      </c>
      <c r="D46" s="641">
        <f>IF(D23=0,0,D13/D23)</f>
        <v>8960.4802691736186</v>
      </c>
      <c r="E46" s="641">
        <f>IF(E23=0,0,E13/E23)</f>
        <v>9271.4116056097446</v>
      </c>
    </row>
    <row r="47" spans="1:5" ht="26.1" customHeight="1" x14ac:dyDescent="0.25">
      <c r="A47" s="639">
        <v>5</v>
      </c>
      <c r="B47" s="640" t="s">
        <v>933</v>
      </c>
      <c r="C47" s="641">
        <f>IF(C29=0,0,C13/C29)</f>
        <v>1688.1560645921174</v>
      </c>
      <c r="D47" s="641">
        <f>IF(D29=0,0,D13/D29)</f>
        <v>1759.1108454521116</v>
      </c>
      <c r="E47" s="641">
        <f>IF(E29=0,0,E13/E29)</f>
        <v>1801.2420187824662</v>
      </c>
    </row>
    <row r="48" spans="1:5" ht="26.1" customHeight="1" x14ac:dyDescent="0.25">
      <c r="A48" s="639">
        <v>6</v>
      </c>
      <c r="B48" s="640" t="s">
        <v>934</v>
      </c>
      <c r="C48" s="641">
        <f>IF(C30=0,0,C13/C30)</f>
        <v>7270.3480620048058</v>
      </c>
      <c r="D48" s="641">
        <f>IF(D30=0,0,D13/D30)</f>
        <v>7589.5473927995517</v>
      </c>
      <c r="E48" s="641">
        <f>IF(E30=0,0,E13/E30)</f>
        <v>7849.7898393525284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935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936</v>
      </c>
      <c r="C51" s="641">
        <f>IF(C19=0,0,C16/C19)</f>
        <v>4041.4676136496164</v>
      </c>
      <c r="D51" s="641">
        <f>IF(D19=0,0,D16/D19)</f>
        <v>4489.7606647937864</v>
      </c>
      <c r="E51" s="641">
        <f>IF(E19=0,0,E16/E19)</f>
        <v>4566.3009371356829</v>
      </c>
    </row>
    <row r="52" spans="1:6" ht="26.1" customHeight="1" x14ac:dyDescent="0.25">
      <c r="A52" s="639">
        <v>2</v>
      </c>
      <c r="B52" s="640" t="s">
        <v>937</v>
      </c>
      <c r="C52" s="641">
        <f>IF(C20=0,0,C16/C20)</f>
        <v>17405.307985936714</v>
      </c>
      <c r="D52" s="641">
        <f>IF(D20=0,0,D16/D20)</f>
        <v>19370.724383784884</v>
      </c>
      <c r="E52" s="641">
        <f>IF(E20=0,0,E16/E20)</f>
        <v>19899.881485100148</v>
      </c>
    </row>
    <row r="53" spans="1:6" ht="26.1" customHeight="1" x14ac:dyDescent="0.25">
      <c r="A53" s="639">
        <v>3</v>
      </c>
      <c r="B53" s="640" t="s">
        <v>938</v>
      </c>
      <c r="C53" s="641">
        <f>IF(C22=0,0,C16/C22)</f>
        <v>1998.1471846911109</v>
      </c>
      <c r="D53" s="641">
        <f>IF(D22=0,0,D16/D22)</f>
        <v>2169.967661657081</v>
      </c>
      <c r="E53" s="641">
        <f>IF(E22=0,0,E16/E22)</f>
        <v>2202.2747471939315</v>
      </c>
    </row>
    <row r="54" spans="1:6" ht="26.1" customHeight="1" x14ac:dyDescent="0.25">
      <c r="A54" s="639">
        <v>4</v>
      </c>
      <c r="B54" s="640" t="s">
        <v>939</v>
      </c>
      <c r="C54" s="641">
        <f>IF(C23=0,0,C16/C23)</f>
        <v>8605.380637796281</v>
      </c>
      <c r="D54" s="641">
        <f>IF(D23=0,0,D16/D23)</f>
        <v>9362.1572805186697</v>
      </c>
      <c r="E54" s="641">
        <f>IF(E23=0,0,E16/E23)</f>
        <v>9597.4853760467158</v>
      </c>
    </row>
    <row r="55" spans="1:6" ht="26.1" customHeight="1" x14ac:dyDescent="0.25">
      <c r="A55" s="639">
        <v>5</v>
      </c>
      <c r="B55" s="640" t="s">
        <v>940</v>
      </c>
      <c r="C55" s="641">
        <f>IF(C29=0,0,C16/C29)</f>
        <v>1695.9817054629245</v>
      </c>
      <c r="D55" s="641">
        <f>IF(D29=0,0,D16/D29)</f>
        <v>1837.9675993090154</v>
      </c>
      <c r="E55" s="641">
        <f>IF(E29=0,0,E16/E29)</f>
        <v>1864.5913555952691</v>
      </c>
    </row>
    <row r="56" spans="1:6" ht="26.1" customHeight="1" x14ac:dyDescent="0.25">
      <c r="A56" s="639">
        <v>6</v>
      </c>
      <c r="B56" s="640" t="s">
        <v>941</v>
      </c>
      <c r="C56" s="641">
        <f>IF(C30=0,0,C16/C30)</f>
        <v>7304.0505935019537</v>
      </c>
      <c r="D56" s="641">
        <f>IF(D30=0,0,D16/D30)</f>
        <v>7929.7687450733947</v>
      </c>
      <c r="E56" s="641">
        <f>IF(E30=0,0,E16/E30)</f>
        <v>8125.8654445502079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942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943</v>
      </c>
      <c r="C59" s="649">
        <v>24579480</v>
      </c>
      <c r="D59" s="649">
        <v>25964260</v>
      </c>
      <c r="E59" s="649">
        <v>27000880</v>
      </c>
    </row>
    <row r="60" spans="1:6" ht="26.1" customHeight="1" x14ac:dyDescent="0.25">
      <c r="A60" s="639">
        <v>2</v>
      </c>
      <c r="B60" s="640" t="s">
        <v>944</v>
      </c>
      <c r="C60" s="649">
        <v>6537518</v>
      </c>
      <c r="D60" s="649">
        <v>8009974</v>
      </c>
      <c r="E60" s="649">
        <v>9772478</v>
      </c>
    </row>
    <row r="61" spans="1:6" ht="26.1" customHeight="1" x14ac:dyDescent="0.25">
      <c r="A61" s="650">
        <v>3</v>
      </c>
      <c r="B61" s="651" t="s">
        <v>945</v>
      </c>
      <c r="C61" s="652">
        <f>C59+C60</f>
        <v>31116998</v>
      </c>
      <c r="D61" s="652">
        <f>D59+D60</f>
        <v>33974234</v>
      </c>
      <c r="E61" s="652">
        <f>E59+E60</f>
        <v>36773358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946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947</v>
      </c>
      <c r="C64" s="641">
        <v>8816052</v>
      </c>
      <c r="D64" s="641">
        <v>9314012</v>
      </c>
      <c r="E64" s="649">
        <v>8870537</v>
      </c>
      <c r="F64" s="653"/>
    </row>
    <row r="65" spans="1:6" ht="26.1" customHeight="1" x14ac:dyDescent="0.25">
      <c r="A65" s="639">
        <v>2</v>
      </c>
      <c r="B65" s="640" t="s">
        <v>948</v>
      </c>
      <c r="C65" s="649">
        <v>2399979</v>
      </c>
      <c r="D65" s="649">
        <v>2873372</v>
      </c>
      <c r="E65" s="649">
        <v>3169452</v>
      </c>
      <c r="F65" s="653"/>
    </row>
    <row r="66" spans="1:6" ht="26.1" customHeight="1" x14ac:dyDescent="0.25">
      <c r="A66" s="650">
        <v>3</v>
      </c>
      <c r="B66" s="651" t="s">
        <v>949</v>
      </c>
      <c r="C66" s="654">
        <f>C64+C65</f>
        <v>11216031</v>
      </c>
      <c r="D66" s="654">
        <f>D64+D65</f>
        <v>12187384</v>
      </c>
      <c r="E66" s="654">
        <f>E64+E65</f>
        <v>12039989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950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951</v>
      </c>
      <c r="C69" s="649">
        <v>31056879</v>
      </c>
      <c r="D69" s="649">
        <v>33947144</v>
      </c>
      <c r="E69" s="649">
        <v>37342205</v>
      </c>
    </row>
    <row r="70" spans="1:6" ht="26.1" customHeight="1" x14ac:dyDescent="0.25">
      <c r="A70" s="639">
        <v>2</v>
      </c>
      <c r="B70" s="640" t="s">
        <v>952</v>
      </c>
      <c r="C70" s="649">
        <v>8205208</v>
      </c>
      <c r="D70" s="649">
        <v>10476488</v>
      </c>
      <c r="E70" s="649">
        <v>13470174</v>
      </c>
    </row>
    <row r="71" spans="1:6" ht="26.1" customHeight="1" x14ac:dyDescent="0.25">
      <c r="A71" s="650">
        <v>3</v>
      </c>
      <c r="B71" s="651" t="s">
        <v>953</v>
      </c>
      <c r="C71" s="652">
        <f>C69+C70</f>
        <v>39262087</v>
      </c>
      <c r="D71" s="652">
        <f>D69+D70</f>
        <v>44423632</v>
      </c>
      <c r="E71" s="652">
        <f>E69+E70</f>
        <v>50812379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954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955</v>
      </c>
      <c r="C75" s="641">
        <f t="shared" ref="C75:E76" si="0">+C59+C64+C69</f>
        <v>64452411</v>
      </c>
      <c r="D75" s="641">
        <f t="shared" si="0"/>
        <v>69225416</v>
      </c>
      <c r="E75" s="641">
        <f t="shared" si="0"/>
        <v>73213622</v>
      </c>
    </row>
    <row r="76" spans="1:6" ht="26.1" customHeight="1" x14ac:dyDescent="0.25">
      <c r="A76" s="639">
        <v>2</v>
      </c>
      <c r="B76" s="640" t="s">
        <v>956</v>
      </c>
      <c r="C76" s="641">
        <f t="shared" si="0"/>
        <v>17142705</v>
      </c>
      <c r="D76" s="641">
        <f t="shared" si="0"/>
        <v>21359834</v>
      </c>
      <c r="E76" s="641">
        <f t="shared" si="0"/>
        <v>26412104</v>
      </c>
    </row>
    <row r="77" spans="1:6" ht="26.1" customHeight="1" x14ac:dyDescent="0.25">
      <c r="A77" s="650">
        <v>3</v>
      </c>
      <c r="B77" s="651" t="s">
        <v>954</v>
      </c>
      <c r="C77" s="654">
        <f>C75+C76</f>
        <v>81595116</v>
      </c>
      <c r="D77" s="654">
        <f>D75+D76</f>
        <v>90585250</v>
      </c>
      <c r="E77" s="654">
        <f>E75+E76</f>
        <v>99625726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957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583</v>
      </c>
      <c r="C80" s="646">
        <v>304.2</v>
      </c>
      <c r="D80" s="646">
        <v>308</v>
      </c>
      <c r="E80" s="646">
        <v>315.5</v>
      </c>
    </row>
    <row r="81" spans="1:5" ht="26.1" customHeight="1" x14ac:dyDescent="0.25">
      <c r="A81" s="639">
        <v>2</v>
      </c>
      <c r="B81" s="640" t="s">
        <v>584</v>
      </c>
      <c r="C81" s="646">
        <v>47.6</v>
      </c>
      <c r="D81" s="646">
        <v>51.4</v>
      </c>
      <c r="E81" s="646">
        <v>49.7</v>
      </c>
    </row>
    <row r="82" spans="1:5" ht="26.1" customHeight="1" x14ac:dyDescent="0.25">
      <c r="A82" s="639">
        <v>3</v>
      </c>
      <c r="B82" s="640" t="s">
        <v>958</v>
      </c>
      <c r="C82" s="646">
        <v>598.70000000000005</v>
      </c>
      <c r="D82" s="646">
        <v>626.4</v>
      </c>
      <c r="E82" s="646">
        <v>653.4</v>
      </c>
    </row>
    <row r="83" spans="1:5" ht="26.1" customHeight="1" x14ac:dyDescent="0.25">
      <c r="A83" s="650">
        <v>4</v>
      </c>
      <c r="B83" s="651" t="s">
        <v>957</v>
      </c>
      <c r="C83" s="656">
        <f>C80+C81+C82</f>
        <v>950.5</v>
      </c>
      <c r="D83" s="656">
        <f>D80+D81+D82</f>
        <v>985.8</v>
      </c>
      <c r="E83" s="656">
        <f>E80+E81+E82</f>
        <v>1018.5999999999999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959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960</v>
      </c>
      <c r="C86" s="649">
        <f>IF(C80=0,0,C59/C80)</f>
        <v>80800.394477317561</v>
      </c>
      <c r="D86" s="649">
        <f>IF(D80=0,0,D59/D80)</f>
        <v>84299.545454545456</v>
      </c>
      <c r="E86" s="649">
        <f>IF(E80=0,0,E59/E80)</f>
        <v>85581.236133122031</v>
      </c>
    </row>
    <row r="87" spans="1:5" ht="26.1" customHeight="1" x14ac:dyDescent="0.25">
      <c r="A87" s="639">
        <v>2</v>
      </c>
      <c r="B87" s="640" t="s">
        <v>961</v>
      </c>
      <c r="C87" s="649">
        <f>IF(C80=0,0,C60/C80)</f>
        <v>21490.854700854703</v>
      </c>
      <c r="D87" s="649">
        <f>IF(D80=0,0,D60/D80)</f>
        <v>26006.409090909092</v>
      </c>
      <c r="E87" s="649">
        <f>IF(E80=0,0,E60/E80)</f>
        <v>30974.573692551505</v>
      </c>
    </row>
    <row r="88" spans="1:5" ht="26.1" customHeight="1" x14ac:dyDescent="0.25">
      <c r="A88" s="650">
        <v>3</v>
      </c>
      <c r="B88" s="651" t="s">
        <v>962</v>
      </c>
      <c r="C88" s="652">
        <f>+C86+C87</f>
        <v>102291.24917817226</v>
      </c>
      <c r="D88" s="652">
        <f>+D86+D87</f>
        <v>110305.95454545454</v>
      </c>
      <c r="E88" s="652">
        <f>+E86+E87</f>
        <v>116555.80982567354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581</v>
      </c>
      <c r="B90" s="642" t="s">
        <v>963</v>
      </c>
    </row>
    <row r="91" spans="1:5" ht="26.1" customHeight="1" x14ac:dyDescent="0.25">
      <c r="A91" s="639">
        <v>1</v>
      </c>
      <c r="B91" s="640" t="s">
        <v>964</v>
      </c>
      <c r="C91" s="641">
        <f>IF(C81=0,0,C64/C81)</f>
        <v>185211.17647058822</v>
      </c>
      <c r="D91" s="641">
        <f>IF(D81=0,0,D64/D81)</f>
        <v>181206.45914396888</v>
      </c>
      <c r="E91" s="641">
        <f>IF(E81=0,0,E64/E81)</f>
        <v>178481.62977867201</v>
      </c>
    </row>
    <row r="92" spans="1:5" ht="26.1" customHeight="1" x14ac:dyDescent="0.25">
      <c r="A92" s="639">
        <v>2</v>
      </c>
      <c r="B92" s="640" t="s">
        <v>965</v>
      </c>
      <c r="C92" s="641">
        <f>IF(C81=0,0,C65/C81)</f>
        <v>50419.726890756298</v>
      </c>
      <c r="D92" s="641">
        <f>IF(D81=0,0,D65/D81)</f>
        <v>55902.17898832685</v>
      </c>
      <c r="E92" s="641">
        <f>IF(E81=0,0,E65/E81)</f>
        <v>63771.67002012072</v>
      </c>
    </row>
    <row r="93" spans="1:5" ht="26.1" customHeight="1" x14ac:dyDescent="0.25">
      <c r="A93" s="650">
        <v>3</v>
      </c>
      <c r="B93" s="651" t="s">
        <v>966</v>
      </c>
      <c r="C93" s="654">
        <f>+C91+C92</f>
        <v>235630.90336134454</v>
      </c>
      <c r="D93" s="654">
        <f>+D91+D92</f>
        <v>237108.63813229575</v>
      </c>
      <c r="E93" s="654">
        <f>+E91+E92</f>
        <v>242253.29979879272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967</v>
      </c>
      <c r="B95" s="642" t="s">
        <v>968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969</v>
      </c>
      <c r="C96" s="649">
        <f>IF(C82=0,0,C69/C82)</f>
        <v>51873.858359779515</v>
      </c>
      <c r="D96" s="649">
        <f>IF(D82=0,0,D69/D82)</f>
        <v>54194.03575989783</v>
      </c>
      <c r="E96" s="649">
        <f>IF(E82=0,0,E69/E82)</f>
        <v>57150.604530149983</v>
      </c>
    </row>
    <row r="97" spans="1:5" ht="26.1" customHeight="1" x14ac:dyDescent="0.25">
      <c r="A97" s="639">
        <v>2</v>
      </c>
      <c r="B97" s="640" t="s">
        <v>970</v>
      </c>
      <c r="C97" s="649">
        <f>IF(C82=0,0,C70/C82)</f>
        <v>13705.040921997661</v>
      </c>
      <c r="D97" s="649">
        <f>IF(D82=0,0,D70/D82)</f>
        <v>16724.91698595147</v>
      </c>
      <c r="E97" s="649">
        <f>IF(E82=0,0,E70/E82)</f>
        <v>20615.509641873279</v>
      </c>
    </row>
    <row r="98" spans="1:5" ht="26.1" customHeight="1" x14ac:dyDescent="0.25">
      <c r="A98" s="650">
        <v>3</v>
      </c>
      <c r="B98" s="651" t="s">
        <v>971</v>
      </c>
      <c r="C98" s="654">
        <f>+C96+C97</f>
        <v>65578.89928177718</v>
      </c>
      <c r="D98" s="654">
        <f>+D96+D97</f>
        <v>70918.952745849296</v>
      </c>
      <c r="E98" s="654">
        <f>+E96+E97</f>
        <v>77766.114172023255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972</v>
      </c>
      <c r="B100" s="642" t="s">
        <v>973</v>
      </c>
    </row>
    <row r="101" spans="1:5" ht="26.1" customHeight="1" x14ac:dyDescent="0.25">
      <c r="A101" s="639">
        <v>1</v>
      </c>
      <c r="B101" s="640" t="s">
        <v>974</v>
      </c>
      <c r="C101" s="641">
        <f>IF(C83=0,0,C75/C83)</f>
        <v>67808.954234613368</v>
      </c>
      <c r="D101" s="641">
        <f>IF(D83=0,0,D75/D83)</f>
        <v>70222.57658754311</v>
      </c>
      <c r="E101" s="641">
        <f>IF(E83=0,0,E75/E83)</f>
        <v>71876.715099155714</v>
      </c>
    </row>
    <row r="102" spans="1:5" ht="26.1" customHeight="1" x14ac:dyDescent="0.25">
      <c r="A102" s="639">
        <v>2</v>
      </c>
      <c r="B102" s="640" t="s">
        <v>975</v>
      </c>
      <c r="C102" s="658">
        <f>IF(C83=0,0,C76/C83)</f>
        <v>18035.460284061021</v>
      </c>
      <c r="D102" s="658">
        <f>IF(D83=0,0,D76/D83)</f>
        <v>21667.512680056807</v>
      </c>
      <c r="E102" s="658">
        <f>IF(E83=0,0,E76/E83)</f>
        <v>25929.809542509331</v>
      </c>
    </row>
    <row r="103" spans="1:5" ht="26.1" customHeight="1" x14ac:dyDescent="0.25">
      <c r="A103" s="650">
        <v>3</v>
      </c>
      <c r="B103" s="651" t="s">
        <v>973</v>
      </c>
      <c r="C103" s="654">
        <f>+C101+C102</f>
        <v>85844.414518674384</v>
      </c>
      <c r="D103" s="654">
        <f>+D101+D102</f>
        <v>91890.08926759992</v>
      </c>
      <c r="E103" s="654">
        <f>+E101+E102</f>
        <v>97806.524641665048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976</v>
      </c>
      <c r="B107" s="634" t="s">
        <v>977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978</v>
      </c>
      <c r="C108" s="641">
        <f>IF(C19=0,0,C77/C19)</f>
        <v>1903.1818627107971</v>
      </c>
      <c r="D108" s="641">
        <f>IF(D19=0,0,D77/D19)</f>
        <v>2138.5124766873628</v>
      </c>
      <c r="E108" s="641">
        <f>IF(E19=0,0,E77/E19)</f>
        <v>2233.5603533315398</v>
      </c>
    </row>
    <row r="109" spans="1:5" ht="26.1" customHeight="1" x14ac:dyDescent="0.25">
      <c r="A109" s="639">
        <v>2</v>
      </c>
      <c r="B109" s="640" t="s">
        <v>979</v>
      </c>
      <c r="C109" s="641">
        <f>IF(C20=0,0,C77/C20)</f>
        <v>8196.3953792064294</v>
      </c>
      <c r="D109" s="641">
        <f>IF(D20=0,0,D77/D20)</f>
        <v>9226.4463230800575</v>
      </c>
      <c r="E109" s="641">
        <f>IF(E20=0,0,E77/E20)</f>
        <v>9733.8276502198332</v>
      </c>
    </row>
    <row r="110" spans="1:5" ht="26.1" customHeight="1" x14ac:dyDescent="0.25">
      <c r="A110" s="639">
        <v>3</v>
      </c>
      <c r="B110" s="640" t="s">
        <v>980</v>
      </c>
      <c r="C110" s="641">
        <f>IF(C22=0,0,C77/C22)</f>
        <v>940.95458493520869</v>
      </c>
      <c r="D110" s="641">
        <f>IF(D22=0,0,D77/D22)</f>
        <v>1033.5746746703048</v>
      </c>
      <c r="E110" s="641">
        <f>IF(E22=0,0,E77/E22)</f>
        <v>1077.2206278548751</v>
      </c>
    </row>
    <row r="111" spans="1:5" ht="26.1" customHeight="1" x14ac:dyDescent="0.25">
      <c r="A111" s="639">
        <v>4</v>
      </c>
      <c r="B111" s="640" t="s">
        <v>981</v>
      </c>
      <c r="C111" s="641">
        <f>IF(C23=0,0,C77/C23)</f>
        <v>4052.3903485612454</v>
      </c>
      <c r="D111" s="641">
        <f>IF(D23=0,0,D77/D23)</f>
        <v>4459.2778207740321</v>
      </c>
      <c r="E111" s="641">
        <f>IF(E23=0,0,E77/E23)</f>
        <v>4694.5138138582179</v>
      </c>
    </row>
    <row r="112" spans="1:5" ht="26.1" customHeight="1" x14ac:dyDescent="0.25">
      <c r="A112" s="639">
        <v>5</v>
      </c>
      <c r="B112" s="640" t="s">
        <v>982</v>
      </c>
      <c r="C112" s="641">
        <f>IF(C29=0,0,C77/C29)</f>
        <v>798.6607663079991</v>
      </c>
      <c r="D112" s="641">
        <f>IF(D29=0,0,D77/D29)</f>
        <v>875.44012617206545</v>
      </c>
      <c r="E112" s="641">
        <f>IF(E29=0,0,E77/E29)</f>
        <v>912.04618012642277</v>
      </c>
    </row>
    <row r="113" spans="1:7" ht="25.5" customHeight="1" x14ac:dyDescent="0.25">
      <c r="A113" s="639">
        <v>6</v>
      </c>
      <c r="B113" s="640" t="s">
        <v>983</v>
      </c>
      <c r="C113" s="641">
        <f>IF(C30=0,0,C77/C30)</f>
        <v>3439.5763971795918</v>
      </c>
      <c r="D113" s="641">
        <f>IF(D30=0,0,D77/D30)</f>
        <v>3777.0185683970794</v>
      </c>
      <c r="E113" s="641">
        <f>IF(E30=0,0,E77/E30)</f>
        <v>3974.6856686232495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FILING&amp;R&amp;12MIDSTATE MEDICAL CENTER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374870862</v>
      </c>
      <c r="D12" s="51">
        <v>423415942</v>
      </c>
      <c r="E12" s="51">
        <f t="shared" ref="E12:E19" si="0">D12-C12</f>
        <v>48545080</v>
      </c>
      <c r="F12" s="70">
        <f t="shared" ref="F12:F19" si="1">IF(C12=0,0,E12/C12)</f>
        <v>0.12949814168272167</v>
      </c>
    </row>
    <row r="13" spans="1:8" ht="23.1" customHeight="1" x14ac:dyDescent="0.2">
      <c r="A13" s="25">
        <v>2</v>
      </c>
      <c r="B13" s="48" t="s">
        <v>72</v>
      </c>
      <c r="C13" s="51">
        <v>189210727</v>
      </c>
      <c r="D13" s="51">
        <v>223635468</v>
      </c>
      <c r="E13" s="51">
        <f t="shared" si="0"/>
        <v>34424741</v>
      </c>
      <c r="F13" s="70">
        <f t="shared" si="1"/>
        <v>0.18193863289791176</v>
      </c>
    </row>
    <row r="14" spans="1:8" ht="23.1" customHeight="1" x14ac:dyDescent="0.2">
      <c r="A14" s="25">
        <v>3</v>
      </c>
      <c r="B14" s="48" t="s">
        <v>73</v>
      </c>
      <c r="C14" s="51">
        <v>3637983</v>
      </c>
      <c r="D14" s="51">
        <v>3025038</v>
      </c>
      <c r="E14" s="51">
        <f t="shared" si="0"/>
        <v>-612945</v>
      </c>
      <c r="F14" s="70">
        <f t="shared" si="1"/>
        <v>-0.16848484448662898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182022152</v>
      </c>
      <c r="D16" s="27">
        <f>D12-D13-D14-D15</f>
        <v>196755436</v>
      </c>
      <c r="E16" s="27">
        <f t="shared" si="0"/>
        <v>14733284</v>
      </c>
      <c r="F16" s="28">
        <f t="shared" si="1"/>
        <v>8.09422580609859E-2</v>
      </c>
    </row>
    <row r="17" spans="1:7" ht="23.1" customHeight="1" x14ac:dyDescent="0.2">
      <c r="A17" s="25">
        <v>5</v>
      </c>
      <c r="B17" s="48" t="s">
        <v>76</v>
      </c>
      <c r="C17" s="51">
        <v>18496119</v>
      </c>
      <c r="D17" s="51">
        <v>14343247</v>
      </c>
      <c r="E17" s="51">
        <f t="shared" si="0"/>
        <v>-4152872</v>
      </c>
      <c r="F17" s="70">
        <f t="shared" si="1"/>
        <v>-0.22452666962188123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199314</v>
      </c>
      <c r="D18" s="51">
        <v>241164</v>
      </c>
      <c r="E18" s="51">
        <f t="shared" si="0"/>
        <v>41850</v>
      </c>
      <c r="F18" s="70">
        <f t="shared" si="1"/>
        <v>0.20997019777837983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200717585</v>
      </c>
      <c r="D19" s="27">
        <f>SUM(D16:D18)</f>
        <v>211339847</v>
      </c>
      <c r="E19" s="27">
        <f t="shared" si="0"/>
        <v>10622262</v>
      </c>
      <c r="F19" s="28">
        <f t="shared" si="1"/>
        <v>5.2921431871552259E-2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69225416</v>
      </c>
      <c r="D22" s="51">
        <v>73213622</v>
      </c>
      <c r="E22" s="51">
        <f t="shared" ref="E22:E31" si="2">D22-C22</f>
        <v>3988206</v>
      </c>
      <c r="F22" s="70">
        <f t="shared" ref="F22:F31" si="3">IF(C22=0,0,E22/C22)</f>
        <v>5.7611874806212791E-2</v>
      </c>
    </row>
    <row r="23" spans="1:7" ht="23.1" customHeight="1" x14ac:dyDescent="0.2">
      <c r="A23" s="25">
        <v>2</v>
      </c>
      <c r="B23" s="48" t="s">
        <v>81</v>
      </c>
      <c r="C23" s="51">
        <v>21359834</v>
      </c>
      <c r="D23" s="51">
        <v>26412104</v>
      </c>
      <c r="E23" s="51">
        <f t="shared" si="2"/>
        <v>5052270</v>
      </c>
      <c r="F23" s="70">
        <f t="shared" si="3"/>
        <v>0.23653133259368964</v>
      </c>
    </row>
    <row r="24" spans="1:7" ht="23.1" customHeight="1" x14ac:dyDescent="0.2">
      <c r="A24" s="25">
        <v>3</v>
      </c>
      <c r="B24" s="48" t="s">
        <v>82</v>
      </c>
      <c r="C24" s="51">
        <v>1479671</v>
      </c>
      <c r="D24" s="51">
        <v>1503048</v>
      </c>
      <c r="E24" s="51">
        <f t="shared" si="2"/>
        <v>23377</v>
      </c>
      <c r="F24" s="70">
        <f t="shared" si="3"/>
        <v>1.5798782296875456E-2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19243667</v>
      </c>
      <c r="D25" s="51">
        <v>22136153</v>
      </c>
      <c r="E25" s="51">
        <f t="shared" si="2"/>
        <v>2892486</v>
      </c>
      <c r="F25" s="70">
        <f t="shared" si="3"/>
        <v>0.15030846251912383</v>
      </c>
    </row>
    <row r="26" spans="1:7" ht="23.1" customHeight="1" x14ac:dyDescent="0.2">
      <c r="A26" s="25">
        <v>5</v>
      </c>
      <c r="B26" s="48" t="s">
        <v>84</v>
      </c>
      <c r="C26" s="51">
        <v>10982105</v>
      </c>
      <c r="D26" s="51">
        <v>12845628</v>
      </c>
      <c r="E26" s="51">
        <f t="shared" si="2"/>
        <v>1863523</v>
      </c>
      <c r="F26" s="70">
        <f t="shared" si="3"/>
        <v>0.16968723209257242</v>
      </c>
    </row>
    <row r="27" spans="1:7" ht="23.1" customHeight="1" x14ac:dyDescent="0.2">
      <c r="A27" s="25">
        <v>6</v>
      </c>
      <c r="B27" s="48" t="s">
        <v>85</v>
      </c>
      <c r="C27" s="51">
        <v>10465542</v>
      </c>
      <c r="D27" s="51">
        <v>7875420</v>
      </c>
      <c r="E27" s="51">
        <f t="shared" si="2"/>
        <v>-2590122</v>
      </c>
      <c r="F27" s="70">
        <f t="shared" si="3"/>
        <v>-0.24749047875399097</v>
      </c>
    </row>
    <row r="28" spans="1:7" ht="23.1" customHeight="1" x14ac:dyDescent="0.2">
      <c r="A28" s="25">
        <v>7</v>
      </c>
      <c r="B28" s="48" t="s">
        <v>86</v>
      </c>
      <c r="C28" s="51">
        <v>2221191</v>
      </c>
      <c r="D28" s="51">
        <v>2222925</v>
      </c>
      <c r="E28" s="51">
        <f t="shared" si="2"/>
        <v>1734</v>
      </c>
      <c r="F28" s="70">
        <f t="shared" si="3"/>
        <v>7.80662266324688E-4</v>
      </c>
    </row>
    <row r="29" spans="1:7" ht="23.1" customHeight="1" x14ac:dyDescent="0.2">
      <c r="A29" s="25">
        <v>8</v>
      </c>
      <c r="B29" s="48" t="s">
        <v>87</v>
      </c>
      <c r="C29" s="51">
        <v>5917588</v>
      </c>
      <c r="D29" s="51">
        <v>5172300</v>
      </c>
      <c r="E29" s="51">
        <f t="shared" si="2"/>
        <v>-745288</v>
      </c>
      <c r="F29" s="70">
        <f t="shared" si="3"/>
        <v>-0.12594455714051062</v>
      </c>
    </row>
    <row r="30" spans="1:7" ht="23.1" customHeight="1" x14ac:dyDescent="0.2">
      <c r="A30" s="25">
        <v>9</v>
      </c>
      <c r="B30" s="48" t="s">
        <v>88</v>
      </c>
      <c r="C30" s="51">
        <v>49286758</v>
      </c>
      <c r="D30" s="51">
        <v>52294087</v>
      </c>
      <c r="E30" s="51">
        <f t="shared" si="2"/>
        <v>3007329</v>
      </c>
      <c r="F30" s="70">
        <f t="shared" si="3"/>
        <v>6.1016977420182514E-2</v>
      </c>
    </row>
    <row r="31" spans="1:7" ht="23.1" customHeight="1" x14ac:dyDescent="0.25">
      <c r="A31" s="29"/>
      <c r="B31" s="71" t="s">
        <v>89</v>
      </c>
      <c r="C31" s="27">
        <f>SUM(C22:C30)</f>
        <v>190181772</v>
      </c>
      <c r="D31" s="27">
        <f>SUM(D22:D30)</f>
        <v>203675287</v>
      </c>
      <c r="E31" s="27">
        <f t="shared" si="2"/>
        <v>13493515</v>
      </c>
      <c r="F31" s="28">
        <f t="shared" si="3"/>
        <v>7.0950621913439732E-2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10535813</v>
      </c>
      <c r="D33" s="27">
        <f>+D19-D31</f>
        <v>7664560</v>
      </c>
      <c r="E33" s="27">
        <f>D33-C33</f>
        <v>-2871253</v>
      </c>
      <c r="F33" s="28">
        <f>IF(C33=0,0,E33/C33)</f>
        <v>-0.27252315507118435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261107</v>
      </c>
      <c r="D36" s="51">
        <v>130175</v>
      </c>
      <c r="E36" s="51">
        <f>D36-C36</f>
        <v>-130932</v>
      </c>
      <c r="F36" s="70">
        <f>IF(C36=0,0,E36/C36)</f>
        <v>-0.50144959729153182</v>
      </c>
    </row>
    <row r="37" spans="1:6" ht="23.1" customHeight="1" x14ac:dyDescent="0.2">
      <c r="A37" s="44">
        <v>2</v>
      </c>
      <c r="B37" s="48" t="s">
        <v>93</v>
      </c>
      <c r="C37" s="51">
        <v>18750</v>
      </c>
      <c r="D37" s="51">
        <v>247500</v>
      </c>
      <c r="E37" s="51">
        <f>D37-C37</f>
        <v>228750</v>
      </c>
      <c r="F37" s="70">
        <f>IF(C37=0,0,E37/C37)</f>
        <v>12.2</v>
      </c>
    </row>
    <row r="38" spans="1:6" ht="23.1" customHeight="1" x14ac:dyDescent="0.2">
      <c r="A38" s="44">
        <v>3</v>
      </c>
      <c r="B38" s="48" t="s">
        <v>94</v>
      </c>
      <c r="C38" s="51">
        <v>973487</v>
      </c>
      <c r="D38" s="51">
        <v>795107</v>
      </c>
      <c r="E38" s="51">
        <f>D38-C38</f>
        <v>-178380</v>
      </c>
      <c r="F38" s="70">
        <f>IF(C38=0,0,E38/C38)</f>
        <v>-0.18323819424399093</v>
      </c>
    </row>
    <row r="39" spans="1:6" ht="23.1" customHeight="1" x14ac:dyDescent="0.25">
      <c r="A39" s="20"/>
      <c r="B39" s="71" t="s">
        <v>95</v>
      </c>
      <c r="C39" s="27">
        <f>SUM(C36:C38)</f>
        <v>1253344</v>
      </c>
      <c r="D39" s="27">
        <f>SUM(D36:D38)</f>
        <v>1172782</v>
      </c>
      <c r="E39" s="27">
        <f>D39-C39</f>
        <v>-80562</v>
      </c>
      <c r="F39" s="28">
        <f>IF(C39=0,0,E39/C39)</f>
        <v>-6.4277644445579193E-2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11789157</v>
      </c>
      <c r="D41" s="27">
        <f>D33+D39</f>
        <v>8837342</v>
      </c>
      <c r="E41" s="27">
        <f>D41-C41</f>
        <v>-2951815</v>
      </c>
      <c r="F41" s="28">
        <f>IF(C41=0,0,E41/C41)</f>
        <v>-0.25038389089228347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668077</v>
      </c>
      <c r="D44" s="51">
        <v>-610653</v>
      </c>
      <c r="E44" s="51">
        <f>D44-C44</f>
        <v>-1278730</v>
      </c>
      <c r="F44" s="70">
        <f>IF(C44=0,0,E44/C44)</f>
        <v>-1.9140458360338704</v>
      </c>
    </row>
    <row r="45" spans="1:6" ht="23.1" customHeight="1" x14ac:dyDescent="0.2">
      <c r="A45" s="44"/>
      <c r="B45" s="48" t="s">
        <v>99</v>
      </c>
      <c r="C45" s="51">
        <v>-1387309</v>
      </c>
      <c r="D45" s="51">
        <v>-106639</v>
      </c>
      <c r="E45" s="51">
        <f>D45-C45</f>
        <v>1280670</v>
      </c>
      <c r="F45" s="70">
        <f>IF(C45=0,0,E45/C45)</f>
        <v>-0.92313248166053852</v>
      </c>
    </row>
    <row r="46" spans="1:6" ht="23.1" customHeight="1" x14ac:dyDescent="0.25">
      <c r="A46" s="20"/>
      <c r="B46" s="74" t="s">
        <v>100</v>
      </c>
      <c r="C46" s="27">
        <f>SUM(C44:C45)</f>
        <v>-719232</v>
      </c>
      <c r="D46" s="27">
        <f>SUM(D44:D45)</f>
        <v>-717292</v>
      </c>
      <c r="E46" s="27">
        <f>D46-C46</f>
        <v>1940</v>
      </c>
      <c r="F46" s="28">
        <f>IF(C46=0,0,E46/C46)</f>
        <v>-2.6973215874710804E-3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11069925</v>
      </c>
      <c r="D48" s="27">
        <f>D41+D46</f>
        <v>8120050</v>
      </c>
      <c r="E48" s="27">
        <f>D48-C48</f>
        <v>-2949875</v>
      </c>
      <c r="F48" s="28">
        <f>IF(C48=0,0,E48/C48)</f>
        <v>-0.26647651181015231</v>
      </c>
    </row>
    <row r="49" spans="1:6" ht="23.1" customHeight="1" x14ac:dyDescent="0.2">
      <c r="A49" s="44"/>
      <c r="B49" s="48" t="s">
        <v>102</v>
      </c>
      <c r="C49" s="51">
        <v>2390000</v>
      </c>
      <c r="D49" s="51">
        <v>82915000</v>
      </c>
      <c r="E49" s="51">
        <f>D49-C49</f>
        <v>80525000</v>
      </c>
      <c r="F49" s="70">
        <f>IF(C49=0,0,E49/C49)</f>
        <v>33.69246861924686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FILING&amp;RMIDSTATE MEDICAL CENTER</oddHeader>
    <oddFooter>&amp;LREPORT 150&amp;CPAGE &amp;P of &amp;N&amp;R&amp;D,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.57031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88106748</v>
      </c>
      <c r="D14" s="97">
        <v>95456131</v>
      </c>
      <c r="E14" s="97">
        <f t="shared" ref="E14:E25" si="0">D14-C14</f>
        <v>7349383</v>
      </c>
      <c r="F14" s="98">
        <f t="shared" ref="F14:F25" si="1">IF(C14=0,0,E14/C14)</f>
        <v>8.3414530292276814E-2</v>
      </c>
    </row>
    <row r="15" spans="1:6" ht="18" customHeight="1" x14ac:dyDescent="0.25">
      <c r="A15" s="99">
        <v>2</v>
      </c>
      <c r="B15" s="100" t="s">
        <v>113</v>
      </c>
      <c r="C15" s="97">
        <v>17136048</v>
      </c>
      <c r="D15" s="97">
        <v>22714680</v>
      </c>
      <c r="E15" s="97">
        <f t="shared" si="0"/>
        <v>5578632</v>
      </c>
      <c r="F15" s="98">
        <f t="shared" si="1"/>
        <v>0.32554950826468271</v>
      </c>
    </row>
    <row r="16" spans="1:6" ht="18" customHeight="1" x14ac:dyDescent="0.25">
      <c r="A16" s="99">
        <v>3</v>
      </c>
      <c r="B16" s="100" t="s">
        <v>114</v>
      </c>
      <c r="C16" s="97">
        <v>11923947</v>
      </c>
      <c r="D16" s="97">
        <v>19391649</v>
      </c>
      <c r="E16" s="97">
        <f t="shared" si="0"/>
        <v>7467702</v>
      </c>
      <c r="F16" s="98">
        <f t="shared" si="1"/>
        <v>0.62627769143891698</v>
      </c>
    </row>
    <row r="17" spans="1:6" ht="18" customHeight="1" x14ac:dyDescent="0.25">
      <c r="A17" s="99">
        <v>4</v>
      </c>
      <c r="B17" s="100" t="s">
        <v>115</v>
      </c>
      <c r="C17" s="97">
        <v>8492542</v>
      </c>
      <c r="D17" s="97">
        <v>10618522</v>
      </c>
      <c r="E17" s="97">
        <f t="shared" si="0"/>
        <v>2125980</v>
      </c>
      <c r="F17" s="98">
        <f t="shared" si="1"/>
        <v>0.25033494093994474</v>
      </c>
    </row>
    <row r="18" spans="1:6" ht="18" customHeight="1" x14ac:dyDescent="0.25">
      <c r="A18" s="99">
        <v>5</v>
      </c>
      <c r="B18" s="100" t="s">
        <v>116</v>
      </c>
      <c r="C18" s="97">
        <v>251124</v>
      </c>
      <c r="D18" s="97">
        <v>220664</v>
      </c>
      <c r="E18" s="97">
        <f t="shared" si="0"/>
        <v>-30460</v>
      </c>
      <c r="F18" s="98">
        <f t="shared" si="1"/>
        <v>-0.12129465921218203</v>
      </c>
    </row>
    <row r="19" spans="1:6" ht="18" customHeight="1" x14ac:dyDescent="0.25">
      <c r="A19" s="99">
        <v>6</v>
      </c>
      <c r="B19" s="100" t="s">
        <v>117</v>
      </c>
      <c r="C19" s="97">
        <v>2393449</v>
      </c>
      <c r="D19" s="97">
        <v>2404103</v>
      </c>
      <c r="E19" s="97">
        <f t="shared" si="0"/>
        <v>10654</v>
      </c>
      <c r="F19" s="98">
        <f t="shared" si="1"/>
        <v>4.4513169071076931E-3</v>
      </c>
    </row>
    <row r="20" spans="1:6" ht="18" customHeight="1" x14ac:dyDescent="0.25">
      <c r="A20" s="99">
        <v>7</v>
      </c>
      <c r="B20" s="100" t="s">
        <v>118</v>
      </c>
      <c r="C20" s="97">
        <v>45652482</v>
      </c>
      <c r="D20" s="97">
        <v>48215834</v>
      </c>
      <c r="E20" s="97">
        <f t="shared" si="0"/>
        <v>2563352</v>
      </c>
      <c r="F20" s="98">
        <f t="shared" si="1"/>
        <v>5.6149236310963337E-2</v>
      </c>
    </row>
    <row r="21" spans="1:6" ht="18" customHeight="1" x14ac:dyDescent="0.25">
      <c r="A21" s="99">
        <v>8</v>
      </c>
      <c r="B21" s="100" t="s">
        <v>119</v>
      </c>
      <c r="C21" s="97">
        <v>703113</v>
      </c>
      <c r="D21" s="97">
        <v>1054325</v>
      </c>
      <c r="E21" s="97">
        <f t="shared" si="0"/>
        <v>351212</v>
      </c>
      <c r="F21" s="98">
        <f t="shared" si="1"/>
        <v>0.49951003608239358</v>
      </c>
    </row>
    <row r="22" spans="1:6" ht="18" customHeight="1" x14ac:dyDescent="0.25">
      <c r="A22" s="99">
        <v>9</v>
      </c>
      <c r="B22" s="100" t="s">
        <v>120</v>
      </c>
      <c r="C22" s="97">
        <v>3934556</v>
      </c>
      <c r="D22" s="97">
        <v>3391142</v>
      </c>
      <c r="E22" s="97">
        <f t="shared" si="0"/>
        <v>-543414</v>
      </c>
      <c r="F22" s="98">
        <f t="shared" si="1"/>
        <v>-0.13811316956729044</v>
      </c>
    </row>
    <row r="23" spans="1:6" ht="18" customHeight="1" x14ac:dyDescent="0.25">
      <c r="A23" s="99">
        <v>10</v>
      </c>
      <c r="B23" s="100" t="s">
        <v>121</v>
      </c>
      <c r="C23" s="97">
        <v>2586617</v>
      </c>
      <c r="D23" s="97">
        <v>0</v>
      </c>
      <c r="E23" s="97">
        <f t="shared" si="0"/>
        <v>-2586617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741619</v>
      </c>
      <c r="E24" s="97">
        <f t="shared" si="0"/>
        <v>741619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181180626</v>
      </c>
      <c r="D25" s="103">
        <f>SUM(D14:D24)</f>
        <v>204208669</v>
      </c>
      <c r="E25" s="103">
        <f t="shared" si="0"/>
        <v>23028043</v>
      </c>
      <c r="F25" s="104">
        <f t="shared" si="1"/>
        <v>0.12709991961281777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49405253</v>
      </c>
      <c r="D27" s="97">
        <v>55940191</v>
      </c>
      <c r="E27" s="97">
        <f t="shared" ref="E27:E38" si="2">D27-C27</f>
        <v>6534938</v>
      </c>
      <c r="F27" s="98">
        <f t="shared" ref="F27:F38" si="3">IF(C27=0,0,E27/C27)</f>
        <v>0.13227212903858623</v>
      </c>
    </row>
    <row r="28" spans="1:6" ht="18" customHeight="1" x14ac:dyDescent="0.25">
      <c r="A28" s="99">
        <v>2</v>
      </c>
      <c r="B28" s="100" t="s">
        <v>113</v>
      </c>
      <c r="C28" s="97">
        <v>11910936</v>
      </c>
      <c r="D28" s="97">
        <v>16629348</v>
      </c>
      <c r="E28" s="97">
        <f t="shared" si="2"/>
        <v>4718412</v>
      </c>
      <c r="F28" s="98">
        <f t="shared" si="3"/>
        <v>0.39614115968719837</v>
      </c>
    </row>
    <row r="29" spans="1:6" ht="18" customHeight="1" x14ac:dyDescent="0.25">
      <c r="A29" s="99">
        <v>3</v>
      </c>
      <c r="B29" s="100" t="s">
        <v>114</v>
      </c>
      <c r="C29" s="97">
        <v>11098634</v>
      </c>
      <c r="D29" s="97">
        <v>20822023</v>
      </c>
      <c r="E29" s="97">
        <f t="shared" si="2"/>
        <v>9723389</v>
      </c>
      <c r="F29" s="98">
        <f t="shared" si="3"/>
        <v>0.87608880516286958</v>
      </c>
    </row>
    <row r="30" spans="1:6" ht="18" customHeight="1" x14ac:dyDescent="0.25">
      <c r="A30" s="99">
        <v>4</v>
      </c>
      <c r="B30" s="100" t="s">
        <v>115</v>
      </c>
      <c r="C30" s="97">
        <v>18271615</v>
      </c>
      <c r="D30" s="97">
        <v>20758054</v>
      </c>
      <c r="E30" s="97">
        <f t="shared" si="2"/>
        <v>2486439</v>
      </c>
      <c r="F30" s="98">
        <f t="shared" si="3"/>
        <v>0.13608205952237939</v>
      </c>
    </row>
    <row r="31" spans="1:6" ht="18" customHeight="1" x14ac:dyDescent="0.25">
      <c r="A31" s="99">
        <v>5</v>
      </c>
      <c r="B31" s="100" t="s">
        <v>116</v>
      </c>
      <c r="C31" s="97">
        <v>409664</v>
      </c>
      <c r="D31" s="97">
        <v>543893</v>
      </c>
      <c r="E31" s="97">
        <f t="shared" si="2"/>
        <v>134229</v>
      </c>
      <c r="F31" s="98">
        <f t="shared" si="3"/>
        <v>0.32765632323074517</v>
      </c>
    </row>
    <row r="32" spans="1:6" ht="18" customHeight="1" x14ac:dyDescent="0.25">
      <c r="A32" s="99">
        <v>6</v>
      </c>
      <c r="B32" s="100" t="s">
        <v>117</v>
      </c>
      <c r="C32" s="97">
        <v>3506977</v>
      </c>
      <c r="D32" s="97">
        <v>3806959</v>
      </c>
      <c r="E32" s="97">
        <f t="shared" si="2"/>
        <v>299982</v>
      </c>
      <c r="F32" s="98">
        <f t="shared" si="3"/>
        <v>8.5538627712699572E-2</v>
      </c>
    </row>
    <row r="33" spans="1:6" ht="18" customHeight="1" x14ac:dyDescent="0.25">
      <c r="A33" s="99">
        <v>7</v>
      </c>
      <c r="B33" s="100" t="s">
        <v>118</v>
      </c>
      <c r="C33" s="97">
        <v>84004741</v>
      </c>
      <c r="D33" s="97">
        <v>89558740</v>
      </c>
      <c r="E33" s="97">
        <f t="shared" si="2"/>
        <v>5553999</v>
      </c>
      <c r="F33" s="98">
        <f t="shared" si="3"/>
        <v>6.6115304135036856E-2</v>
      </c>
    </row>
    <row r="34" spans="1:6" ht="18" customHeight="1" x14ac:dyDescent="0.25">
      <c r="A34" s="99">
        <v>8</v>
      </c>
      <c r="B34" s="100" t="s">
        <v>119</v>
      </c>
      <c r="C34" s="97">
        <v>2557327</v>
      </c>
      <c r="D34" s="97">
        <v>2875382</v>
      </c>
      <c r="E34" s="97">
        <f t="shared" si="2"/>
        <v>318055</v>
      </c>
      <c r="F34" s="98">
        <f t="shared" si="3"/>
        <v>0.12437009424293413</v>
      </c>
    </row>
    <row r="35" spans="1:6" ht="18" customHeight="1" x14ac:dyDescent="0.25">
      <c r="A35" s="99">
        <v>9</v>
      </c>
      <c r="B35" s="100" t="s">
        <v>120</v>
      </c>
      <c r="C35" s="97">
        <v>7741172</v>
      </c>
      <c r="D35" s="97">
        <v>7307136</v>
      </c>
      <c r="E35" s="97">
        <f t="shared" si="2"/>
        <v>-434036</v>
      </c>
      <c r="F35" s="98">
        <f t="shared" si="3"/>
        <v>-5.606851262315319E-2</v>
      </c>
    </row>
    <row r="36" spans="1:6" ht="18" customHeight="1" x14ac:dyDescent="0.25">
      <c r="A36" s="99">
        <v>10</v>
      </c>
      <c r="B36" s="100" t="s">
        <v>121</v>
      </c>
      <c r="C36" s="97">
        <v>4783917</v>
      </c>
      <c r="D36" s="97">
        <v>0</v>
      </c>
      <c r="E36" s="97">
        <f t="shared" si="2"/>
        <v>-4783917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965547</v>
      </c>
      <c r="E37" s="97">
        <f t="shared" si="2"/>
        <v>965547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193690236</v>
      </c>
      <c r="D38" s="103">
        <f>SUM(D27:D37)</f>
        <v>219207273</v>
      </c>
      <c r="E38" s="103">
        <f t="shared" si="2"/>
        <v>25517037</v>
      </c>
      <c r="F38" s="104">
        <f t="shared" si="3"/>
        <v>0.13174147301880515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137512001</v>
      </c>
      <c r="D41" s="103">
        <f t="shared" si="4"/>
        <v>151396322</v>
      </c>
      <c r="E41" s="107">
        <f t="shared" ref="E41:E52" si="5">D41-C41</f>
        <v>13884321</v>
      </c>
      <c r="F41" s="108">
        <f t="shared" ref="F41:F52" si="6">IF(C41=0,0,E41/C41)</f>
        <v>0.10096806750706798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29046984</v>
      </c>
      <c r="D42" s="103">
        <f t="shared" si="4"/>
        <v>39344028</v>
      </c>
      <c r="E42" s="107">
        <f t="shared" si="5"/>
        <v>10297044</v>
      </c>
      <c r="F42" s="108">
        <f t="shared" si="6"/>
        <v>0.35449615009943891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23022581</v>
      </c>
      <c r="D43" s="103">
        <f t="shared" si="4"/>
        <v>40213672</v>
      </c>
      <c r="E43" s="107">
        <f t="shared" si="5"/>
        <v>17191091</v>
      </c>
      <c r="F43" s="108">
        <f t="shared" si="6"/>
        <v>0.74670563652268185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26764157</v>
      </c>
      <c r="D44" s="103">
        <f t="shared" si="4"/>
        <v>31376576</v>
      </c>
      <c r="E44" s="107">
        <f t="shared" si="5"/>
        <v>4612419</v>
      </c>
      <c r="F44" s="108">
        <f t="shared" si="6"/>
        <v>0.17233567266848718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660788</v>
      </c>
      <c r="D45" s="103">
        <f t="shared" si="4"/>
        <v>764557</v>
      </c>
      <c r="E45" s="107">
        <f t="shared" si="5"/>
        <v>103769</v>
      </c>
      <c r="F45" s="108">
        <f t="shared" si="6"/>
        <v>0.15703826340672047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5900426</v>
      </c>
      <c r="D46" s="103">
        <f t="shared" si="4"/>
        <v>6211062</v>
      </c>
      <c r="E46" s="107">
        <f t="shared" si="5"/>
        <v>310636</v>
      </c>
      <c r="F46" s="108">
        <f t="shared" si="6"/>
        <v>5.2646368245275847E-2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129657223</v>
      </c>
      <c r="D47" s="103">
        <f t="shared" si="4"/>
        <v>137774574</v>
      </c>
      <c r="E47" s="107">
        <f t="shared" si="5"/>
        <v>8117351</v>
      </c>
      <c r="F47" s="108">
        <f t="shared" si="6"/>
        <v>6.26062382964966E-2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3260440</v>
      </c>
      <c r="D48" s="103">
        <f t="shared" si="4"/>
        <v>3929707</v>
      </c>
      <c r="E48" s="107">
        <f t="shared" si="5"/>
        <v>669267</v>
      </c>
      <c r="F48" s="108">
        <f t="shared" si="6"/>
        <v>0.20526892075916134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11675728</v>
      </c>
      <c r="D49" s="103">
        <f t="shared" si="4"/>
        <v>10698278</v>
      </c>
      <c r="E49" s="107">
        <f t="shared" si="5"/>
        <v>-977450</v>
      </c>
      <c r="F49" s="108">
        <f t="shared" si="6"/>
        <v>-8.3716407233878687E-2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7370534</v>
      </c>
      <c r="D50" s="103">
        <f t="shared" si="4"/>
        <v>0</v>
      </c>
      <c r="E50" s="107">
        <f t="shared" si="5"/>
        <v>-7370534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1707166</v>
      </c>
      <c r="E51" s="107">
        <f t="shared" si="5"/>
        <v>1707166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374870862</v>
      </c>
      <c r="D52" s="112">
        <f>SUM(D41:D51)</f>
        <v>423415942</v>
      </c>
      <c r="E52" s="111">
        <f t="shared" si="5"/>
        <v>48545080</v>
      </c>
      <c r="F52" s="113">
        <f t="shared" si="6"/>
        <v>0.12949814168272167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36815810</v>
      </c>
      <c r="D57" s="97">
        <v>40060687</v>
      </c>
      <c r="E57" s="97">
        <f t="shared" ref="E57:E68" si="7">D57-C57</f>
        <v>3244877</v>
      </c>
      <c r="F57" s="98">
        <f t="shared" ref="F57:F68" si="8">IF(C57=0,0,E57/C57)</f>
        <v>8.8138139565583376E-2</v>
      </c>
    </row>
    <row r="58" spans="1:6" ht="18" customHeight="1" x14ac:dyDescent="0.25">
      <c r="A58" s="99">
        <v>2</v>
      </c>
      <c r="B58" s="100" t="s">
        <v>113</v>
      </c>
      <c r="C58" s="97">
        <v>7108600</v>
      </c>
      <c r="D58" s="97">
        <v>8517337</v>
      </c>
      <c r="E58" s="97">
        <f t="shared" si="7"/>
        <v>1408737</v>
      </c>
      <c r="F58" s="98">
        <f t="shared" si="8"/>
        <v>0.19817362068480432</v>
      </c>
    </row>
    <row r="59" spans="1:6" ht="18" customHeight="1" x14ac:dyDescent="0.25">
      <c r="A59" s="99">
        <v>3</v>
      </c>
      <c r="B59" s="100" t="s">
        <v>114</v>
      </c>
      <c r="C59" s="97">
        <v>4396911</v>
      </c>
      <c r="D59" s="97">
        <v>6069950</v>
      </c>
      <c r="E59" s="97">
        <f t="shared" si="7"/>
        <v>1673039</v>
      </c>
      <c r="F59" s="98">
        <f t="shared" si="8"/>
        <v>0.38050326695264014</v>
      </c>
    </row>
    <row r="60" spans="1:6" ht="18" customHeight="1" x14ac:dyDescent="0.25">
      <c r="A60" s="99">
        <v>4</v>
      </c>
      <c r="B60" s="100" t="s">
        <v>115</v>
      </c>
      <c r="C60" s="97">
        <v>3328078</v>
      </c>
      <c r="D60" s="97">
        <v>3735434</v>
      </c>
      <c r="E60" s="97">
        <f t="shared" si="7"/>
        <v>407356</v>
      </c>
      <c r="F60" s="98">
        <f t="shared" si="8"/>
        <v>0.12239977548603127</v>
      </c>
    </row>
    <row r="61" spans="1:6" ht="18" customHeight="1" x14ac:dyDescent="0.25">
      <c r="A61" s="99">
        <v>5</v>
      </c>
      <c r="B61" s="100" t="s">
        <v>116</v>
      </c>
      <c r="C61" s="97">
        <v>103021</v>
      </c>
      <c r="D61" s="97">
        <v>82451</v>
      </c>
      <c r="E61" s="97">
        <f t="shared" si="7"/>
        <v>-20570</v>
      </c>
      <c r="F61" s="98">
        <f t="shared" si="8"/>
        <v>-0.19966802884848719</v>
      </c>
    </row>
    <row r="62" spans="1:6" ht="18" customHeight="1" x14ac:dyDescent="0.25">
      <c r="A62" s="99">
        <v>6</v>
      </c>
      <c r="B62" s="100" t="s">
        <v>117</v>
      </c>
      <c r="C62" s="97">
        <v>1714399</v>
      </c>
      <c r="D62" s="97">
        <v>1843918</v>
      </c>
      <c r="E62" s="97">
        <f t="shared" si="7"/>
        <v>129519</v>
      </c>
      <c r="F62" s="98">
        <f t="shared" si="8"/>
        <v>7.5547757552355085E-2</v>
      </c>
    </row>
    <row r="63" spans="1:6" ht="18" customHeight="1" x14ac:dyDescent="0.25">
      <c r="A63" s="99">
        <v>7</v>
      </c>
      <c r="B63" s="100" t="s">
        <v>118</v>
      </c>
      <c r="C63" s="97">
        <v>30284098</v>
      </c>
      <c r="D63" s="97">
        <v>32290415</v>
      </c>
      <c r="E63" s="97">
        <f t="shared" si="7"/>
        <v>2006317</v>
      </c>
      <c r="F63" s="98">
        <f t="shared" si="8"/>
        <v>6.6249851654818975E-2</v>
      </c>
    </row>
    <row r="64" spans="1:6" ht="18" customHeight="1" x14ac:dyDescent="0.25">
      <c r="A64" s="99">
        <v>8</v>
      </c>
      <c r="B64" s="100" t="s">
        <v>119</v>
      </c>
      <c r="C64" s="97">
        <v>568636</v>
      </c>
      <c r="D64" s="97">
        <v>888034</v>
      </c>
      <c r="E64" s="97">
        <f t="shared" si="7"/>
        <v>319398</v>
      </c>
      <c r="F64" s="98">
        <f t="shared" si="8"/>
        <v>0.5616914862935164</v>
      </c>
    </row>
    <row r="65" spans="1:6" ht="18" customHeight="1" x14ac:dyDescent="0.25">
      <c r="A65" s="99">
        <v>9</v>
      </c>
      <c r="B65" s="100" t="s">
        <v>120</v>
      </c>
      <c r="C65" s="97">
        <v>102665</v>
      </c>
      <c r="D65" s="97">
        <v>303258</v>
      </c>
      <c r="E65" s="97">
        <f t="shared" si="7"/>
        <v>200593</v>
      </c>
      <c r="F65" s="98">
        <f t="shared" si="8"/>
        <v>1.9538596405785809</v>
      </c>
    </row>
    <row r="66" spans="1:6" ht="18" customHeight="1" x14ac:dyDescent="0.25">
      <c r="A66" s="99">
        <v>10</v>
      </c>
      <c r="B66" s="100" t="s">
        <v>121</v>
      </c>
      <c r="C66" s="97">
        <v>392213</v>
      </c>
      <c r="D66" s="97">
        <v>0</v>
      </c>
      <c r="E66" s="97">
        <f t="shared" si="7"/>
        <v>-392213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272976</v>
      </c>
      <c r="E67" s="97">
        <f t="shared" si="7"/>
        <v>272976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84814431</v>
      </c>
      <c r="D68" s="103">
        <f>SUM(D57:D67)</f>
        <v>94064460</v>
      </c>
      <c r="E68" s="103">
        <f t="shared" si="7"/>
        <v>9250029</v>
      </c>
      <c r="F68" s="104">
        <f t="shared" si="8"/>
        <v>0.10906197083371343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15499035</v>
      </c>
      <c r="D70" s="97">
        <v>16632192</v>
      </c>
      <c r="E70" s="97">
        <f t="shared" ref="E70:E81" si="9">D70-C70</f>
        <v>1133157</v>
      </c>
      <c r="F70" s="98">
        <f t="shared" ref="F70:F81" si="10">IF(C70=0,0,E70/C70)</f>
        <v>7.3111455003488923E-2</v>
      </c>
    </row>
    <row r="71" spans="1:6" ht="18" customHeight="1" x14ac:dyDescent="0.25">
      <c r="A71" s="99">
        <v>2</v>
      </c>
      <c r="B71" s="100" t="s">
        <v>113</v>
      </c>
      <c r="C71" s="97">
        <v>3734870</v>
      </c>
      <c r="D71" s="97">
        <v>4825098</v>
      </c>
      <c r="E71" s="97">
        <f t="shared" si="9"/>
        <v>1090228</v>
      </c>
      <c r="F71" s="98">
        <f t="shared" si="10"/>
        <v>0.29190520687467036</v>
      </c>
    </row>
    <row r="72" spans="1:6" ht="18" customHeight="1" x14ac:dyDescent="0.25">
      <c r="A72" s="99">
        <v>3</v>
      </c>
      <c r="B72" s="100" t="s">
        <v>114</v>
      </c>
      <c r="C72" s="97">
        <v>3182821</v>
      </c>
      <c r="D72" s="97">
        <v>4460061</v>
      </c>
      <c r="E72" s="97">
        <f t="shared" si="9"/>
        <v>1277240</v>
      </c>
      <c r="F72" s="98">
        <f t="shared" si="10"/>
        <v>0.40129181000125358</v>
      </c>
    </row>
    <row r="73" spans="1:6" ht="18" customHeight="1" x14ac:dyDescent="0.25">
      <c r="A73" s="99">
        <v>4</v>
      </c>
      <c r="B73" s="100" t="s">
        <v>115</v>
      </c>
      <c r="C73" s="97">
        <v>5513562</v>
      </c>
      <c r="D73" s="97">
        <v>6488567</v>
      </c>
      <c r="E73" s="97">
        <f t="shared" si="9"/>
        <v>975005</v>
      </c>
      <c r="F73" s="98">
        <f t="shared" si="10"/>
        <v>0.17683758702631802</v>
      </c>
    </row>
    <row r="74" spans="1:6" ht="18" customHeight="1" x14ac:dyDescent="0.25">
      <c r="A74" s="99">
        <v>5</v>
      </c>
      <c r="B74" s="100" t="s">
        <v>116</v>
      </c>
      <c r="C74" s="97">
        <v>168060</v>
      </c>
      <c r="D74" s="97">
        <v>203226</v>
      </c>
      <c r="E74" s="97">
        <f t="shared" si="9"/>
        <v>35166</v>
      </c>
      <c r="F74" s="98">
        <f t="shared" si="10"/>
        <v>0.20924669760799713</v>
      </c>
    </row>
    <row r="75" spans="1:6" ht="18" customHeight="1" x14ac:dyDescent="0.25">
      <c r="A75" s="99">
        <v>6</v>
      </c>
      <c r="B75" s="100" t="s">
        <v>117</v>
      </c>
      <c r="C75" s="97">
        <v>2873808</v>
      </c>
      <c r="D75" s="97">
        <v>3295023</v>
      </c>
      <c r="E75" s="97">
        <f t="shared" si="9"/>
        <v>421215</v>
      </c>
      <c r="F75" s="98">
        <f t="shared" si="10"/>
        <v>0.14657033455262147</v>
      </c>
    </row>
    <row r="76" spans="1:6" ht="18" customHeight="1" x14ac:dyDescent="0.25">
      <c r="A76" s="99">
        <v>7</v>
      </c>
      <c r="B76" s="100" t="s">
        <v>118</v>
      </c>
      <c r="C76" s="97">
        <v>56272298</v>
      </c>
      <c r="D76" s="97">
        <v>60157455</v>
      </c>
      <c r="E76" s="97">
        <f t="shared" si="9"/>
        <v>3885157</v>
      </c>
      <c r="F76" s="98">
        <f t="shared" si="10"/>
        <v>6.904208888003828E-2</v>
      </c>
    </row>
    <row r="77" spans="1:6" ht="18" customHeight="1" x14ac:dyDescent="0.25">
      <c r="A77" s="99">
        <v>8</v>
      </c>
      <c r="B77" s="100" t="s">
        <v>119</v>
      </c>
      <c r="C77" s="97">
        <v>2101858</v>
      </c>
      <c r="D77" s="97">
        <v>2406457</v>
      </c>
      <c r="E77" s="97">
        <f t="shared" si="9"/>
        <v>304599</v>
      </c>
      <c r="F77" s="98">
        <f t="shared" si="10"/>
        <v>0.14491892411380788</v>
      </c>
    </row>
    <row r="78" spans="1:6" ht="18" customHeight="1" x14ac:dyDescent="0.25">
      <c r="A78" s="99">
        <v>9</v>
      </c>
      <c r="B78" s="100" t="s">
        <v>120</v>
      </c>
      <c r="C78" s="97">
        <v>540733</v>
      </c>
      <c r="D78" s="97">
        <v>519914</v>
      </c>
      <c r="E78" s="97">
        <f t="shared" si="9"/>
        <v>-20819</v>
      </c>
      <c r="F78" s="98">
        <f t="shared" si="10"/>
        <v>-3.8501441561731943E-2</v>
      </c>
    </row>
    <row r="79" spans="1:6" ht="18" customHeight="1" x14ac:dyDescent="0.25">
      <c r="A79" s="99">
        <v>10</v>
      </c>
      <c r="B79" s="100" t="s">
        <v>121</v>
      </c>
      <c r="C79" s="97">
        <v>370710</v>
      </c>
      <c r="D79" s="97">
        <v>0</v>
      </c>
      <c r="E79" s="97">
        <f t="shared" si="9"/>
        <v>-370710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246214</v>
      </c>
      <c r="E80" s="97">
        <f t="shared" si="9"/>
        <v>246214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90257755</v>
      </c>
      <c r="D81" s="103">
        <f>SUM(D70:D80)</f>
        <v>99234207</v>
      </c>
      <c r="E81" s="103">
        <f t="shared" si="9"/>
        <v>8976452</v>
      </c>
      <c r="F81" s="104">
        <f t="shared" si="10"/>
        <v>9.945352618176688E-2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52314845</v>
      </c>
      <c r="D84" s="103">
        <f t="shared" si="11"/>
        <v>56692879</v>
      </c>
      <c r="E84" s="103">
        <f t="shared" ref="E84:E95" si="12">D84-C84</f>
        <v>4378034</v>
      </c>
      <c r="F84" s="104">
        <f t="shared" ref="F84:F95" si="13">IF(C84=0,0,E84/C84)</f>
        <v>8.3686265342084065E-2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10843470</v>
      </c>
      <c r="D85" s="103">
        <f t="shared" si="11"/>
        <v>13342435</v>
      </c>
      <c r="E85" s="103">
        <f t="shared" si="12"/>
        <v>2498965</v>
      </c>
      <c r="F85" s="104">
        <f t="shared" si="13"/>
        <v>0.23045805447887069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7579732</v>
      </c>
      <c r="D86" s="103">
        <f t="shared" si="11"/>
        <v>10530011</v>
      </c>
      <c r="E86" s="103">
        <f t="shared" si="12"/>
        <v>2950279</v>
      </c>
      <c r="F86" s="104">
        <f t="shared" si="13"/>
        <v>0.38923262722217622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8841640</v>
      </c>
      <c r="D87" s="103">
        <f t="shared" si="11"/>
        <v>10224001</v>
      </c>
      <c r="E87" s="103">
        <f t="shared" si="12"/>
        <v>1382361</v>
      </c>
      <c r="F87" s="104">
        <f t="shared" si="13"/>
        <v>0.1563466732416158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271081</v>
      </c>
      <c r="D88" s="103">
        <f t="shared" si="11"/>
        <v>285677</v>
      </c>
      <c r="E88" s="103">
        <f t="shared" si="12"/>
        <v>14596</v>
      </c>
      <c r="F88" s="104">
        <f t="shared" si="13"/>
        <v>5.3843685097812094E-2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4588207</v>
      </c>
      <c r="D89" s="103">
        <f t="shared" si="11"/>
        <v>5138941</v>
      </c>
      <c r="E89" s="103">
        <f t="shared" si="12"/>
        <v>550734</v>
      </c>
      <c r="F89" s="104">
        <f t="shared" si="13"/>
        <v>0.12003250943124405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86556396</v>
      </c>
      <c r="D90" s="103">
        <f t="shared" si="11"/>
        <v>92447870</v>
      </c>
      <c r="E90" s="103">
        <f t="shared" si="12"/>
        <v>5891474</v>
      </c>
      <c r="F90" s="104">
        <f t="shared" si="13"/>
        <v>6.8065149108102879E-2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2670494</v>
      </c>
      <c r="D91" s="103">
        <f t="shared" si="11"/>
        <v>3294491</v>
      </c>
      <c r="E91" s="103">
        <f t="shared" si="12"/>
        <v>623997</v>
      </c>
      <c r="F91" s="104">
        <f t="shared" si="13"/>
        <v>0.23366350944806466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643398</v>
      </c>
      <c r="D92" s="103">
        <f t="shared" si="11"/>
        <v>823172</v>
      </c>
      <c r="E92" s="103">
        <f t="shared" si="12"/>
        <v>179774</v>
      </c>
      <c r="F92" s="104">
        <f t="shared" si="13"/>
        <v>0.27941336466697131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762923</v>
      </c>
      <c r="D93" s="103">
        <f t="shared" si="11"/>
        <v>0</v>
      </c>
      <c r="E93" s="103">
        <f t="shared" si="12"/>
        <v>-762923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519190</v>
      </c>
      <c r="E94" s="103">
        <f t="shared" si="12"/>
        <v>519190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175072186</v>
      </c>
      <c r="D95" s="112">
        <f>SUM(D84:D94)</f>
        <v>193298667</v>
      </c>
      <c r="E95" s="112">
        <f t="shared" si="12"/>
        <v>18226481</v>
      </c>
      <c r="F95" s="113">
        <f t="shared" si="13"/>
        <v>0.1041083761871803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3870</v>
      </c>
      <c r="D100" s="117">
        <v>3930</v>
      </c>
      <c r="E100" s="117">
        <f t="shared" ref="E100:E111" si="14">D100-C100</f>
        <v>60</v>
      </c>
      <c r="F100" s="98">
        <f t="shared" ref="F100:F111" si="15">IF(C100=0,0,E100/C100)</f>
        <v>1.5503875968992248E-2</v>
      </c>
    </row>
    <row r="101" spans="1:6" ht="18" customHeight="1" x14ac:dyDescent="0.25">
      <c r="A101" s="99">
        <v>2</v>
      </c>
      <c r="B101" s="100" t="s">
        <v>113</v>
      </c>
      <c r="C101" s="117">
        <v>749</v>
      </c>
      <c r="D101" s="117">
        <v>896</v>
      </c>
      <c r="E101" s="117">
        <f t="shared" si="14"/>
        <v>147</v>
      </c>
      <c r="F101" s="98">
        <f t="shared" si="15"/>
        <v>0.19626168224299065</v>
      </c>
    </row>
    <row r="102" spans="1:6" ht="18" customHeight="1" x14ac:dyDescent="0.25">
      <c r="A102" s="99">
        <v>3</v>
      </c>
      <c r="B102" s="100" t="s">
        <v>114</v>
      </c>
      <c r="C102" s="117">
        <v>754</v>
      </c>
      <c r="D102" s="117">
        <v>965</v>
      </c>
      <c r="E102" s="117">
        <f t="shared" si="14"/>
        <v>211</v>
      </c>
      <c r="F102" s="98">
        <f t="shared" si="15"/>
        <v>0.27984084880636606</v>
      </c>
    </row>
    <row r="103" spans="1:6" ht="18" customHeight="1" x14ac:dyDescent="0.25">
      <c r="A103" s="99">
        <v>4</v>
      </c>
      <c r="B103" s="100" t="s">
        <v>115</v>
      </c>
      <c r="C103" s="117">
        <v>987</v>
      </c>
      <c r="D103" s="117">
        <v>1141</v>
      </c>
      <c r="E103" s="117">
        <f t="shared" si="14"/>
        <v>154</v>
      </c>
      <c r="F103" s="98">
        <f t="shared" si="15"/>
        <v>0.15602836879432624</v>
      </c>
    </row>
    <row r="104" spans="1:6" ht="18" customHeight="1" x14ac:dyDescent="0.25">
      <c r="A104" s="99">
        <v>5</v>
      </c>
      <c r="B104" s="100" t="s">
        <v>116</v>
      </c>
      <c r="C104" s="117">
        <v>20</v>
      </c>
      <c r="D104" s="117">
        <v>19</v>
      </c>
      <c r="E104" s="117">
        <f t="shared" si="14"/>
        <v>-1</v>
      </c>
      <c r="F104" s="98">
        <f t="shared" si="15"/>
        <v>-0.05</v>
      </c>
    </row>
    <row r="105" spans="1:6" ht="18" customHeight="1" x14ac:dyDescent="0.25">
      <c r="A105" s="99">
        <v>6</v>
      </c>
      <c r="B105" s="100" t="s">
        <v>117</v>
      </c>
      <c r="C105" s="117">
        <v>158</v>
      </c>
      <c r="D105" s="117">
        <v>127</v>
      </c>
      <c r="E105" s="117">
        <f t="shared" si="14"/>
        <v>-31</v>
      </c>
      <c r="F105" s="98">
        <f t="shared" si="15"/>
        <v>-0.19620253164556961</v>
      </c>
    </row>
    <row r="106" spans="1:6" ht="18" customHeight="1" x14ac:dyDescent="0.25">
      <c r="A106" s="99">
        <v>7</v>
      </c>
      <c r="B106" s="100" t="s">
        <v>118</v>
      </c>
      <c r="C106" s="117">
        <v>2850</v>
      </c>
      <c r="D106" s="117">
        <v>2890</v>
      </c>
      <c r="E106" s="117">
        <f t="shared" si="14"/>
        <v>40</v>
      </c>
      <c r="F106" s="98">
        <f t="shared" si="15"/>
        <v>1.4035087719298246E-2</v>
      </c>
    </row>
    <row r="107" spans="1:6" ht="18" customHeight="1" x14ac:dyDescent="0.25">
      <c r="A107" s="99">
        <v>8</v>
      </c>
      <c r="B107" s="100" t="s">
        <v>119</v>
      </c>
      <c r="C107" s="117">
        <v>28</v>
      </c>
      <c r="D107" s="117">
        <v>26</v>
      </c>
      <c r="E107" s="117">
        <f t="shared" si="14"/>
        <v>-2</v>
      </c>
      <c r="F107" s="98">
        <f t="shared" si="15"/>
        <v>-7.1428571428571425E-2</v>
      </c>
    </row>
    <row r="108" spans="1:6" ht="18" customHeight="1" x14ac:dyDescent="0.25">
      <c r="A108" s="99">
        <v>9</v>
      </c>
      <c r="B108" s="100" t="s">
        <v>120</v>
      </c>
      <c r="C108" s="117">
        <v>234</v>
      </c>
      <c r="D108" s="117">
        <v>209</v>
      </c>
      <c r="E108" s="117">
        <f t="shared" si="14"/>
        <v>-25</v>
      </c>
      <c r="F108" s="98">
        <f t="shared" si="15"/>
        <v>-0.10683760683760683</v>
      </c>
    </row>
    <row r="109" spans="1:6" ht="18" customHeight="1" x14ac:dyDescent="0.25">
      <c r="A109" s="99">
        <v>10</v>
      </c>
      <c r="B109" s="100" t="s">
        <v>121</v>
      </c>
      <c r="C109" s="117">
        <v>168</v>
      </c>
      <c r="D109" s="117">
        <v>0</v>
      </c>
      <c r="E109" s="117">
        <f t="shared" si="14"/>
        <v>-168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32</v>
      </c>
      <c r="E110" s="117">
        <f t="shared" si="14"/>
        <v>32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9818</v>
      </c>
      <c r="D111" s="118">
        <f>SUM(D100:D110)</f>
        <v>10235</v>
      </c>
      <c r="E111" s="118">
        <f t="shared" si="14"/>
        <v>417</v>
      </c>
      <c r="F111" s="104">
        <f t="shared" si="15"/>
        <v>4.247300875942147E-2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20097</v>
      </c>
      <c r="D113" s="117">
        <v>20405</v>
      </c>
      <c r="E113" s="117">
        <f t="shared" ref="E113:E124" si="16">D113-C113</f>
        <v>308</v>
      </c>
      <c r="F113" s="98">
        <f t="shared" ref="F113:F124" si="17">IF(C113=0,0,E113/C113)</f>
        <v>1.532567049808429E-2</v>
      </c>
    </row>
    <row r="114" spans="1:6" ht="18" customHeight="1" x14ac:dyDescent="0.25">
      <c r="A114" s="99">
        <v>2</v>
      </c>
      <c r="B114" s="100" t="s">
        <v>113</v>
      </c>
      <c r="C114" s="117">
        <v>3628</v>
      </c>
      <c r="D114" s="117">
        <v>4795</v>
      </c>
      <c r="E114" s="117">
        <f t="shared" si="16"/>
        <v>1167</v>
      </c>
      <c r="F114" s="98">
        <f t="shared" si="17"/>
        <v>0.32166482910694599</v>
      </c>
    </row>
    <row r="115" spans="1:6" ht="18" customHeight="1" x14ac:dyDescent="0.25">
      <c r="A115" s="99">
        <v>3</v>
      </c>
      <c r="B115" s="100" t="s">
        <v>114</v>
      </c>
      <c r="C115" s="117">
        <v>3560</v>
      </c>
      <c r="D115" s="117">
        <v>4689</v>
      </c>
      <c r="E115" s="117">
        <f t="shared" si="16"/>
        <v>1129</v>
      </c>
      <c r="F115" s="98">
        <f t="shared" si="17"/>
        <v>0.31713483146067417</v>
      </c>
    </row>
    <row r="116" spans="1:6" ht="18" customHeight="1" x14ac:dyDescent="0.25">
      <c r="A116" s="99">
        <v>4</v>
      </c>
      <c r="B116" s="100" t="s">
        <v>115</v>
      </c>
      <c r="C116" s="117">
        <v>2641</v>
      </c>
      <c r="D116" s="117">
        <v>3133</v>
      </c>
      <c r="E116" s="117">
        <f t="shared" si="16"/>
        <v>492</v>
      </c>
      <c r="F116" s="98">
        <f t="shared" si="17"/>
        <v>0.1862930708065127</v>
      </c>
    </row>
    <row r="117" spans="1:6" ht="18" customHeight="1" x14ac:dyDescent="0.25">
      <c r="A117" s="99">
        <v>5</v>
      </c>
      <c r="B117" s="100" t="s">
        <v>116</v>
      </c>
      <c r="C117" s="117">
        <v>58</v>
      </c>
      <c r="D117" s="117">
        <v>58</v>
      </c>
      <c r="E117" s="117">
        <f t="shared" si="16"/>
        <v>0</v>
      </c>
      <c r="F117" s="98">
        <f t="shared" si="17"/>
        <v>0</v>
      </c>
    </row>
    <row r="118" spans="1:6" ht="18" customHeight="1" x14ac:dyDescent="0.25">
      <c r="A118" s="99">
        <v>6</v>
      </c>
      <c r="B118" s="100" t="s">
        <v>117</v>
      </c>
      <c r="C118" s="117">
        <v>624</v>
      </c>
      <c r="D118" s="117">
        <v>485</v>
      </c>
      <c r="E118" s="117">
        <f t="shared" si="16"/>
        <v>-139</v>
      </c>
      <c r="F118" s="98">
        <f t="shared" si="17"/>
        <v>-0.22275641025641027</v>
      </c>
    </row>
    <row r="119" spans="1:6" ht="18" customHeight="1" x14ac:dyDescent="0.25">
      <c r="A119" s="99">
        <v>7</v>
      </c>
      <c r="B119" s="100" t="s">
        <v>118</v>
      </c>
      <c r="C119" s="117">
        <v>9854</v>
      </c>
      <c r="D119" s="117">
        <v>9845</v>
      </c>
      <c r="E119" s="117">
        <f t="shared" si="16"/>
        <v>-9</v>
      </c>
      <c r="F119" s="98">
        <f t="shared" si="17"/>
        <v>-9.1333468642175767E-4</v>
      </c>
    </row>
    <row r="120" spans="1:6" ht="18" customHeight="1" x14ac:dyDescent="0.25">
      <c r="A120" s="99">
        <v>8</v>
      </c>
      <c r="B120" s="100" t="s">
        <v>119</v>
      </c>
      <c r="C120" s="117">
        <v>79</v>
      </c>
      <c r="D120" s="117">
        <v>82</v>
      </c>
      <c r="E120" s="117">
        <f t="shared" si="16"/>
        <v>3</v>
      </c>
      <c r="F120" s="98">
        <f t="shared" si="17"/>
        <v>3.7974683544303799E-2</v>
      </c>
    </row>
    <row r="121" spans="1:6" ht="18" customHeight="1" x14ac:dyDescent="0.25">
      <c r="A121" s="99">
        <v>9</v>
      </c>
      <c r="B121" s="100" t="s">
        <v>120</v>
      </c>
      <c r="C121" s="117">
        <v>969</v>
      </c>
      <c r="D121" s="117">
        <v>870</v>
      </c>
      <c r="E121" s="117">
        <f t="shared" si="16"/>
        <v>-99</v>
      </c>
      <c r="F121" s="98">
        <f t="shared" si="17"/>
        <v>-0.1021671826625387</v>
      </c>
    </row>
    <row r="122" spans="1:6" ht="18" customHeight="1" x14ac:dyDescent="0.25">
      <c r="A122" s="99">
        <v>10</v>
      </c>
      <c r="B122" s="100" t="s">
        <v>121</v>
      </c>
      <c r="C122" s="117">
        <v>849</v>
      </c>
      <c r="D122" s="117">
        <v>0</v>
      </c>
      <c r="E122" s="117">
        <f t="shared" si="16"/>
        <v>-849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242</v>
      </c>
      <c r="E123" s="117">
        <f t="shared" si="16"/>
        <v>242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42359</v>
      </c>
      <c r="D124" s="118">
        <f>SUM(D113:D123)</f>
        <v>44604</v>
      </c>
      <c r="E124" s="118">
        <f t="shared" si="16"/>
        <v>2245</v>
      </c>
      <c r="F124" s="104">
        <f t="shared" si="17"/>
        <v>5.2999362591184873E-2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28244</v>
      </c>
      <c r="D126" s="117">
        <v>29164</v>
      </c>
      <c r="E126" s="117">
        <f t="shared" ref="E126:E137" si="18">D126-C126</f>
        <v>920</v>
      </c>
      <c r="F126" s="98">
        <f t="shared" ref="F126:F137" si="19">IF(C126=0,0,E126/C126)</f>
        <v>3.2573289902280131E-2</v>
      </c>
    </row>
    <row r="127" spans="1:6" ht="18" customHeight="1" x14ac:dyDescent="0.25">
      <c r="A127" s="99">
        <v>2</v>
      </c>
      <c r="B127" s="100" t="s">
        <v>113</v>
      </c>
      <c r="C127" s="117">
        <v>6981</v>
      </c>
      <c r="D127" s="117">
        <v>8212</v>
      </c>
      <c r="E127" s="117">
        <f t="shared" si="18"/>
        <v>1231</v>
      </c>
      <c r="F127" s="98">
        <f t="shared" si="19"/>
        <v>0.17633576851453947</v>
      </c>
    </row>
    <row r="128" spans="1:6" ht="18" customHeight="1" x14ac:dyDescent="0.25">
      <c r="A128" s="99">
        <v>3</v>
      </c>
      <c r="B128" s="100" t="s">
        <v>114</v>
      </c>
      <c r="C128" s="117">
        <v>8674</v>
      </c>
      <c r="D128" s="117">
        <v>16495</v>
      </c>
      <c r="E128" s="117">
        <f t="shared" si="18"/>
        <v>7821</v>
      </c>
      <c r="F128" s="98">
        <f t="shared" si="19"/>
        <v>0.90166013373299514</v>
      </c>
    </row>
    <row r="129" spans="1:6" ht="18" customHeight="1" x14ac:dyDescent="0.25">
      <c r="A129" s="99">
        <v>4</v>
      </c>
      <c r="B129" s="100" t="s">
        <v>115</v>
      </c>
      <c r="C129" s="117">
        <v>23987</v>
      </c>
      <c r="D129" s="117">
        <v>27167</v>
      </c>
      <c r="E129" s="117">
        <f t="shared" si="18"/>
        <v>3180</v>
      </c>
      <c r="F129" s="98">
        <f t="shared" si="19"/>
        <v>0.13257180973027055</v>
      </c>
    </row>
    <row r="130" spans="1:6" ht="18" customHeight="1" x14ac:dyDescent="0.25">
      <c r="A130" s="99">
        <v>5</v>
      </c>
      <c r="B130" s="100" t="s">
        <v>116</v>
      </c>
      <c r="C130" s="117">
        <v>417</v>
      </c>
      <c r="D130" s="117">
        <v>475</v>
      </c>
      <c r="E130" s="117">
        <f t="shared" si="18"/>
        <v>58</v>
      </c>
      <c r="F130" s="98">
        <f t="shared" si="19"/>
        <v>0.13908872901678657</v>
      </c>
    </row>
    <row r="131" spans="1:6" ht="18" customHeight="1" x14ac:dyDescent="0.25">
      <c r="A131" s="99">
        <v>6</v>
      </c>
      <c r="B131" s="100" t="s">
        <v>117</v>
      </c>
      <c r="C131" s="117">
        <v>3441</v>
      </c>
      <c r="D131" s="117">
        <v>3657</v>
      </c>
      <c r="E131" s="117">
        <f t="shared" si="18"/>
        <v>216</v>
      </c>
      <c r="F131" s="98">
        <f t="shared" si="19"/>
        <v>6.2772449869224062E-2</v>
      </c>
    </row>
    <row r="132" spans="1:6" ht="18" customHeight="1" x14ac:dyDescent="0.25">
      <c r="A132" s="99">
        <v>7</v>
      </c>
      <c r="B132" s="100" t="s">
        <v>118</v>
      </c>
      <c r="C132" s="117">
        <v>64594</v>
      </c>
      <c r="D132" s="117">
        <v>63755</v>
      </c>
      <c r="E132" s="117">
        <f t="shared" si="18"/>
        <v>-839</v>
      </c>
      <c r="F132" s="98">
        <f t="shared" si="19"/>
        <v>-1.2988822491253058E-2</v>
      </c>
    </row>
    <row r="133" spans="1:6" ht="18" customHeight="1" x14ac:dyDescent="0.25">
      <c r="A133" s="99">
        <v>8</v>
      </c>
      <c r="B133" s="100" t="s">
        <v>119</v>
      </c>
      <c r="C133" s="117">
        <v>2207</v>
      </c>
      <c r="D133" s="117">
        <v>2346</v>
      </c>
      <c r="E133" s="117">
        <f t="shared" si="18"/>
        <v>139</v>
      </c>
      <c r="F133" s="98">
        <f t="shared" si="19"/>
        <v>6.2981422745808785E-2</v>
      </c>
    </row>
    <row r="134" spans="1:6" ht="18" customHeight="1" x14ac:dyDescent="0.25">
      <c r="A134" s="99">
        <v>9</v>
      </c>
      <c r="B134" s="100" t="s">
        <v>120</v>
      </c>
      <c r="C134" s="117">
        <v>9549</v>
      </c>
      <c r="D134" s="117">
        <v>8654</v>
      </c>
      <c r="E134" s="117">
        <f t="shared" si="18"/>
        <v>-895</v>
      </c>
      <c r="F134" s="98">
        <f t="shared" si="19"/>
        <v>-9.3727091842077698E-2</v>
      </c>
    </row>
    <row r="135" spans="1:6" ht="18" customHeight="1" x14ac:dyDescent="0.25">
      <c r="A135" s="99">
        <v>10</v>
      </c>
      <c r="B135" s="100" t="s">
        <v>121</v>
      </c>
      <c r="C135" s="117">
        <v>3931</v>
      </c>
      <c r="D135" s="117">
        <v>0</v>
      </c>
      <c r="E135" s="117">
        <f t="shared" si="18"/>
        <v>-3931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347</v>
      </c>
      <c r="E136" s="117">
        <f t="shared" si="18"/>
        <v>347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152025</v>
      </c>
      <c r="D137" s="118">
        <f>SUM(D126:D136)</f>
        <v>160272</v>
      </c>
      <c r="E137" s="118">
        <f t="shared" si="18"/>
        <v>8247</v>
      </c>
      <c r="F137" s="104">
        <f t="shared" si="19"/>
        <v>5.4247656635421804E-2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13300000</v>
      </c>
      <c r="D142" s="97">
        <v>15650000</v>
      </c>
      <c r="E142" s="97">
        <f t="shared" ref="E142:E153" si="20">D142-C142</f>
        <v>2350000</v>
      </c>
      <c r="F142" s="98">
        <f t="shared" ref="F142:F153" si="21">IF(C142=0,0,E142/C142)</f>
        <v>0.17669172932330826</v>
      </c>
    </row>
    <row r="143" spans="1:6" ht="18" customHeight="1" x14ac:dyDescent="0.25">
      <c r="A143" s="99">
        <v>2</v>
      </c>
      <c r="B143" s="100" t="s">
        <v>113</v>
      </c>
      <c r="C143" s="97">
        <v>2300000</v>
      </c>
      <c r="D143" s="97">
        <v>3385000</v>
      </c>
      <c r="E143" s="97">
        <f t="shared" si="20"/>
        <v>1085000</v>
      </c>
      <c r="F143" s="98">
        <f t="shared" si="21"/>
        <v>0.47173913043478261</v>
      </c>
    </row>
    <row r="144" spans="1:6" ht="18" customHeight="1" x14ac:dyDescent="0.25">
      <c r="A144" s="99">
        <v>3</v>
      </c>
      <c r="B144" s="100" t="s">
        <v>114</v>
      </c>
      <c r="C144" s="97">
        <v>5800000</v>
      </c>
      <c r="D144" s="97">
        <v>11800000</v>
      </c>
      <c r="E144" s="97">
        <f t="shared" si="20"/>
        <v>6000000</v>
      </c>
      <c r="F144" s="98">
        <f t="shared" si="21"/>
        <v>1.0344827586206897</v>
      </c>
    </row>
    <row r="145" spans="1:6" ht="18" customHeight="1" x14ac:dyDescent="0.25">
      <c r="A145" s="99">
        <v>4</v>
      </c>
      <c r="B145" s="100" t="s">
        <v>115</v>
      </c>
      <c r="C145" s="97">
        <v>11200000</v>
      </c>
      <c r="D145" s="97">
        <v>13600000</v>
      </c>
      <c r="E145" s="97">
        <f t="shared" si="20"/>
        <v>2400000</v>
      </c>
      <c r="F145" s="98">
        <f t="shared" si="21"/>
        <v>0.21428571428571427</v>
      </c>
    </row>
    <row r="146" spans="1:6" ht="18" customHeight="1" x14ac:dyDescent="0.25">
      <c r="A146" s="99">
        <v>5</v>
      </c>
      <c r="B146" s="100" t="s">
        <v>116</v>
      </c>
      <c r="C146" s="97">
        <v>250000</v>
      </c>
      <c r="D146" s="97">
        <v>255000</v>
      </c>
      <c r="E146" s="97">
        <f t="shared" si="20"/>
        <v>5000</v>
      </c>
      <c r="F146" s="98">
        <f t="shared" si="21"/>
        <v>0.02</v>
      </c>
    </row>
    <row r="147" spans="1:6" ht="18" customHeight="1" x14ac:dyDescent="0.25">
      <c r="A147" s="99">
        <v>6</v>
      </c>
      <c r="B147" s="100" t="s">
        <v>117</v>
      </c>
      <c r="C147" s="97">
        <v>1300000</v>
      </c>
      <c r="D147" s="97">
        <v>1950000</v>
      </c>
      <c r="E147" s="97">
        <f t="shared" si="20"/>
        <v>650000</v>
      </c>
      <c r="F147" s="98">
        <f t="shared" si="21"/>
        <v>0.5</v>
      </c>
    </row>
    <row r="148" spans="1:6" ht="18" customHeight="1" x14ac:dyDescent="0.25">
      <c r="A148" s="99">
        <v>7</v>
      </c>
      <c r="B148" s="100" t="s">
        <v>118</v>
      </c>
      <c r="C148" s="97">
        <v>22950000</v>
      </c>
      <c r="D148" s="97">
        <v>24150000</v>
      </c>
      <c r="E148" s="97">
        <f t="shared" si="20"/>
        <v>1200000</v>
      </c>
      <c r="F148" s="98">
        <f t="shared" si="21"/>
        <v>5.2287581699346407E-2</v>
      </c>
    </row>
    <row r="149" spans="1:6" ht="18" customHeight="1" x14ac:dyDescent="0.25">
      <c r="A149" s="99">
        <v>8</v>
      </c>
      <c r="B149" s="100" t="s">
        <v>119</v>
      </c>
      <c r="C149" s="97">
        <v>700000</v>
      </c>
      <c r="D149" s="97">
        <v>790000</v>
      </c>
      <c r="E149" s="97">
        <f t="shared" si="20"/>
        <v>90000</v>
      </c>
      <c r="F149" s="98">
        <f t="shared" si="21"/>
        <v>0.12857142857142856</v>
      </c>
    </row>
    <row r="150" spans="1:6" ht="18" customHeight="1" x14ac:dyDescent="0.25">
      <c r="A150" s="99">
        <v>9</v>
      </c>
      <c r="B150" s="100" t="s">
        <v>120</v>
      </c>
      <c r="C150" s="97">
        <v>6300000</v>
      </c>
      <c r="D150" s="97">
        <v>6100000</v>
      </c>
      <c r="E150" s="97">
        <f t="shared" si="20"/>
        <v>-200000</v>
      </c>
      <c r="F150" s="98">
        <f t="shared" si="21"/>
        <v>-3.1746031746031744E-2</v>
      </c>
    </row>
    <row r="151" spans="1:6" ht="18" customHeight="1" x14ac:dyDescent="0.25">
      <c r="A151" s="99">
        <v>10</v>
      </c>
      <c r="B151" s="100" t="s">
        <v>121</v>
      </c>
      <c r="C151" s="97">
        <v>2400000</v>
      </c>
      <c r="D151" s="97">
        <v>0</v>
      </c>
      <c r="E151" s="97">
        <f t="shared" si="20"/>
        <v>-2400000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300000</v>
      </c>
      <c r="E152" s="97">
        <f t="shared" si="20"/>
        <v>300000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66500000</v>
      </c>
      <c r="D153" s="103">
        <f>SUM(D142:D152)</f>
        <v>77980000</v>
      </c>
      <c r="E153" s="103">
        <f t="shared" si="20"/>
        <v>11480000</v>
      </c>
      <c r="F153" s="104">
        <f t="shared" si="21"/>
        <v>0.17263157894736841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2800000</v>
      </c>
      <c r="D155" s="97">
        <v>3200000</v>
      </c>
      <c r="E155" s="97">
        <f t="shared" ref="E155:E166" si="22">D155-C155</f>
        <v>400000</v>
      </c>
      <c r="F155" s="98">
        <f t="shared" ref="F155:F166" si="23">IF(C155=0,0,E155/C155)</f>
        <v>0.14285714285714285</v>
      </c>
    </row>
    <row r="156" spans="1:6" ht="18" customHeight="1" x14ac:dyDescent="0.25">
      <c r="A156" s="99">
        <v>2</v>
      </c>
      <c r="B156" s="100" t="s">
        <v>113</v>
      </c>
      <c r="C156" s="97">
        <v>660000</v>
      </c>
      <c r="D156" s="97">
        <v>850000</v>
      </c>
      <c r="E156" s="97">
        <f t="shared" si="22"/>
        <v>190000</v>
      </c>
      <c r="F156" s="98">
        <f t="shared" si="23"/>
        <v>0.2878787878787879</v>
      </c>
    </row>
    <row r="157" spans="1:6" ht="18" customHeight="1" x14ac:dyDescent="0.25">
      <c r="A157" s="99">
        <v>3</v>
      </c>
      <c r="B157" s="100" t="s">
        <v>114</v>
      </c>
      <c r="C157" s="97">
        <v>1100000</v>
      </c>
      <c r="D157" s="97">
        <v>2500000</v>
      </c>
      <c r="E157" s="97">
        <f t="shared" si="22"/>
        <v>1400000</v>
      </c>
      <c r="F157" s="98">
        <f t="shared" si="23"/>
        <v>1.2727272727272727</v>
      </c>
    </row>
    <row r="158" spans="1:6" ht="18" customHeight="1" x14ac:dyDescent="0.25">
      <c r="A158" s="99">
        <v>4</v>
      </c>
      <c r="B158" s="100" t="s">
        <v>115</v>
      </c>
      <c r="C158" s="97">
        <v>3000000</v>
      </c>
      <c r="D158" s="97">
        <v>3500000</v>
      </c>
      <c r="E158" s="97">
        <f t="shared" si="22"/>
        <v>500000</v>
      </c>
      <c r="F158" s="98">
        <f t="shared" si="23"/>
        <v>0.16666666666666666</v>
      </c>
    </row>
    <row r="159" spans="1:6" ht="18" customHeight="1" x14ac:dyDescent="0.25">
      <c r="A159" s="99">
        <v>5</v>
      </c>
      <c r="B159" s="100" t="s">
        <v>116</v>
      </c>
      <c r="C159" s="97">
        <v>80000</v>
      </c>
      <c r="D159" s="97">
        <v>80000</v>
      </c>
      <c r="E159" s="97">
        <f t="shared" si="22"/>
        <v>0</v>
      </c>
      <c r="F159" s="98">
        <f t="shared" si="23"/>
        <v>0</v>
      </c>
    </row>
    <row r="160" spans="1:6" ht="18" customHeight="1" x14ac:dyDescent="0.25">
      <c r="A160" s="99">
        <v>6</v>
      </c>
      <c r="B160" s="100" t="s">
        <v>117</v>
      </c>
      <c r="C160" s="97">
        <v>770000</v>
      </c>
      <c r="D160" s="97">
        <v>1100000</v>
      </c>
      <c r="E160" s="97">
        <f t="shared" si="22"/>
        <v>330000</v>
      </c>
      <c r="F160" s="98">
        <f t="shared" si="23"/>
        <v>0.42857142857142855</v>
      </c>
    </row>
    <row r="161" spans="1:6" ht="18" customHeight="1" x14ac:dyDescent="0.25">
      <c r="A161" s="99">
        <v>7</v>
      </c>
      <c r="B161" s="100" t="s">
        <v>118</v>
      </c>
      <c r="C161" s="97">
        <v>13800000</v>
      </c>
      <c r="D161" s="97">
        <v>14400000</v>
      </c>
      <c r="E161" s="97">
        <f t="shared" si="22"/>
        <v>600000</v>
      </c>
      <c r="F161" s="98">
        <f t="shared" si="23"/>
        <v>4.3478260869565216E-2</v>
      </c>
    </row>
    <row r="162" spans="1:6" ht="18" customHeight="1" x14ac:dyDescent="0.25">
      <c r="A162" s="99">
        <v>8</v>
      </c>
      <c r="B162" s="100" t="s">
        <v>119</v>
      </c>
      <c r="C162" s="97">
        <v>600000</v>
      </c>
      <c r="D162" s="97">
        <v>650000</v>
      </c>
      <c r="E162" s="97">
        <f t="shared" si="22"/>
        <v>50000</v>
      </c>
      <c r="F162" s="98">
        <f t="shared" si="23"/>
        <v>8.3333333333333329E-2</v>
      </c>
    </row>
    <row r="163" spans="1:6" ht="18" customHeight="1" x14ac:dyDescent="0.25">
      <c r="A163" s="99">
        <v>9</v>
      </c>
      <c r="B163" s="100" t="s">
        <v>120</v>
      </c>
      <c r="C163" s="97">
        <v>350000</v>
      </c>
      <c r="D163" s="97">
        <v>300000</v>
      </c>
      <c r="E163" s="97">
        <f t="shared" si="22"/>
        <v>-50000</v>
      </c>
      <c r="F163" s="98">
        <f t="shared" si="23"/>
        <v>-0.14285714285714285</v>
      </c>
    </row>
    <row r="164" spans="1:6" ht="18" customHeight="1" x14ac:dyDescent="0.25">
      <c r="A164" s="99">
        <v>10</v>
      </c>
      <c r="B164" s="100" t="s">
        <v>121</v>
      </c>
      <c r="C164" s="97">
        <v>240000</v>
      </c>
      <c r="D164" s="97">
        <v>0</v>
      </c>
      <c r="E164" s="97">
        <f t="shared" si="22"/>
        <v>-240000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40000</v>
      </c>
      <c r="E165" s="97">
        <f t="shared" si="22"/>
        <v>40000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23400000</v>
      </c>
      <c r="D166" s="103">
        <f>SUM(D155:D165)</f>
        <v>26620000</v>
      </c>
      <c r="E166" s="103">
        <f t="shared" si="22"/>
        <v>3220000</v>
      </c>
      <c r="F166" s="104">
        <f t="shared" si="23"/>
        <v>0.13760683760683762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8355</v>
      </c>
      <c r="D168" s="117">
        <v>9276</v>
      </c>
      <c r="E168" s="117">
        <f t="shared" ref="E168:E179" si="24">D168-C168</f>
        <v>921</v>
      </c>
      <c r="F168" s="98">
        <f t="shared" ref="F168:F179" si="25">IF(C168=0,0,E168/C168)</f>
        <v>0.11023339317773788</v>
      </c>
    </row>
    <row r="169" spans="1:6" ht="18" customHeight="1" x14ac:dyDescent="0.25">
      <c r="A169" s="99">
        <v>2</v>
      </c>
      <c r="B169" s="100" t="s">
        <v>113</v>
      </c>
      <c r="C169" s="117">
        <v>1466</v>
      </c>
      <c r="D169" s="117">
        <v>1856</v>
      </c>
      <c r="E169" s="117">
        <f t="shared" si="24"/>
        <v>390</v>
      </c>
      <c r="F169" s="98">
        <f t="shared" si="25"/>
        <v>0.26603001364256479</v>
      </c>
    </row>
    <row r="170" spans="1:6" ht="18" customHeight="1" x14ac:dyDescent="0.25">
      <c r="A170" s="99">
        <v>3</v>
      </c>
      <c r="B170" s="100" t="s">
        <v>114</v>
      </c>
      <c r="C170" s="117">
        <v>5220</v>
      </c>
      <c r="D170" s="117">
        <v>10600</v>
      </c>
      <c r="E170" s="117">
        <f t="shared" si="24"/>
        <v>5380</v>
      </c>
      <c r="F170" s="98">
        <f t="shared" si="25"/>
        <v>1.0306513409961686</v>
      </c>
    </row>
    <row r="171" spans="1:6" ht="18" customHeight="1" x14ac:dyDescent="0.25">
      <c r="A171" s="99">
        <v>4</v>
      </c>
      <c r="B171" s="100" t="s">
        <v>115</v>
      </c>
      <c r="C171" s="117">
        <v>16598</v>
      </c>
      <c r="D171" s="117">
        <v>19653</v>
      </c>
      <c r="E171" s="117">
        <f t="shared" si="24"/>
        <v>3055</v>
      </c>
      <c r="F171" s="98">
        <f t="shared" si="25"/>
        <v>0.18405832027955174</v>
      </c>
    </row>
    <row r="172" spans="1:6" ht="18" customHeight="1" x14ac:dyDescent="0.25">
      <c r="A172" s="99">
        <v>5</v>
      </c>
      <c r="B172" s="100" t="s">
        <v>116</v>
      </c>
      <c r="C172" s="117">
        <v>302</v>
      </c>
      <c r="D172" s="117">
        <v>307</v>
      </c>
      <c r="E172" s="117">
        <f t="shared" si="24"/>
        <v>5</v>
      </c>
      <c r="F172" s="98">
        <f t="shared" si="25"/>
        <v>1.6556291390728478E-2</v>
      </c>
    </row>
    <row r="173" spans="1:6" ht="18" customHeight="1" x14ac:dyDescent="0.25">
      <c r="A173" s="99">
        <v>6</v>
      </c>
      <c r="B173" s="100" t="s">
        <v>117</v>
      </c>
      <c r="C173" s="117">
        <v>1366</v>
      </c>
      <c r="D173" s="117">
        <v>2168</v>
      </c>
      <c r="E173" s="117">
        <f t="shared" si="24"/>
        <v>802</v>
      </c>
      <c r="F173" s="98">
        <f t="shared" si="25"/>
        <v>0.58711566617862376</v>
      </c>
    </row>
    <row r="174" spans="1:6" ht="18" customHeight="1" x14ac:dyDescent="0.25">
      <c r="A174" s="99">
        <v>7</v>
      </c>
      <c r="B174" s="100" t="s">
        <v>118</v>
      </c>
      <c r="C174" s="117">
        <v>24624</v>
      </c>
      <c r="D174" s="117">
        <v>26032</v>
      </c>
      <c r="E174" s="117">
        <f t="shared" si="24"/>
        <v>1408</v>
      </c>
      <c r="F174" s="98">
        <f t="shared" si="25"/>
        <v>5.7179987004548405E-2</v>
      </c>
    </row>
    <row r="175" spans="1:6" ht="18" customHeight="1" x14ac:dyDescent="0.25">
      <c r="A175" s="99">
        <v>8</v>
      </c>
      <c r="B175" s="100" t="s">
        <v>119</v>
      </c>
      <c r="C175" s="117">
        <v>943</v>
      </c>
      <c r="D175" s="117">
        <v>1059</v>
      </c>
      <c r="E175" s="117">
        <f t="shared" si="24"/>
        <v>116</v>
      </c>
      <c r="F175" s="98">
        <f t="shared" si="25"/>
        <v>0.12301166489925769</v>
      </c>
    </row>
    <row r="176" spans="1:6" ht="18" customHeight="1" x14ac:dyDescent="0.25">
      <c r="A176" s="99">
        <v>9</v>
      </c>
      <c r="B176" s="100" t="s">
        <v>120</v>
      </c>
      <c r="C176" s="117">
        <v>7524</v>
      </c>
      <c r="D176" s="117">
        <v>7108</v>
      </c>
      <c r="E176" s="117">
        <f t="shared" si="24"/>
        <v>-416</v>
      </c>
      <c r="F176" s="98">
        <f t="shared" si="25"/>
        <v>-5.5289739500265819E-2</v>
      </c>
    </row>
    <row r="177" spans="1:6" ht="18" customHeight="1" x14ac:dyDescent="0.25">
      <c r="A177" s="99">
        <v>10</v>
      </c>
      <c r="B177" s="100" t="s">
        <v>121</v>
      </c>
      <c r="C177" s="117">
        <v>2544</v>
      </c>
      <c r="D177" s="117">
        <v>0</v>
      </c>
      <c r="E177" s="117">
        <f t="shared" si="24"/>
        <v>-2544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277</v>
      </c>
      <c r="E178" s="117">
        <f t="shared" si="24"/>
        <v>277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68942</v>
      </c>
      <c r="D179" s="118">
        <f>SUM(D168:D178)</f>
        <v>78336</v>
      </c>
      <c r="E179" s="118">
        <f t="shared" si="24"/>
        <v>9394</v>
      </c>
      <c r="F179" s="104">
        <f t="shared" si="25"/>
        <v>0.13625946447738679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FILING&amp;RMIDSTATE MEDICAL CENTER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25964260</v>
      </c>
      <c r="D15" s="146">
        <v>27000880</v>
      </c>
      <c r="E15" s="146">
        <f>+D15-C15</f>
        <v>1036620</v>
      </c>
      <c r="F15" s="150">
        <f>IF(C15=0,0,E15/C15)</f>
        <v>3.9924881356141098E-2</v>
      </c>
    </row>
    <row r="16" spans="1:7" ht="15" customHeight="1" x14ac:dyDescent="0.2">
      <c r="A16" s="141">
        <v>2</v>
      </c>
      <c r="B16" s="149" t="s">
        <v>158</v>
      </c>
      <c r="C16" s="146">
        <v>9314012</v>
      </c>
      <c r="D16" s="146">
        <v>8870537</v>
      </c>
      <c r="E16" s="146">
        <f>+D16-C16</f>
        <v>-443475</v>
      </c>
      <c r="F16" s="150">
        <f>IF(C16=0,0,E16/C16)</f>
        <v>-4.761374582725468E-2</v>
      </c>
    </row>
    <row r="17" spans="1:7" ht="15" customHeight="1" x14ac:dyDescent="0.2">
      <c r="A17" s="141">
        <v>3</v>
      </c>
      <c r="B17" s="149" t="s">
        <v>159</v>
      </c>
      <c r="C17" s="146">
        <v>33947144</v>
      </c>
      <c r="D17" s="146">
        <v>37342205</v>
      </c>
      <c r="E17" s="146">
        <f>+D17-C17</f>
        <v>3395061</v>
      </c>
      <c r="F17" s="150">
        <f>IF(C17=0,0,E17/C17)</f>
        <v>0.10001020998997737</v>
      </c>
    </row>
    <row r="18" spans="1:7" ht="15.75" customHeight="1" x14ac:dyDescent="0.25">
      <c r="A18" s="141"/>
      <c r="B18" s="151" t="s">
        <v>160</v>
      </c>
      <c r="C18" s="147">
        <f>SUM(C15:C17)</f>
        <v>69225416</v>
      </c>
      <c r="D18" s="147">
        <f>SUM(D15:D17)</f>
        <v>73213622</v>
      </c>
      <c r="E18" s="147">
        <f>+D18-C18</f>
        <v>3988206</v>
      </c>
      <c r="F18" s="148">
        <f>IF(C18=0,0,E18/C18)</f>
        <v>5.7611874806212791E-2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8009974</v>
      </c>
      <c r="D21" s="146">
        <v>9772478</v>
      </c>
      <c r="E21" s="146">
        <f>+D21-C21</f>
        <v>1762504</v>
      </c>
      <c r="F21" s="150">
        <f>IF(C21=0,0,E21/C21)</f>
        <v>0.22003866679217685</v>
      </c>
    </row>
    <row r="22" spans="1:7" ht="15" customHeight="1" x14ac:dyDescent="0.2">
      <c r="A22" s="141">
        <v>2</v>
      </c>
      <c r="B22" s="149" t="s">
        <v>163</v>
      </c>
      <c r="C22" s="146">
        <v>2873372</v>
      </c>
      <c r="D22" s="146">
        <v>3169452</v>
      </c>
      <c r="E22" s="146">
        <f>+D22-C22</f>
        <v>296080</v>
      </c>
      <c r="F22" s="150">
        <f>IF(C22=0,0,E22/C22)</f>
        <v>0.10304269687322073</v>
      </c>
    </row>
    <row r="23" spans="1:7" ht="15" customHeight="1" x14ac:dyDescent="0.2">
      <c r="A23" s="141">
        <v>3</v>
      </c>
      <c r="B23" s="149" t="s">
        <v>164</v>
      </c>
      <c r="C23" s="146">
        <v>10476488</v>
      </c>
      <c r="D23" s="146">
        <v>13470174</v>
      </c>
      <c r="E23" s="146">
        <f>+D23-C23</f>
        <v>2993686</v>
      </c>
      <c r="F23" s="150">
        <f>IF(C23=0,0,E23/C23)</f>
        <v>0.28575282098352045</v>
      </c>
    </row>
    <row r="24" spans="1:7" ht="15.75" customHeight="1" x14ac:dyDescent="0.25">
      <c r="A24" s="141"/>
      <c r="B24" s="151" t="s">
        <v>165</v>
      </c>
      <c r="C24" s="147">
        <f>SUM(C21:C23)</f>
        <v>21359834</v>
      </c>
      <c r="D24" s="147">
        <f>SUM(D21:D23)</f>
        <v>26412104</v>
      </c>
      <c r="E24" s="147">
        <f>+D24-C24</f>
        <v>5052270</v>
      </c>
      <c r="F24" s="148">
        <f>IF(C24=0,0,E24/C24)</f>
        <v>0.23653133259368964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254247</v>
      </c>
      <c r="D27" s="146">
        <v>374172</v>
      </c>
      <c r="E27" s="146">
        <f>+D27-C27</f>
        <v>119925</v>
      </c>
      <c r="F27" s="150">
        <f>IF(C27=0,0,E27/C27)</f>
        <v>0.47168698155730449</v>
      </c>
    </row>
    <row r="28" spans="1:7" ht="15" customHeight="1" x14ac:dyDescent="0.2">
      <c r="A28" s="141">
        <v>2</v>
      </c>
      <c r="B28" s="149" t="s">
        <v>168</v>
      </c>
      <c r="C28" s="146">
        <v>1479671</v>
      </c>
      <c r="D28" s="146">
        <v>1503048</v>
      </c>
      <c r="E28" s="146">
        <f>+D28-C28</f>
        <v>23377</v>
      </c>
      <c r="F28" s="150">
        <f>IF(C28=0,0,E28/C28)</f>
        <v>1.5798782296875456E-2</v>
      </c>
    </row>
    <row r="29" spans="1:7" ht="15" customHeight="1" x14ac:dyDescent="0.2">
      <c r="A29" s="141">
        <v>3</v>
      </c>
      <c r="B29" s="149" t="s">
        <v>169</v>
      </c>
      <c r="C29" s="146">
        <v>17627594</v>
      </c>
      <c r="D29" s="146">
        <v>18181627</v>
      </c>
      <c r="E29" s="146">
        <f>+D29-C29</f>
        <v>554033</v>
      </c>
      <c r="F29" s="150">
        <f>IF(C29=0,0,E29/C29)</f>
        <v>3.1429870690237137E-2</v>
      </c>
    </row>
    <row r="30" spans="1:7" ht="15.75" customHeight="1" x14ac:dyDescent="0.25">
      <c r="A30" s="141"/>
      <c r="B30" s="151" t="s">
        <v>170</v>
      </c>
      <c r="C30" s="147">
        <f>SUM(C27:C29)</f>
        <v>19361512</v>
      </c>
      <c r="D30" s="147">
        <f>SUM(D27:D29)</f>
        <v>20058847</v>
      </c>
      <c r="E30" s="147">
        <f>+D30-C30</f>
        <v>697335</v>
      </c>
      <c r="F30" s="148">
        <f>IF(C30=0,0,E30/C30)</f>
        <v>3.6016556971377026E-2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13667837</v>
      </c>
      <c r="D33" s="146">
        <v>15736625</v>
      </c>
      <c r="E33" s="146">
        <f>+D33-C33</f>
        <v>2068788</v>
      </c>
      <c r="F33" s="150">
        <f>IF(C33=0,0,E33/C33)</f>
        <v>0.15136176997135684</v>
      </c>
    </row>
    <row r="34" spans="1:7" ht="15" customHeight="1" x14ac:dyDescent="0.2">
      <c r="A34" s="141">
        <v>2</v>
      </c>
      <c r="B34" s="149" t="s">
        <v>174</v>
      </c>
      <c r="C34" s="146">
        <v>5575830</v>
      </c>
      <c r="D34" s="146">
        <v>6399528</v>
      </c>
      <c r="E34" s="146">
        <f>+D34-C34</f>
        <v>823698</v>
      </c>
      <c r="F34" s="150">
        <f>IF(C34=0,0,E34/C34)</f>
        <v>0.14772652681304846</v>
      </c>
    </row>
    <row r="35" spans="1:7" ht="15.75" customHeight="1" x14ac:dyDescent="0.25">
      <c r="A35" s="141"/>
      <c r="B35" s="151" t="s">
        <v>175</v>
      </c>
      <c r="C35" s="147">
        <f>SUM(C33:C34)</f>
        <v>19243667</v>
      </c>
      <c r="D35" s="147">
        <f>SUM(D33:D34)</f>
        <v>22136153</v>
      </c>
      <c r="E35" s="147">
        <f>+D35-C35</f>
        <v>2892486</v>
      </c>
      <c r="F35" s="148">
        <f>IF(C35=0,0,E35/C35)</f>
        <v>0.15030846251912383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4678169</v>
      </c>
      <c r="D38" s="146">
        <v>5668645</v>
      </c>
      <c r="E38" s="146">
        <f>+D38-C38</f>
        <v>990476</v>
      </c>
      <c r="F38" s="150">
        <f>IF(C38=0,0,E38/C38)</f>
        <v>0.21172300530399821</v>
      </c>
    </row>
    <row r="39" spans="1:7" ht="15" customHeight="1" x14ac:dyDescent="0.2">
      <c r="A39" s="141">
        <v>2</v>
      </c>
      <c r="B39" s="149" t="s">
        <v>179</v>
      </c>
      <c r="C39" s="146">
        <v>6241469</v>
      </c>
      <c r="D39" s="146">
        <v>7096397</v>
      </c>
      <c r="E39" s="146">
        <f>+D39-C39</f>
        <v>854928</v>
      </c>
      <c r="F39" s="150">
        <f>IF(C39=0,0,E39/C39)</f>
        <v>0.13697544600477868</v>
      </c>
    </row>
    <row r="40" spans="1:7" ht="15" customHeight="1" x14ac:dyDescent="0.2">
      <c r="A40" s="141">
        <v>3</v>
      </c>
      <c r="B40" s="149" t="s">
        <v>180</v>
      </c>
      <c r="C40" s="146">
        <v>62467</v>
      </c>
      <c r="D40" s="146">
        <v>80586</v>
      </c>
      <c r="E40" s="146">
        <f>+D40-C40</f>
        <v>18119</v>
      </c>
      <c r="F40" s="150">
        <f>IF(C40=0,0,E40/C40)</f>
        <v>0.29005715017529254</v>
      </c>
    </row>
    <row r="41" spans="1:7" ht="15.75" customHeight="1" x14ac:dyDescent="0.25">
      <c r="A41" s="141"/>
      <c r="B41" s="151" t="s">
        <v>181</v>
      </c>
      <c r="C41" s="147">
        <f>SUM(C38:C40)</f>
        <v>10982105</v>
      </c>
      <c r="D41" s="147">
        <f>SUM(D38:D40)</f>
        <v>12845628</v>
      </c>
      <c r="E41" s="147">
        <f>+D41-C41</f>
        <v>1863523</v>
      </c>
      <c r="F41" s="148">
        <f>IF(C41=0,0,E41/C41)</f>
        <v>0.16968723209257242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10465542</v>
      </c>
      <c r="D44" s="146">
        <v>7875420</v>
      </c>
      <c r="E44" s="146">
        <f>+D44-C44</f>
        <v>-2590122</v>
      </c>
      <c r="F44" s="150">
        <f>IF(C44=0,0,E44/C44)</f>
        <v>-0.24749047875399097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2221191</v>
      </c>
      <c r="D47" s="146">
        <v>2222925</v>
      </c>
      <c r="E47" s="146">
        <f>+D47-C47</f>
        <v>1734</v>
      </c>
      <c r="F47" s="150">
        <f>IF(C47=0,0,E47/C47)</f>
        <v>7.80662266324688E-4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5917588</v>
      </c>
      <c r="D50" s="146">
        <v>5172300</v>
      </c>
      <c r="E50" s="146">
        <f>+D50-C50</f>
        <v>-745288</v>
      </c>
      <c r="F50" s="150">
        <f>IF(C50=0,0,E50/C50)</f>
        <v>-0.12594455714051062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180000</v>
      </c>
      <c r="D53" s="146">
        <v>275000</v>
      </c>
      <c r="E53" s="146">
        <f t="shared" ref="E53:E59" si="0">+D53-C53</f>
        <v>95000</v>
      </c>
      <c r="F53" s="150">
        <f t="shared" ref="F53:F59" si="1">IF(C53=0,0,E53/C53)</f>
        <v>0.52777777777777779</v>
      </c>
    </row>
    <row r="54" spans="1:7" ht="15" customHeight="1" x14ac:dyDescent="0.2">
      <c r="A54" s="141">
        <v>2</v>
      </c>
      <c r="B54" s="149" t="s">
        <v>193</v>
      </c>
      <c r="C54" s="146">
        <v>1111959</v>
      </c>
      <c r="D54" s="146">
        <v>909088</v>
      </c>
      <c r="E54" s="146">
        <f t="shared" si="0"/>
        <v>-202871</v>
      </c>
      <c r="F54" s="150">
        <f t="shared" si="1"/>
        <v>-0.18244467646738774</v>
      </c>
    </row>
    <row r="55" spans="1:7" ht="15" customHeight="1" x14ac:dyDescent="0.2">
      <c r="A55" s="141">
        <v>3</v>
      </c>
      <c r="B55" s="149" t="s">
        <v>194</v>
      </c>
      <c r="C55" s="146">
        <v>29752</v>
      </c>
      <c r="D55" s="146">
        <v>26005</v>
      </c>
      <c r="E55" s="146">
        <f t="shared" si="0"/>
        <v>-3747</v>
      </c>
      <c r="F55" s="150">
        <f t="shared" si="1"/>
        <v>-0.12594111320247378</v>
      </c>
    </row>
    <row r="56" spans="1:7" ht="15" customHeight="1" x14ac:dyDescent="0.2">
      <c r="A56" s="141">
        <v>4</v>
      </c>
      <c r="B56" s="149" t="s">
        <v>195</v>
      </c>
      <c r="C56" s="146">
        <v>1619465</v>
      </c>
      <c r="D56" s="146">
        <v>1820146</v>
      </c>
      <c r="E56" s="146">
        <f t="shared" si="0"/>
        <v>200681</v>
      </c>
      <c r="F56" s="150">
        <f t="shared" si="1"/>
        <v>0.1239180840586243</v>
      </c>
    </row>
    <row r="57" spans="1:7" ht="15" customHeight="1" x14ac:dyDescent="0.2">
      <c r="A57" s="141">
        <v>5</v>
      </c>
      <c r="B57" s="149" t="s">
        <v>196</v>
      </c>
      <c r="C57" s="146">
        <v>315518</v>
      </c>
      <c r="D57" s="146">
        <v>325439</v>
      </c>
      <c r="E57" s="146">
        <f t="shared" si="0"/>
        <v>9921</v>
      </c>
      <c r="F57" s="150">
        <f t="shared" si="1"/>
        <v>3.14435309554447E-2</v>
      </c>
    </row>
    <row r="58" spans="1:7" ht="15" customHeight="1" x14ac:dyDescent="0.2">
      <c r="A58" s="141">
        <v>6</v>
      </c>
      <c r="B58" s="149" t="s">
        <v>197</v>
      </c>
      <c r="C58" s="146">
        <v>13856</v>
      </c>
      <c r="D58" s="146">
        <v>16509</v>
      </c>
      <c r="E58" s="146">
        <f t="shared" si="0"/>
        <v>2653</v>
      </c>
      <c r="F58" s="150">
        <f t="shared" si="1"/>
        <v>0.19146939953810624</v>
      </c>
    </row>
    <row r="59" spans="1:7" ht="15.75" customHeight="1" x14ac:dyDescent="0.25">
      <c r="A59" s="141"/>
      <c r="B59" s="151" t="s">
        <v>198</v>
      </c>
      <c r="C59" s="147">
        <f>SUM(C53:C58)</f>
        <v>3270550</v>
      </c>
      <c r="D59" s="147">
        <f>SUM(D53:D58)</f>
        <v>3372187</v>
      </c>
      <c r="E59" s="147">
        <f t="shared" si="0"/>
        <v>101637</v>
      </c>
      <c r="F59" s="148">
        <f t="shared" si="1"/>
        <v>3.1076424454602437E-2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162170</v>
      </c>
      <c r="D62" s="146">
        <v>133155</v>
      </c>
      <c r="E62" s="146">
        <f t="shared" ref="E62:E78" si="2">+D62-C62</f>
        <v>-29015</v>
      </c>
      <c r="F62" s="150">
        <f t="shared" ref="F62:F78" si="3">IF(C62=0,0,E62/C62)</f>
        <v>-0.17891718566935932</v>
      </c>
    </row>
    <row r="63" spans="1:7" ht="15" customHeight="1" x14ac:dyDescent="0.2">
      <c r="A63" s="141">
        <v>2</v>
      </c>
      <c r="B63" s="149" t="s">
        <v>202</v>
      </c>
      <c r="C63" s="146">
        <v>155210</v>
      </c>
      <c r="D63" s="146">
        <v>258741</v>
      </c>
      <c r="E63" s="146">
        <f t="shared" si="2"/>
        <v>103531</v>
      </c>
      <c r="F63" s="150">
        <f t="shared" si="3"/>
        <v>0.66703820630114041</v>
      </c>
    </row>
    <row r="64" spans="1:7" ht="15" customHeight="1" x14ac:dyDescent="0.2">
      <c r="A64" s="141">
        <v>3</v>
      </c>
      <c r="B64" s="149" t="s">
        <v>203</v>
      </c>
      <c r="C64" s="146">
        <v>896077</v>
      </c>
      <c r="D64" s="146">
        <v>1297000</v>
      </c>
      <c r="E64" s="146">
        <f t="shared" si="2"/>
        <v>400923</v>
      </c>
      <c r="F64" s="150">
        <f t="shared" si="3"/>
        <v>0.44742025517896339</v>
      </c>
    </row>
    <row r="65" spans="1:7" ht="15" customHeight="1" x14ac:dyDescent="0.2">
      <c r="A65" s="141">
        <v>4</v>
      </c>
      <c r="B65" s="149" t="s">
        <v>204</v>
      </c>
      <c r="C65" s="146">
        <v>2615994</v>
      </c>
      <c r="D65" s="146">
        <v>2129239</v>
      </c>
      <c r="E65" s="146">
        <f t="shared" si="2"/>
        <v>-486755</v>
      </c>
      <c r="F65" s="150">
        <f t="shared" si="3"/>
        <v>-0.18606885183987426</v>
      </c>
    </row>
    <row r="66" spans="1:7" ht="15" customHeight="1" x14ac:dyDescent="0.2">
      <c r="A66" s="141">
        <v>5</v>
      </c>
      <c r="B66" s="149" t="s">
        <v>205</v>
      </c>
      <c r="C66" s="146">
        <v>934206</v>
      </c>
      <c r="D66" s="146">
        <v>855683</v>
      </c>
      <c r="E66" s="146">
        <f t="shared" si="2"/>
        <v>-78523</v>
      </c>
      <c r="F66" s="150">
        <f t="shared" si="3"/>
        <v>-8.4053195976048115E-2</v>
      </c>
    </row>
    <row r="67" spans="1:7" ht="15" customHeight="1" x14ac:dyDescent="0.2">
      <c r="A67" s="141">
        <v>6</v>
      </c>
      <c r="B67" s="149" t="s">
        <v>206</v>
      </c>
      <c r="C67" s="146">
        <v>2653015</v>
      </c>
      <c r="D67" s="146">
        <v>3114529</v>
      </c>
      <c r="E67" s="146">
        <f t="shared" si="2"/>
        <v>461514</v>
      </c>
      <c r="F67" s="150">
        <f t="shared" si="3"/>
        <v>0.17395830781205535</v>
      </c>
    </row>
    <row r="68" spans="1:7" ht="15" customHeight="1" x14ac:dyDescent="0.2">
      <c r="A68" s="141">
        <v>7</v>
      </c>
      <c r="B68" s="149" t="s">
        <v>207</v>
      </c>
      <c r="C68" s="146">
        <v>3336389</v>
      </c>
      <c r="D68" s="146">
        <v>3592108</v>
      </c>
      <c r="E68" s="146">
        <f t="shared" si="2"/>
        <v>255719</v>
      </c>
      <c r="F68" s="150">
        <f t="shared" si="3"/>
        <v>7.6645439125953244E-2</v>
      </c>
    </row>
    <row r="69" spans="1:7" ht="15" customHeight="1" x14ac:dyDescent="0.2">
      <c r="A69" s="141">
        <v>8</v>
      </c>
      <c r="B69" s="149" t="s">
        <v>208</v>
      </c>
      <c r="C69" s="146">
        <v>341801</v>
      </c>
      <c r="D69" s="146">
        <v>316731</v>
      </c>
      <c r="E69" s="146">
        <f t="shared" si="2"/>
        <v>-25070</v>
      </c>
      <c r="F69" s="150">
        <f t="shared" si="3"/>
        <v>-7.3346771952100778E-2</v>
      </c>
    </row>
    <row r="70" spans="1:7" ht="15" customHeight="1" x14ac:dyDescent="0.2">
      <c r="A70" s="141">
        <v>9</v>
      </c>
      <c r="B70" s="149" t="s">
        <v>209</v>
      </c>
      <c r="C70" s="146">
        <v>74530</v>
      </c>
      <c r="D70" s="146">
        <v>86377</v>
      </c>
      <c r="E70" s="146">
        <f t="shared" si="2"/>
        <v>11847</v>
      </c>
      <c r="F70" s="150">
        <f t="shared" si="3"/>
        <v>0.15895612505031531</v>
      </c>
    </row>
    <row r="71" spans="1:7" ht="15" customHeight="1" x14ac:dyDescent="0.2">
      <c r="A71" s="141">
        <v>10</v>
      </c>
      <c r="B71" s="149" t="s">
        <v>210</v>
      </c>
      <c r="C71" s="146">
        <v>56275</v>
      </c>
      <c r="D71" s="146">
        <v>140987</v>
      </c>
      <c r="E71" s="146">
        <f t="shared" si="2"/>
        <v>84712</v>
      </c>
      <c r="F71" s="150">
        <f t="shared" si="3"/>
        <v>1.5053220790759663</v>
      </c>
    </row>
    <row r="72" spans="1:7" ht="15" customHeight="1" x14ac:dyDescent="0.2">
      <c r="A72" s="141">
        <v>11</v>
      </c>
      <c r="B72" s="149" t="s">
        <v>211</v>
      </c>
      <c r="C72" s="146">
        <v>107671</v>
      </c>
      <c r="D72" s="146">
        <v>87376</v>
      </c>
      <c r="E72" s="146">
        <f t="shared" si="2"/>
        <v>-20295</v>
      </c>
      <c r="F72" s="150">
        <f t="shared" si="3"/>
        <v>-0.18849086569271206</v>
      </c>
    </row>
    <row r="73" spans="1:7" ht="15" customHeight="1" x14ac:dyDescent="0.2">
      <c r="A73" s="141">
        <v>12</v>
      </c>
      <c r="B73" s="149" t="s">
        <v>212</v>
      </c>
      <c r="C73" s="146">
        <v>1477098</v>
      </c>
      <c r="D73" s="146">
        <v>1254525</v>
      </c>
      <c r="E73" s="146">
        <f t="shared" si="2"/>
        <v>-222573</v>
      </c>
      <c r="F73" s="150">
        <f t="shared" si="3"/>
        <v>-0.15068262227692408</v>
      </c>
    </row>
    <row r="74" spans="1:7" ht="15" customHeight="1" x14ac:dyDescent="0.2">
      <c r="A74" s="141">
        <v>13</v>
      </c>
      <c r="B74" s="149" t="s">
        <v>213</v>
      </c>
      <c r="C74" s="146">
        <v>159512</v>
      </c>
      <c r="D74" s="146">
        <v>182898</v>
      </c>
      <c r="E74" s="146">
        <f t="shared" si="2"/>
        <v>23386</v>
      </c>
      <c r="F74" s="150">
        <f t="shared" si="3"/>
        <v>0.14660965946135715</v>
      </c>
    </row>
    <row r="75" spans="1:7" ht="15" customHeight="1" x14ac:dyDescent="0.2">
      <c r="A75" s="141">
        <v>14</v>
      </c>
      <c r="B75" s="149" t="s">
        <v>214</v>
      </c>
      <c r="C75" s="146">
        <v>179407</v>
      </c>
      <c r="D75" s="146">
        <v>194014</v>
      </c>
      <c r="E75" s="146">
        <f t="shared" si="2"/>
        <v>14607</v>
      </c>
      <c r="F75" s="150">
        <f t="shared" si="3"/>
        <v>8.141822782834561E-2</v>
      </c>
    </row>
    <row r="76" spans="1:7" ht="15" customHeight="1" x14ac:dyDescent="0.2">
      <c r="A76" s="141">
        <v>15</v>
      </c>
      <c r="B76" s="149" t="s">
        <v>215</v>
      </c>
      <c r="C76" s="146">
        <v>912871</v>
      </c>
      <c r="D76" s="146">
        <v>745692</v>
      </c>
      <c r="E76" s="146">
        <f t="shared" si="2"/>
        <v>-167179</v>
      </c>
      <c r="F76" s="150">
        <f t="shared" si="3"/>
        <v>-0.18313540467382577</v>
      </c>
    </row>
    <row r="77" spans="1:7" ht="15" customHeight="1" x14ac:dyDescent="0.2">
      <c r="A77" s="141">
        <v>16</v>
      </c>
      <c r="B77" s="149" t="s">
        <v>216</v>
      </c>
      <c r="C77" s="146">
        <v>9953603</v>
      </c>
      <c r="D77" s="146">
        <v>10422748</v>
      </c>
      <c r="E77" s="146">
        <f t="shared" si="2"/>
        <v>469145</v>
      </c>
      <c r="F77" s="150">
        <f t="shared" si="3"/>
        <v>4.7133183833030112E-2</v>
      </c>
    </row>
    <row r="78" spans="1:7" ht="15.75" customHeight="1" x14ac:dyDescent="0.25">
      <c r="A78" s="141"/>
      <c r="B78" s="151" t="s">
        <v>217</v>
      </c>
      <c r="C78" s="147">
        <f>SUM(C62:C77)</f>
        <v>24015829</v>
      </c>
      <c r="D78" s="147">
        <f>SUM(D62:D77)</f>
        <v>24811803</v>
      </c>
      <c r="E78" s="147">
        <f t="shared" si="2"/>
        <v>795974</v>
      </c>
      <c r="F78" s="148">
        <f t="shared" si="3"/>
        <v>3.314372366658673E-2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4118538</v>
      </c>
      <c r="D81" s="146">
        <v>5554298</v>
      </c>
      <c r="E81" s="146">
        <f>+D81-C81</f>
        <v>1435760</v>
      </c>
      <c r="F81" s="150">
        <f>IF(C81=0,0,E81/C81)</f>
        <v>0.34860914237042367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190181772</v>
      </c>
      <c r="D83" s="147">
        <f>+D81+D78+D59+D50+D47+D44+D41+D35+D30+D24+D18</f>
        <v>203675287</v>
      </c>
      <c r="E83" s="147">
        <f>+D83-C83</f>
        <v>13493515</v>
      </c>
      <c r="F83" s="148">
        <f>IF(C83=0,0,E83/C83)</f>
        <v>7.0950621913439732E-2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52906410</v>
      </c>
      <c r="D91" s="146">
        <v>55688066</v>
      </c>
      <c r="E91" s="146">
        <f t="shared" ref="E91:E109" si="4">D91-C91</f>
        <v>2781656</v>
      </c>
      <c r="F91" s="150">
        <f t="shared" ref="F91:F109" si="5">IF(C91=0,0,E91/C91)</f>
        <v>5.2576918373406931E-2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1963323</v>
      </c>
      <c r="D92" s="146">
        <v>1987142</v>
      </c>
      <c r="E92" s="146">
        <f t="shared" si="4"/>
        <v>23819</v>
      </c>
      <c r="F92" s="150">
        <f t="shared" si="5"/>
        <v>1.2131982358481003E-2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1862117</v>
      </c>
      <c r="D93" s="146">
        <v>1868587</v>
      </c>
      <c r="E93" s="146">
        <f t="shared" si="4"/>
        <v>6470</v>
      </c>
      <c r="F93" s="150">
        <f t="shared" si="5"/>
        <v>3.4745399993663128E-3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1571762</v>
      </c>
      <c r="D94" s="146">
        <v>1655366</v>
      </c>
      <c r="E94" s="146">
        <f t="shared" si="4"/>
        <v>83604</v>
      </c>
      <c r="F94" s="150">
        <f t="shared" si="5"/>
        <v>5.3191259236449281E-2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4890521</v>
      </c>
      <c r="D95" s="146">
        <v>5557356</v>
      </c>
      <c r="E95" s="146">
        <f t="shared" si="4"/>
        <v>666835</v>
      </c>
      <c r="F95" s="150">
        <f t="shared" si="5"/>
        <v>0.13635254812319586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0</v>
      </c>
      <c r="D96" s="146">
        <v>0</v>
      </c>
      <c r="E96" s="146">
        <f t="shared" si="4"/>
        <v>0</v>
      </c>
      <c r="F96" s="150">
        <f t="shared" si="5"/>
        <v>0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1092966</v>
      </c>
      <c r="D97" s="146">
        <v>968572</v>
      </c>
      <c r="E97" s="146">
        <f t="shared" si="4"/>
        <v>-124394</v>
      </c>
      <c r="F97" s="150">
        <f t="shared" si="5"/>
        <v>-0.11381323847219402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1606780</v>
      </c>
      <c r="D98" s="146">
        <v>1757584</v>
      </c>
      <c r="E98" s="146">
        <f t="shared" si="4"/>
        <v>150804</v>
      </c>
      <c r="F98" s="150">
        <f t="shared" si="5"/>
        <v>9.3854790325993601E-2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920698</v>
      </c>
      <c r="D99" s="146">
        <v>991221</v>
      </c>
      <c r="E99" s="146">
        <f t="shared" si="4"/>
        <v>70523</v>
      </c>
      <c r="F99" s="150">
        <f t="shared" si="5"/>
        <v>7.6597320728403889E-2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3154969</v>
      </c>
      <c r="D100" s="146">
        <v>3352613</v>
      </c>
      <c r="E100" s="146">
        <f t="shared" si="4"/>
        <v>197644</v>
      </c>
      <c r="F100" s="150">
        <f t="shared" si="5"/>
        <v>6.2645306499049591E-2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2903696</v>
      </c>
      <c r="D101" s="146">
        <v>3037385</v>
      </c>
      <c r="E101" s="146">
        <f t="shared" si="4"/>
        <v>133689</v>
      </c>
      <c r="F101" s="150">
        <f t="shared" si="5"/>
        <v>4.6040976741366868E-2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0</v>
      </c>
      <c r="D102" s="146">
        <v>0</v>
      </c>
      <c r="E102" s="146">
        <f t="shared" si="4"/>
        <v>0</v>
      </c>
      <c r="F102" s="150">
        <f t="shared" si="5"/>
        <v>0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6086577</v>
      </c>
      <c r="D103" s="146">
        <v>6418563</v>
      </c>
      <c r="E103" s="146">
        <f t="shared" si="4"/>
        <v>331986</v>
      </c>
      <c r="F103" s="150">
        <f t="shared" si="5"/>
        <v>5.4543957958635862E-2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0</v>
      </c>
      <c r="D104" s="146">
        <v>0</v>
      </c>
      <c r="E104" s="146">
        <f t="shared" si="4"/>
        <v>0</v>
      </c>
      <c r="F104" s="150">
        <f t="shared" si="5"/>
        <v>0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0</v>
      </c>
      <c r="D105" s="146">
        <v>0</v>
      </c>
      <c r="E105" s="146">
        <f t="shared" si="4"/>
        <v>0</v>
      </c>
      <c r="F105" s="150">
        <f t="shared" si="5"/>
        <v>0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0</v>
      </c>
      <c r="D106" s="146">
        <v>0</v>
      </c>
      <c r="E106" s="146">
        <f t="shared" si="4"/>
        <v>0</v>
      </c>
      <c r="F106" s="150">
        <f t="shared" si="5"/>
        <v>0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6918307</v>
      </c>
      <c r="D107" s="146">
        <v>8027540</v>
      </c>
      <c r="E107" s="146">
        <f t="shared" si="4"/>
        <v>1109233</v>
      </c>
      <c r="F107" s="150">
        <f t="shared" si="5"/>
        <v>0.16033301210830916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13181617</v>
      </c>
      <c r="D108" s="146">
        <v>14143176</v>
      </c>
      <c r="E108" s="146">
        <f t="shared" si="4"/>
        <v>961559</v>
      </c>
      <c r="F108" s="150">
        <f t="shared" si="5"/>
        <v>7.294696849407778E-2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99059743</v>
      </c>
      <c r="D109" s="147">
        <f>SUM(D91:D108)</f>
        <v>105453171</v>
      </c>
      <c r="E109" s="147">
        <f t="shared" si="4"/>
        <v>6393428</v>
      </c>
      <c r="F109" s="148">
        <f t="shared" si="5"/>
        <v>6.4541132516364397E-2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479266</v>
      </c>
      <c r="D112" s="146">
        <v>1163957</v>
      </c>
      <c r="E112" s="146">
        <f t="shared" ref="E112:E118" si="6">D112-C112</f>
        <v>684691</v>
      </c>
      <c r="F112" s="150">
        <f t="shared" ref="F112:F118" si="7">IF(C112=0,0,E112/C112)</f>
        <v>1.4286241878205423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1898950</v>
      </c>
      <c r="D114" s="146">
        <v>1856243</v>
      </c>
      <c r="E114" s="146">
        <f t="shared" si="6"/>
        <v>-42707</v>
      </c>
      <c r="F114" s="150">
        <f t="shared" si="7"/>
        <v>-2.2489796993075122E-2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1939591</v>
      </c>
      <c r="D115" s="146">
        <v>2098970</v>
      </c>
      <c r="E115" s="146">
        <f t="shared" si="6"/>
        <v>159379</v>
      </c>
      <c r="F115" s="150">
        <f t="shared" si="7"/>
        <v>8.2171447485578142E-2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1302432</v>
      </c>
      <c r="D116" s="146">
        <v>1504752</v>
      </c>
      <c r="E116" s="146">
        <f t="shared" si="6"/>
        <v>202320</v>
      </c>
      <c r="F116" s="150">
        <f t="shared" si="7"/>
        <v>0.15534016363234318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3533148</v>
      </c>
      <c r="D117" s="146">
        <v>4213231</v>
      </c>
      <c r="E117" s="146">
        <f t="shared" si="6"/>
        <v>680083</v>
      </c>
      <c r="F117" s="150">
        <f t="shared" si="7"/>
        <v>0.19248641721207263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9153387</v>
      </c>
      <c r="D118" s="147">
        <f>SUM(D112:D117)</f>
        <v>10837153</v>
      </c>
      <c r="E118" s="147">
        <f t="shared" si="6"/>
        <v>1683766</v>
      </c>
      <c r="F118" s="148">
        <f t="shared" si="7"/>
        <v>0.18395005040210799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13962042</v>
      </c>
      <c r="D121" s="146">
        <v>16660791</v>
      </c>
      <c r="E121" s="146">
        <f t="shared" ref="E121:E155" si="8">D121-C121</f>
        <v>2698749</v>
      </c>
      <c r="F121" s="150">
        <f t="shared" ref="F121:F155" si="9">IF(C121=0,0,E121/C121)</f>
        <v>0.19329185515986844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2396394</v>
      </c>
      <c r="D122" s="146">
        <v>2508569</v>
      </c>
      <c r="E122" s="146">
        <f t="shared" si="8"/>
        <v>112175</v>
      </c>
      <c r="F122" s="150">
        <f t="shared" si="9"/>
        <v>4.6809915230967863E-2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394417</v>
      </c>
      <c r="D123" s="146">
        <v>299839</v>
      </c>
      <c r="E123" s="146">
        <f t="shared" si="8"/>
        <v>-94578</v>
      </c>
      <c r="F123" s="150">
        <f t="shared" si="9"/>
        <v>-0.23979189537976303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0</v>
      </c>
      <c r="D124" s="146">
        <v>0</v>
      </c>
      <c r="E124" s="146">
        <f t="shared" si="8"/>
        <v>0</v>
      </c>
      <c r="F124" s="150">
        <f t="shared" si="9"/>
        <v>0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6185177</v>
      </c>
      <c r="D125" s="146">
        <v>6126960</v>
      </c>
      <c r="E125" s="146">
        <f t="shared" si="8"/>
        <v>-58217</v>
      </c>
      <c r="F125" s="150">
        <f t="shared" si="9"/>
        <v>-9.4123417971708808E-3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895866</v>
      </c>
      <c r="D126" s="146">
        <v>956071</v>
      </c>
      <c r="E126" s="146">
        <f t="shared" si="8"/>
        <v>60205</v>
      </c>
      <c r="F126" s="150">
        <f t="shared" si="9"/>
        <v>6.7203130825368967E-2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1939729</v>
      </c>
      <c r="D127" s="146">
        <v>2255391</v>
      </c>
      <c r="E127" s="146">
        <f t="shared" si="8"/>
        <v>315662</v>
      </c>
      <c r="F127" s="150">
        <f t="shared" si="9"/>
        <v>0.16273510371809671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885973</v>
      </c>
      <c r="D128" s="146">
        <v>920843</v>
      </c>
      <c r="E128" s="146">
        <f t="shared" si="8"/>
        <v>34870</v>
      </c>
      <c r="F128" s="150">
        <f t="shared" si="9"/>
        <v>3.9357858535192379E-2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1006091</v>
      </c>
      <c r="D129" s="146">
        <v>1108273</v>
      </c>
      <c r="E129" s="146">
        <f t="shared" si="8"/>
        <v>102182</v>
      </c>
      <c r="F129" s="150">
        <f t="shared" si="9"/>
        <v>0.10156337746784337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7484776</v>
      </c>
      <c r="D130" s="146">
        <v>7568477</v>
      </c>
      <c r="E130" s="146">
        <f t="shared" si="8"/>
        <v>83701</v>
      </c>
      <c r="F130" s="150">
        <f t="shared" si="9"/>
        <v>1.1182832993265262E-2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0</v>
      </c>
      <c r="D132" s="146">
        <v>0</v>
      </c>
      <c r="E132" s="146">
        <f t="shared" si="8"/>
        <v>0</v>
      </c>
      <c r="F132" s="150">
        <f t="shared" si="9"/>
        <v>0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1052110</v>
      </c>
      <c r="D133" s="146">
        <v>1024793</v>
      </c>
      <c r="E133" s="146">
        <f t="shared" si="8"/>
        <v>-27317</v>
      </c>
      <c r="F133" s="150">
        <f t="shared" si="9"/>
        <v>-2.5964015169516495E-2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0</v>
      </c>
      <c r="D134" s="146">
        <v>0</v>
      </c>
      <c r="E134" s="146">
        <f t="shared" si="8"/>
        <v>0</v>
      </c>
      <c r="F134" s="150">
        <f t="shared" si="9"/>
        <v>0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1224949</v>
      </c>
      <c r="D138" s="146">
        <v>1306801</v>
      </c>
      <c r="E138" s="146">
        <f t="shared" si="8"/>
        <v>81852</v>
      </c>
      <c r="F138" s="150">
        <f t="shared" si="9"/>
        <v>6.6820741108405329E-2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87868</v>
      </c>
      <c r="D139" s="146">
        <v>86797</v>
      </c>
      <c r="E139" s="146">
        <f t="shared" si="8"/>
        <v>-1071</v>
      </c>
      <c r="F139" s="150">
        <f t="shared" si="9"/>
        <v>-1.2188737651932444E-2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425337</v>
      </c>
      <c r="D140" s="146">
        <v>306466</v>
      </c>
      <c r="E140" s="146">
        <f t="shared" si="8"/>
        <v>-118871</v>
      </c>
      <c r="F140" s="150">
        <f t="shared" si="9"/>
        <v>-0.27947486346120842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0</v>
      </c>
      <c r="D142" s="146">
        <v>0</v>
      </c>
      <c r="E142" s="146">
        <f t="shared" si="8"/>
        <v>0</v>
      </c>
      <c r="F142" s="150">
        <f t="shared" si="9"/>
        <v>0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12604234</v>
      </c>
      <c r="D144" s="146">
        <v>12045761</v>
      </c>
      <c r="E144" s="146">
        <f t="shared" si="8"/>
        <v>-558473</v>
      </c>
      <c r="F144" s="150">
        <f t="shared" si="9"/>
        <v>-4.4308364951015665E-2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1405934</v>
      </c>
      <c r="D145" s="146">
        <v>1419179</v>
      </c>
      <c r="E145" s="146">
        <f t="shared" si="8"/>
        <v>13245</v>
      </c>
      <c r="F145" s="150">
        <f t="shared" si="9"/>
        <v>9.4207836214217737E-3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371405</v>
      </c>
      <c r="D146" s="146">
        <v>48580</v>
      </c>
      <c r="E146" s="146">
        <f t="shared" si="8"/>
        <v>-322825</v>
      </c>
      <c r="F146" s="150">
        <f t="shared" si="9"/>
        <v>-0.86919939149984515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2675091</v>
      </c>
      <c r="D148" s="146">
        <v>2719567</v>
      </c>
      <c r="E148" s="146">
        <f t="shared" si="8"/>
        <v>44476</v>
      </c>
      <c r="F148" s="150">
        <f t="shared" si="9"/>
        <v>1.662597646210914E-2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737951</v>
      </c>
      <c r="D149" s="146">
        <v>818971</v>
      </c>
      <c r="E149" s="146">
        <f t="shared" si="8"/>
        <v>81020</v>
      </c>
      <c r="F149" s="150">
        <f t="shared" si="9"/>
        <v>0.10979048744428831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121228</v>
      </c>
      <c r="D151" s="146">
        <v>163275</v>
      </c>
      <c r="E151" s="146">
        <f t="shared" si="8"/>
        <v>42047</v>
      </c>
      <c r="F151" s="150">
        <f t="shared" si="9"/>
        <v>0.34684231365691093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735065</v>
      </c>
      <c r="D152" s="146">
        <v>803247</v>
      </c>
      <c r="E152" s="146">
        <f t="shared" si="8"/>
        <v>68182</v>
      </c>
      <c r="F152" s="150">
        <f t="shared" si="9"/>
        <v>9.2756422901376062E-2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1607978</v>
      </c>
      <c r="D154" s="146">
        <v>1752817</v>
      </c>
      <c r="E154" s="146">
        <f t="shared" si="8"/>
        <v>144839</v>
      </c>
      <c r="F154" s="150">
        <f t="shared" si="9"/>
        <v>9.0075237347774659E-2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58199615</v>
      </c>
      <c r="D155" s="147">
        <f>SUM(D121:D154)</f>
        <v>60901468</v>
      </c>
      <c r="E155" s="147">
        <f t="shared" si="8"/>
        <v>2701853</v>
      </c>
      <c r="F155" s="148">
        <f t="shared" si="9"/>
        <v>4.6423898164962091E-2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17265434</v>
      </c>
      <c r="D158" s="146">
        <v>18788316</v>
      </c>
      <c r="E158" s="146">
        <f t="shared" ref="E158:E171" si="10">D158-C158</f>
        <v>1522882</v>
      </c>
      <c r="F158" s="150">
        <f t="shared" ref="F158:F171" si="11">IF(C158=0,0,E158/C158)</f>
        <v>8.8204096114815306E-2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0</v>
      </c>
      <c r="D159" s="146">
        <v>0</v>
      </c>
      <c r="E159" s="146">
        <f t="shared" si="10"/>
        <v>0</v>
      </c>
      <c r="F159" s="150">
        <f t="shared" si="11"/>
        <v>0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2219914</v>
      </c>
      <c r="D161" s="146">
        <v>2242696</v>
      </c>
      <c r="E161" s="146">
        <f t="shared" si="10"/>
        <v>22782</v>
      </c>
      <c r="F161" s="150">
        <f t="shared" si="11"/>
        <v>1.0262559720781977E-2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4283679</v>
      </c>
      <c r="D163" s="146">
        <v>4527106</v>
      </c>
      <c r="E163" s="146">
        <f t="shared" si="10"/>
        <v>243427</v>
      </c>
      <c r="F163" s="150">
        <f t="shared" si="11"/>
        <v>5.6826620295311575E-2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0</v>
      </c>
      <c r="D164" s="146">
        <v>0</v>
      </c>
      <c r="E164" s="146">
        <f t="shared" si="10"/>
        <v>0</v>
      </c>
      <c r="F164" s="150">
        <f t="shared" si="11"/>
        <v>0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0</v>
      </c>
      <c r="D167" s="146">
        <v>0</v>
      </c>
      <c r="E167" s="146">
        <f t="shared" si="10"/>
        <v>0</v>
      </c>
      <c r="F167" s="150">
        <f t="shared" si="11"/>
        <v>0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0</v>
      </c>
      <c r="D169" s="146">
        <v>0</v>
      </c>
      <c r="E169" s="146">
        <f t="shared" si="10"/>
        <v>0</v>
      </c>
      <c r="F169" s="150">
        <f t="shared" si="11"/>
        <v>0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23769027</v>
      </c>
      <c r="D171" s="147">
        <f>SUM(D158:D170)</f>
        <v>25558118</v>
      </c>
      <c r="E171" s="147">
        <f t="shared" si="10"/>
        <v>1789091</v>
      </c>
      <c r="F171" s="148">
        <f t="shared" si="11"/>
        <v>7.526984592175355E-2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0</v>
      </c>
      <c r="D174" s="146">
        <v>925377</v>
      </c>
      <c r="E174" s="146">
        <f>D174-C174</f>
        <v>925377</v>
      </c>
      <c r="F174" s="150">
        <f>IF(C174=0,0,E174/C174)</f>
        <v>0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190181772</v>
      </c>
      <c r="D176" s="147">
        <f>+D174+D171+D155+D118+D109</f>
        <v>203675287</v>
      </c>
      <c r="E176" s="147">
        <f>D176-C176</f>
        <v>13493515</v>
      </c>
      <c r="F176" s="148">
        <f>IF(C176=0,0,E176/C176)</f>
        <v>7.0950621913439732E-2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FILING&amp;RMIDSTATE MEDICAL CENTER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172470335</v>
      </c>
      <c r="D11" s="164">
        <v>182022152</v>
      </c>
      <c r="E11" s="51">
        <v>196755436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6514587</v>
      </c>
      <c r="D12" s="49">
        <v>18695433</v>
      </c>
      <c r="E12" s="49">
        <v>14584411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178984922</v>
      </c>
      <c r="D13" s="51">
        <f>+D11+D12</f>
        <v>200717585</v>
      </c>
      <c r="E13" s="51">
        <f>+E11+E12</f>
        <v>211339847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173269841</v>
      </c>
      <c r="D14" s="49">
        <v>190181772</v>
      </c>
      <c r="E14" s="49">
        <v>203675287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5715081</v>
      </c>
      <c r="D15" s="51">
        <f>+D13-D14</f>
        <v>10535813</v>
      </c>
      <c r="E15" s="51">
        <f>+E13-E14</f>
        <v>7664560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-345750</v>
      </c>
      <c r="D16" s="49">
        <v>534112</v>
      </c>
      <c r="E16" s="49">
        <v>455490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5369331</v>
      </c>
      <c r="D17" s="51">
        <f>D15+D16</f>
        <v>11069925</v>
      </c>
      <c r="E17" s="51">
        <f>E15+E16</f>
        <v>8120050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3.1992316892288326E-2</v>
      </c>
      <c r="D20" s="169">
        <f>IF(+D27=0,0,+D24/+D27)</f>
        <v>5.2351424395690932E-2</v>
      </c>
      <c r="E20" s="169">
        <f>IF(+E27=0,0,+E24/+E27)</f>
        <v>3.618852099656944E-2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-1.9354657555174964E-3</v>
      </c>
      <c r="D21" s="169">
        <f>IF(D27=0,0,+D26/D27)</f>
        <v>2.6539502919073524E-3</v>
      </c>
      <c r="E21" s="169">
        <f>IF(E27=0,0,+E26/E27)</f>
        <v>2.1506139202677535E-3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3.005685113677083E-2</v>
      </c>
      <c r="D22" s="169">
        <f>IF(D27=0,0,+D28/D27)</f>
        <v>5.5005374687598287E-2</v>
      </c>
      <c r="E22" s="169">
        <f>IF(E27=0,0,+E28/E27)</f>
        <v>3.8339134916837193E-2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5715081</v>
      </c>
      <c r="D24" s="51">
        <f>+D15</f>
        <v>10535813</v>
      </c>
      <c r="E24" s="51">
        <f>+E15</f>
        <v>7664560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178984922</v>
      </c>
      <c r="D25" s="51">
        <f>+D13</f>
        <v>200717585</v>
      </c>
      <c r="E25" s="51">
        <f>+E13</f>
        <v>211339847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-345750</v>
      </c>
      <c r="D26" s="51">
        <f>+D16</f>
        <v>534112</v>
      </c>
      <c r="E26" s="51">
        <f>+E16</f>
        <v>455490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178639172</v>
      </c>
      <c r="D27" s="51">
        <f>+D25+D26</f>
        <v>201251697</v>
      </c>
      <c r="E27" s="51">
        <f>+E25+E26</f>
        <v>211795337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5369331</v>
      </c>
      <c r="D28" s="51">
        <f>+D17</f>
        <v>11069925</v>
      </c>
      <c r="E28" s="51">
        <f>+E17</f>
        <v>8120050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48490546</v>
      </c>
      <c r="D31" s="51">
        <v>58808950</v>
      </c>
      <c r="E31" s="51">
        <v>52820335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62932116</v>
      </c>
      <c r="D32" s="51">
        <v>73744007</v>
      </c>
      <c r="E32" s="51">
        <v>67247606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-8377822</v>
      </c>
      <c r="D33" s="51">
        <f>+D32-C32</f>
        <v>10811891</v>
      </c>
      <c r="E33" s="51">
        <f>+E32-D32</f>
        <v>-6496401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0.88249999999999995</v>
      </c>
      <c r="D34" s="171">
        <f>IF(C32=0,0,+D33/C32)</f>
        <v>0.17180243867852782</v>
      </c>
      <c r="E34" s="171">
        <f>IF(D32=0,0,+E33/D32)</f>
        <v>-8.8093951824451303E-2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0.48922976912484273</v>
      </c>
      <c r="D38" s="172">
        <f>IF((D40+D41)=0,0,+D39/(D40+D41))</f>
        <v>0.48322677631731648</v>
      </c>
      <c r="E38" s="172">
        <f>IF((E40+E41)=0,0,+E39/(E40+E41))</f>
        <v>0.46501169600655551</v>
      </c>
      <c r="F38" s="5"/>
    </row>
    <row r="39" spans="1:6" ht="24" customHeight="1" x14ac:dyDescent="0.2">
      <c r="A39" s="21">
        <v>2</v>
      </c>
      <c r="B39" s="48" t="s">
        <v>324</v>
      </c>
      <c r="C39" s="51">
        <v>173269841</v>
      </c>
      <c r="D39" s="51">
        <v>190181772</v>
      </c>
      <c r="E39" s="23">
        <v>203675287</v>
      </c>
      <c r="F39" s="5"/>
    </row>
    <row r="40" spans="1:6" ht="24" customHeight="1" x14ac:dyDescent="0.2">
      <c r="A40" s="21">
        <v>3</v>
      </c>
      <c r="B40" s="48" t="s">
        <v>325</v>
      </c>
      <c r="C40" s="51">
        <v>347627051</v>
      </c>
      <c r="D40" s="51">
        <v>374870862</v>
      </c>
      <c r="E40" s="23">
        <v>423415942</v>
      </c>
      <c r="F40" s="5"/>
    </row>
    <row r="41" spans="1:6" ht="24" customHeight="1" x14ac:dyDescent="0.2">
      <c r="A41" s="21">
        <v>4</v>
      </c>
      <c r="B41" s="48" t="s">
        <v>326</v>
      </c>
      <c r="C41" s="51">
        <v>6541587</v>
      </c>
      <c r="D41" s="51">
        <v>18695433</v>
      </c>
      <c r="E41" s="23">
        <v>14584411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1.3924385398474355</v>
      </c>
      <c r="D43" s="173">
        <f>IF(D38=0,0,IF((D46-D47)=0,0,((+D44-D45)/(D46-D47)/D38)))</f>
        <v>1.3985425343081628</v>
      </c>
      <c r="E43" s="173">
        <f>IF(E38=0,0,IF((E46-E47)=0,0,((+E44-E45)/(E46-E47)/E38)))</f>
        <v>1.4666739463387963</v>
      </c>
      <c r="F43" s="5"/>
    </row>
    <row r="44" spans="1:6" ht="24" customHeight="1" x14ac:dyDescent="0.2">
      <c r="A44" s="21">
        <v>6</v>
      </c>
      <c r="B44" s="48" t="s">
        <v>328</v>
      </c>
      <c r="C44" s="51">
        <v>87968614</v>
      </c>
      <c r="D44" s="51">
        <v>94458495</v>
      </c>
      <c r="E44" s="23">
        <v>101704474</v>
      </c>
      <c r="F44" s="5"/>
    </row>
    <row r="45" spans="1:6" ht="24" customHeight="1" x14ac:dyDescent="0.2">
      <c r="A45" s="21">
        <v>7</v>
      </c>
      <c r="B45" s="48" t="s">
        <v>329</v>
      </c>
      <c r="C45" s="51">
        <v>495336</v>
      </c>
      <c r="D45" s="51">
        <v>643398</v>
      </c>
      <c r="E45" s="23">
        <v>823172</v>
      </c>
      <c r="F45" s="5"/>
    </row>
    <row r="46" spans="1:6" ht="24" customHeight="1" x14ac:dyDescent="0.2">
      <c r="A46" s="21">
        <v>8</v>
      </c>
      <c r="B46" s="48" t="s">
        <v>330</v>
      </c>
      <c r="C46" s="51">
        <v>139391778</v>
      </c>
      <c r="D46" s="51">
        <v>150493817</v>
      </c>
      <c r="E46" s="23">
        <v>158613621</v>
      </c>
      <c r="F46" s="5"/>
    </row>
    <row r="47" spans="1:6" ht="24" customHeight="1" x14ac:dyDescent="0.2">
      <c r="A47" s="21">
        <v>9</v>
      </c>
      <c r="B47" s="48" t="s">
        <v>331</v>
      </c>
      <c r="C47" s="51">
        <v>10985431</v>
      </c>
      <c r="D47" s="51">
        <v>11675728</v>
      </c>
      <c r="E47" s="174">
        <v>10698278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0.7976304355026772</v>
      </c>
      <c r="D49" s="175">
        <f>IF(D38=0,0,IF(D51=0,0,(D50/D51)/D38))</f>
        <v>0.78471413962709602</v>
      </c>
      <c r="E49" s="175">
        <f>IF(E38=0,0,IF(E51=0,0,(E50/E51)/E38))</f>
        <v>0.78960634313301048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62393615</v>
      </c>
      <c r="D50" s="176">
        <v>63158315</v>
      </c>
      <c r="E50" s="176">
        <v>70035314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159891566</v>
      </c>
      <c r="D51" s="176">
        <v>166558985</v>
      </c>
      <c r="E51" s="176">
        <v>190740350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0.74876672719076742</v>
      </c>
      <c r="D53" s="175">
        <f>IF(D38=0,0,IF(D55=0,0,(D54/D55)/D38))</f>
        <v>0.68256619552947861</v>
      </c>
      <c r="E53" s="175">
        <f>IF(E38=0,0,IF(E55=0,0,(E54/E55)/E38))</f>
        <v>0.62342515249641528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13702359</v>
      </c>
      <c r="D54" s="176">
        <v>16421372</v>
      </c>
      <c r="E54" s="176">
        <v>20754012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37405540</v>
      </c>
      <c r="D55" s="176">
        <v>49786738</v>
      </c>
      <c r="E55" s="176">
        <v>71590248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6403138.0427193046</v>
      </c>
      <c r="D57" s="53">
        <f>+D60*D38</f>
        <v>6815200.9204606805</v>
      </c>
      <c r="E57" s="53">
        <f>+E60*E38</f>
        <v>5068840.4618282262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3370587</v>
      </c>
      <c r="D58" s="51">
        <v>3637983</v>
      </c>
      <c r="E58" s="52">
        <v>3025038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9717615</v>
      </c>
      <c r="D59" s="51">
        <v>10465542</v>
      </c>
      <c r="E59" s="52">
        <v>7875420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13088202</v>
      </c>
      <c r="D60" s="51">
        <v>14103525</v>
      </c>
      <c r="E60" s="52">
        <v>10900458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3.6954717599811872E-2</v>
      </c>
      <c r="D62" s="178">
        <f>IF(D63=0,0,+D57/D63)</f>
        <v>3.5835195186112161E-2</v>
      </c>
      <c r="E62" s="178">
        <f>IF(E63=0,0,+E57/E63)</f>
        <v>2.488687035373234E-2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173269841</v>
      </c>
      <c r="D63" s="176">
        <v>190181772</v>
      </c>
      <c r="E63" s="176">
        <v>203675287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2.3763281362119679</v>
      </c>
      <c r="D67" s="179">
        <f>IF(D69=0,0,D68/D69)</f>
        <v>1.9313975118085833</v>
      </c>
      <c r="E67" s="179">
        <f>IF(E69=0,0,E68/E69)</f>
        <v>1.9263855815481046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65521020</v>
      </c>
      <c r="D68" s="180">
        <v>56637135</v>
      </c>
      <c r="E68" s="180">
        <v>48912681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27572379</v>
      </c>
      <c r="D69" s="180">
        <v>29324432</v>
      </c>
      <c r="E69" s="180">
        <v>25390909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91.27485149495196</v>
      </c>
      <c r="D71" s="181">
        <f>IF((D77/365)=0,0,+D74/(D77/365))</f>
        <v>57.400077953269857</v>
      </c>
      <c r="E71" s="181">
        <f>IF((E77/365)=0,0,+E74/(E77/365))</f>
        <v>37.033572883971878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41146505</v>
      </c>
      <c r="D72" s="182">
        <v>28181027</v>
      </c>
      <c r="E72" s="182">
        <v>19361929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41146505</v>
      </c>
      <c r="D74" s="180">
        <f>+D72+D73</f>
        <v>28181027</v>
      </c>
      <c r="E74" s="180">
        <f>+E72+E73</f>
        <v>19361929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173269841</v>
      </c>
      <c r="D75" s="180">
        <f>+D14</f>
        <v>190181772</v>
      </c>
      <c r="E75" s="180">
        <f>+E14</f>
        <v>203675287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8728633</v>
      </c>
      <c r="D76" s="180">
        <v>10982105</v>
      </c>
      <c r="E76" s="180">
        <v>12845628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164541208</v>
      </c>
      <c r="D77" s="180">
        <f>+D75-D76</f>
        <v>179199667</v>
      </c>
      <c r="E77" s="180">
        <f>+E75-E76</f>
        <v>190829659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39.442889584461</v>
      </c>
      <c r="D79" s="179">
        <f>IF((D84/365)=0,0,+D83/(D84/365))</f>
        <v>44.816707611499943</v>
      </c>
      <c r="E79" s="179">
        <f>IF((E84/365)=0,0,+E83/(E84/365))</f>
        <v>40.582656430392099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19523079</v>
      </c>
      <c r="D80" s="189">
        <v>23291912</v>
      </c>
      <c r="E80" s="189">
        <v>23676854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885467</v>
      </c>
      <c r="D82" s="190">
        <v>942231</v>
      </c>
      <c r="E82" s="190">
        <v>1800530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18637612</v>
      </c>
      <c r="D83" s="191">
        <f>+D80+D81-D82</f>
        <v>22349681</v>
      </c>
      <c r="E83" s="191">
        <f>+E80+E81-E82</f>
        <v>21876324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172470335</v>
      </c>
      <c r="D84" s="191">
        <f>+D11</f>
        <v>182022152</v>
      </c>
      <c r="E84" s="191">
        <f>+E11</f>
        <v>196755436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61.163513124323245</v>
      </c>
      <c r="D86" s="179">
        <f>IF((D90/365)=0,0,+D87/(D90/365))</f>
        <v>59.729004295526956</v>
      </c>
      <c r="E86" s="179">
        <f>IF((E90/365)=0,0,+E87/(E90/365))</f>
        <v>48.565206444140848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27572379</v>
      </c>
      <c r="D87" s="51">
        <f>+D69</f>
        <v>29324432</v>
      </c>
      <c r="E87" s="51">
        <f>+E69</f>
        <v>25390909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173269841</v>
      </c>
      <c r="D88" s="51">
        <f t="shared" si="0"/>
        <v>190181772</v>
      </c>
      <c r="E88" s="51">
        <f t="shared" si="0"/>
        <v>203675287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8728633</v>
      </c>
      <c r="D89" s="52">
        <f t="shared" si="0"/>
        <v>10982105</v>
      </c>
      <c r="E89" s="52">
        <f t="shared" si="0"/>
        <v>12845628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164541208</v>
      </c>
      <c r="D90" s="51">
        <f>+D88-D89</f>
        <v>179199667</v>
      </c>
      <c r="E90" s="51">
        <f>+E88-E89</f>
        <v>190829659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27.662448630146923</v>
      </c>
      <c r="D94" s="192">
        <f>IF(D96=0,0,(D95/D96)*100)</f>
        <v>31.019061851899988</v>
      </c>
      <c r="E94" s="192">
        <f>IF(E96=0,0,(E95/E96)*100)</f>
        <v>27.892461421693493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62932116</v>
      </c>
      <c r="D95" s="51">
        <f>+D32</f>
        <v>73744007</v>
      </c>
      <c r="E95" s="51">
        <f>+E32</f>
        <v>67247606</v>
      </c>
      <c r="F95" s="28"/>
    </row>
    <row r="96" spans="1:6" ht="24" customHeight="1" x14ac:dyDescent="0.25">
      <c r="A96" s="21">
        <v>3</v>
      </c>
      <c r="B96" s="48" t="s">
        <v>43</v>
      </c>
      <c r="C96" s="51">
        <v>227500164</v>
      </c>
      <c r="D96" s="51">
        <v>237737709</v>
      </c>
      <c r="E96" s="51">
        <v>241095990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12.759795849623693</v>
      </c>
      <c r="D98" s="192">
        <f>IF(D104=0,0,(D101/D104)*100)</f>
        <v>20.064732239369565</v>
      </c>
      <c r="E98" s="192">
        <f>IF(E104=0,0,(E101/E104)*100)</f>
        <v>18.367494512620166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5369331</v>
      </c>
      <c r="D99" s="51">
        <f>+D28</f>
        <v>11069925</v>
      </c>
      <c r="E99" s="51">
        <f>+E28</f>
        <v>8120050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8728633</v>
      </c>
      <c r="D100" s="52">
        <f>+D76</f>
        <v>10982105</v>
      </c>
      <c r="E100" s="52">
        <f>+E76</f>
        <v>12845628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14097964</v>
      </c>
      <c r="D101" s="51">
        <f>+D99+D100</f>
        <v>22052030</v>
      </c>
      <c r="E101" s="51">
        <f>+E99+E100</f>
        <v>20965678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27572379</v>
      </c>
      <c r="D102" s="180">
        <f>+D69</f>
        <v>29324432</v>
      </c>
      <c r="E102" s="180">
        <f>+E69</f>
        <v>25390909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82915000</v>
      </c>
      <c r="D103" s="194">
        <v>80580000</v>
      </c>
      <c r="E103" s="194">
        <v>88754643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110487379</v>
      </c>
      <c r="D104" s="180">
        <f>+D102+D103</f>
        <v>109904432</v>
      </c>
      <c r="E104" s="180">
        <f>+E102+E103</f>
        <v>114145552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56.850627063479266</v>
      </c>
      <c r="D106" s="197">
        <f>IF(D109=0,0,(D107/D109)*100)</f>
        <v>52.214818398280705</v>
      </c>
      <c r="E106" s="197">
        <f>IF(E109=0,0,(E107/E109)*100)</f>
        <v>56.893181713040562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82915000</v>
      </c>
      <c r="D107" s="180">
        <f>+D103</f>
        <v>80580000</v>
      </c>
      <c r="E107" s="180">
        <f>+E103</f>
        <v>88754643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62932116</v>
      </c>
      <c r="D108" s="180">
        <f>+D32</f>
        <v>73744007</v>
      </c>
      <c r="E108" s="180">
        <f>+E32</f>
        <v>67247606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145847116</v>
      </c>
      <c r="D109" s="180">
        <f>+D107+D108</f>
        <v>154324007</v>
      </c>
      <c r="E109" s="180">
        <f>+E107+E108</f>
        <v>156002249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3.3670881390171288</v>
      </c>
      <c r="D111" s="197">
        <f>IF((+D113+D115)=0,0,((+D112+D113+D114)/(+D113+D115)))</f>
        <v>5.263980824043073</v>
      </c>
      <c r="E111" s="197">
        <f>IF((+E113+E115)=0,0,((+E112+E113+E114)/(+E113+E115)))</f>
        <v>0.27236514162166858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5369331</v>
      </c>
      <c r="D112" s="180">
        <f>+D17</f>
        <v>11069925</v>
      </c>
      <c r="E112" s="180">
        <f>+E17</f>
        <v>8120050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2456574</v>
      </c>
      <c r="D113" s="180">
        <v>2221191</v>
      </c>
      <c r="E113" s="180">
        <v>2222925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8728633</v>
      </c>
      <c r="D114" s="180">
        <v>10982105</v>
      </c>
      <c r="E114" s="180">
        <v>12845628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2460000</v>
      </c>
      <c r="D115" s="180">
        <v>2390000</v>
      </c>
      <c r="E115" s="180">
        <v>82915000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10.310376206675203</v>
      </c>
      <c r="D119" s="197">
        <f>IF(+D121=0,0,(+D120)/(+D121))</f>
        <v>8.9753751216183062</v>
      </c>
      <c r="E119" s="197">
        <f>IF(+E121=0,0,(+E120)/(+E121))</f>
        <v>8.6654589405827416</v>
      </c>
    </row>
    <row r="120" spans="1:8" ht="24" customHeight="1" x14ac:dyDescent="0.25">
      <c r="A120" s="17">
        <v>21</v>
      </c>
      <c r="B120" s="48" t="s">
        <v>369</v>
      </c>
      <c r="C120" s="180">
        <v>89995490</v>
      </c>
      <c r="D120" s="180">
        <v>98568512</v>
      </c>
      <c r="E120" s="180">
        <v>111313262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8728633</v>
      </c>
      <c r="D121" s="180">
        <v>10982105</v>
      </c>
      <c r="E121" s="180">
        <v>12845628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42873</v>
      </c>
      <c r="D124" s="198">
        <v>42359</v>
      </c>
      <c r="E124" s="198">
        <v>44604</v>
      </c>
    </row>
    <row r="125" spans="1:8" ht="24" customHeight="1" x14ac:dyDescent="0.2">
      <c r="A125" s="44">
        <v>2</v>
      </c>
      <c r="B125" s="48" t="s">
        <v>373</v>
      </c>
      <c r="C125" s="198">
        <v>9955</v>
      </c>
      <c r="D125" s="198">
        <v>9818</v>
      </c>
      <c r="E125" s="198">
        <v>10235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4.3066800602712201</v>
      </c>
      <c r="D126" s="199">
        <f>IF(D125=0,0,D124/D125)</f>
        <v>4.3144224893053575</v>
      </c>
      <c r="E126" s="199">
        <f>IF(E125=0,0,E124/E125)</f>
        <v>4.3579872984855887</v>
      </c>
    </row>
    <row r="127" spans="1:8" ht="24" customHeight="1" x14ac:dyDescent="0.2">
      <c r="A127" s="44">
        <v>4</v>
      </c>
      <c r="B127" s="48" t="s">
        <v>375</v>
      </c>
      <c r="C127" s="198">
        <v>140</v>
      </c>
      <c r="D127" s="198">
        <v>142</v>
      </c>
      <c r="E127" s="198">
        <v>144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156</v>
      </c>
      <c r="E128" s="198">
        <v>156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156</v>
      </c>
      <c r="D129" s="198">
        <v>156</v>
      </c>
      <c r="E129" s="198">
        <v>156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0.83899999999999997</v>
      </c>
      <c r="D130" s="171">
        <v>0.81720000000000004</v>
      </c>
      <c r="E130" s="171">
        <v>0.84860000000000002</v>
      </c>
    </row>
    <row r="131" spans="1:8" ht="24" customHeight="1" x14ac:dyDescent="0.2">
      <c r="A131" s="44">
        <v>7</v>
      </c>
      <c r="B131" s="48" t="s">
        <v>379</v>
      </c>
      <c r="C131" s="171">
        <v>0.82709999999999995</v>
      </c>
      <c r="D131" s="171">
        <v>0.74390000000000001</v>
      </c>
      <c r="E131" s="171">
        <v>0.7833</v>
      </c>
    </row>
    <row r="132" spans="1:8" ht="24" customHeight="1" x14ac:dyDescent="0.2">
      <c r="A132" s="44">
        <v>8</v>
      </c>
      <c r="B132" s="48" t="s">
        <v>380</v>
      </c>
      <c r="C132" s="199">
        <v>950.5</v>
      </c>
      <c r="D132" s="199">
        <v>985.8</v>
      </c>
      <c r="E132" s="199">
        <v>1018.6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0.36937961712306444</v>
      </c>
      <c r="D135" s="203">
        <f>IF(D149=0,0,D143/D149)</f>
        <v>0.37030909326849737</v>
      </c>
      <c r="E135" s="203">
        <f>IF(E149=0,0,E143/E149)</f>
        <v>0.34933815269525209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0.45995144952053801</v>
      </c>
      <c r="D136" s="203">
        <f>IF(D149=0,0,D144/D149)</f>
        <v>0.44431029958258</v>
      </c>
      <c r="E136" s="203">
        <f>IF(E149=0,0,E144/E149)</f>
        <v>0.45047984990607653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0.10760250070412386</v>
      </c>
      <c r="D137" s="203">
        <f>IF(D149=0,0,D145/D149)</f>
        <v>0.13281037030826898</v>
      </c>
      <c r="E137" s="203">
        <f>IF(E149=0,0,E145/E149)</f>
        <v>0.1690778284394403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2.9891827952134829E-2</v>
      </c>
      <c r="D138" s="203">
        <f>IF(D149=0,0,D146/D149)</f>
        <v>1.9661528134453939E-2</v>
      </c>
      <c r="E138" s="203">
        <f>IF(E149=0,0,E146/E149)</f>
        <v>4.0318888134826059E-3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3.1601197226737113E-2</v>
      </c>
      <c r="D139" s="203">
        <f>IF(D149=0,0,D147/D149)</f>
        <v>3.1146000352516062E-2</v>
      </c>
      <c r="E139" s="203">
        <f>IF(E149=0,0,E147/E149)</f>
        <v>2.5266592347625873E-2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1.5734074734017175E-3</v>
      </c>
      <c r="D140" s="203">
        <f>IF(D149=0,0,D148/D149)</f>
        <v>1.7627083536836748E-3</v>
      </c>
      <c r="E140" s="203">
        <f>IF(E149=0,0,E148/E149)</f>
        <v>1.8056877981226318E-3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1.0000000000000002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128406347</v>
      </c>
      <c r="D143" s="205">
        <f>+D46-D147</f>
        <v>138818089</v>
      </c>
      <c r="E143" s="205">
        <f>+E46-E147</f>
        <v>147915343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159891566</v>
      </c>
      <c r="D144" s="205">
        <f>+D51</f>
        <v>166558985</v>
      </c>
      <c r="E144" s="205">
        <f>+E51</f>
        <v>190740350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37405540</v>
      </c>
      <c r="D145" s="205">
        <f>+D55</f>
        <v>49786738</v>
      </c>
      <c r="E145" s="205">
        <f>+E55</f>
        <v>71590248</v>
      </c>
    </row>
    <row r="146" spans="1:7" ht="20.100000000000001" customHeight="1" x14ac:dyDescent="0.2">
      <c r="A146" s="202">
        <v>11</v>
      </c>
      <c r="B146" s="201" t="s">
        <v>392</v>
      </c>
      <c r="C146" s="204">
        <v>10391208</v>
      </c>
      <c r="D146" s="205">
        <v>7370534</v>
      </c>
      <c r="E146" s="205">
        <v>1707166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10985431</v>
      </c>
      <c r="D147" s="205">
        <f>+D47</f>
        <v>11675728</v>
      </c>
      <c r="E147" s="205">
        <f>+E47</f>
        <v>10698278</v>
      </c>
    </row>
    <row r="148" spans="1:7" ht="20.100000000000001" customHeight="1" x14ac:dyDescent="0.2">
      <c r="A148" s="202">
        <v>13</v>
      </c>
      <c r="B148" s="201" t="s">
        <v>394</v>
      </c>
      <c r="C148" s="206">
        <v>546959</v>
      </c>
      <c r="D148" s="205">
        <v>660788</v>
      </c>
      <c r="E148" s="205">
        <v>764557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347627051</v>
      </c>
      <c r="D149" s="205">
        <f>SUM(D143:D148)</f>
        <v>374870862</v>
      </c>
      <c r="E149" s="205">
        <f>SUM(E143:E148)</f>
        <v>423415942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0.52751613611509762</v>
      </c>
      <c r="D152" s="203">
        <f>IF(D166=0,0,D160/D166)</f>
        <v>0.5358652287576966</v>
      </c>
      <c r="E152" s="203">
        <f>IF(E166=0,0,E160/E166)</f>
        <v>0.5218934179199487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0.37627078183868901</v>
      </c>
      <c r="D153" s="203">
        <f>IF(D166=0,0,D161/D166)</f>
        <v>0.36075584844756553</v>
      </c>
      <c r="E153" s="203">
        <f>IF(E166=0,0,E161/E166)</f>
        <v>0.36231659062604915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8.2633412633077871E-2</v>
      </c>
      <c r="D154" s="203">
        <f>IF(D166=0,0,D162/D166)</f>
        <v>9.3797720672774379E-2</v>
      </c>
      <c r="E154" s="203">
        <f>IF(E166=0,0,E162/E166)</f>
        <v>0.10736758986548003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9.5304548402712717E-3</v>
      </c>
      <c r="D155" s="203">
        <f>IF(D166=0,0,D163/D166)</f>
        <v>4.3577624603373605E-3</v>
      </c>
      <c r="E155" s="203">
        <f>IF(E166=0,0,E163/E166)</f>
        <v>2.6859471307166334E-3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2.9871720686940302E-3</v>
      </c>
      <c r="D156" s="203">
        <f>IF(D166=0,0,D164/D166)</f>
        <v>3.6750440758191024E-3</v>
      </c>
      <c r="E156" s="203">
        <f>IF(E166=0,0,E164/E166)</f>
        <v>4.2585498015876126E-3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1.0620425041701733E-3</v>
      </c>
      <c r="D157" s="203">
        <f>IF(D166=0,0,D165/D166)</f>
        <v>1.5483955858071024E-3</v>
      </c>
      <c r="E157" s="203">
        <f>IF(E166=0,0,E165/E166)</f>
        <v>1.4779046562178311E-3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0.99999999999999989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87473278</v>
      </c>
      <c r="D160" s="208">
        <f>+D44-D164</f>
        <v>93815097</v>
      </c>
      <c r="E160" s="208">
        <f>+E44-E164</f>
        <v>100881302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62393615</v>
      </c>
      <c r="D161" s="208">
        <f>+D50</f>
        <v>63158315</v>
      </c>
      <c r="E161" s="208">
        <f>+E50</f>
        <v>70035314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13702359</v>
      </c>
      <c r="D162" s="208">
        <f>+D54</f>
        <v>16421372</v>
      </c>
      <c r="E162" s="208">
        <f>+E54</f>
        <v>20754012</v>
      </c>
    </row>
    <row r="163" spans="1:6" ht="20.100000000000001" customHeight="1" x14ac:dyDescent="0.2">
      <c r="A163" s="202">
        <v>11</v>
      </c>
      <c r="B163" s="201" t="s">
        <v>408</v>
      </c>
      <c r="C163" s="207">
        <v>1580350</v>
      </c>
      <c r="D163" s="208">
        <v>762923</v>
      </c>
      <c r="E163" s="208">
        <v>519190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495336</v>
      </c>
      <c r="D164" s="208">
        <f>+D45</f>
        <v>643398</v>
      </c>
      <c r="E164" s="208">
        <f>+E45</f>
        <v>823172</v>
      </c>
    </row>
    <row r="165" spans="1:6" ht="20.100000000000001" customHeight="1" x14ac:dyDescent="0.2">
      <c r="A165" s="202">
        <v>13</v>
      </c>
      <c r="B165" s="201" t="s">
        <v>410</v>
      </c>
      <c r="C165" s="209">
        <v>176109</v>
      </c>
      <c r="D165" s="208">
        <v>271081</v>
      </c>
      <c r="E165" s="208">
        <v>285677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165821047</v>
      </c>
      <c r="D166" s="208">
        <f>SUM(D160:D165)</f>
        <v>175072186</v>
      </c>
      <c r="E166" s="208">
        <f>SUM(E160:E165)</f>
        <v>193298667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3390</v>
      </c>
      <c r="D169" s="198">
        <v>3270</v>
      </c>
      <c r="E169" s="198">
        <v>3252</v>
      </c>
    </row>
    <row r="170" spans="1:6" ht="20.100000000000001" customHeight="1" x14ac:dyDescent="0.2">
      <c r="A170" s="202">
        <v>2</v>
      </c>
      <c r="B170" s="201" t="s">
        <v>414</v>
      </c>
      <c r="C170" s="198">
        <v>4708</v>
      </c>
      <c r="D170" s="198">
        <v>4619</v>
      </c>
      <c r="E170" s="198">
        <v>4826</v>
      </c>
    </row>
    <row r="171" spans="1:6" ht="20.100000000000001" customHeight="1" x14ac:dyDescent="0.2">
      <c r="A171" s="202">
        <v>3</v>
      </c>
      <c r="B171" s="201" t="s">
        <v>415</v>
      </c>
      <c r="C171" s="198">
        <v>1847</v>
      </c>
      <c r="D171" s="198">
        <v>1909</v>
      </c>
      <c r="E171" s="198">
        <v>2138</v>
      </c>
    </row>
    <row r="172" spans="1:6" ht="20.100000000000001" customHeight="1" x14ac:dyDescent="0.2">
      <c r="A172" s="202">
        <v>4</v>
      </c>
      <c r="B172" s="201" t="s">
        <v>416</v>
      </c>
      <c r="C172" s="198">
        <v>1542</v>
      </c>
      <c r="D172" s="198">
        <v>1741</v>
      </c>
      <c r="E172" s="198">
        <v>2106</v>
      </c>
    </row>
    <row r="173" spans="1:6" ht="20.100000000000001" customHeight="1" x14ac:dyDescent="0.2">
      <c r="A173" s="202">
        <v>5</v>
      </c>
      <c r="B173" s="201" t="s">
        <v>417</v>
      </c>
      <c r="C173" s="198">
        <v>305</v>
      </c>
      <c r="D173" s="198">
        <v>168</v>
      </c>
      <c r="E173" s="198">
        <v>32</v>
      </c>
    </row>
    <row r="174" spans="1:6" ht="20.100000000000001" customHeight="1" x14ac:dyDescent="0.2">
      <c r="A174" s="202">
        <v>6</v>
      </c>
      <c r="B174" s="201" t="s">
        <v>418</v>
      </c>
      <c r="C174" s="198">
        <v>10</v>
      </c>
      <c r="D174" s="198">
        <v>20</v>
      </c>
      <c r="E174" s="198">
        <v>19</v>
      </c>
    </row>
    <row r="175" spans="1:6" ht="20.100000000000001" customHeight="1" x14ac:dyDescent="0.2">
      <c r="A175" s="202">
        <v>7</v>
      </c>
      <c r="B175" s="201" t="s">
        <v>419</v>
      </c>
      <c r="C175" s="198">
        <v>302</v>
      </c>
      <c r="D175" s="198">
        <v>234</v>
      </c>
      <c r="E175" s="198">
        <v>209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9955</v>
      </c>
      <c r="D176" s="198">
        <f>+D169+D170+D171+D174</f>
        <v>9818</v>
      </c>
      <c r="E176" s="198">
        <f>+E169+E170+E171+E174</f>
        <v>10235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1.0083500000000001</v>
      </c>
      <c r="D179" s="210">
        <v>1.03484</v>
      </c>
      <c r="E179" s="210">
        <v>1.02963</v>
      </c>
    </row>
    <row r="180" spans="1:6" ht="20.100000000000001" customHeight="1" x14ac:dyDescent="0.2">
      <c r="A180" s="202">
        <v>2</v>
      </c>
      <c r="B180" s="201" t="s">
        <v>414</v>
      </c>
      <c r="C180" s="210">
        <v>1.4451700000000001</v>
      </c>
      <c r="D180" s="210">
        <v>1.4248700000000001</v>
      </c>
      <c r="E180" s="210">
        <v>1.4068799999999999</v>
      </c>
    </row>
    <row r="181" spans="1:6" ht="20.100000000000001" customHeight="1" x14ac:dyDescent="0.2">
      <c r="A181" s="202">
        <v>3</v>
      </c>
      <c r="B181" s="201" t="s">
        <v>415</v>
      </c>
      <c r="C181" s="210">
        <v>0.80526699999999996</v>
      </c>
      <c r="D181" s="210">
        <v>0.84003700000000003</v>
      </c>
      <c r="E181" s="210">
        <v>0.90426300000000004</v>
      </c>
    </row>
    <row r="182" spans="1:6" ht="20.100000000000001" customHeight="1" x14ac:dyDescent="0.2">
      <c r="A182" s="202">
        <v>4</v>
      </c>
      <c r="B182" s="201" t="s">
        <v>416</v>
      </c>
      <c r="C182" s="210">
        <v>0.75641999999999998</v>
      </c>
      <c r="D182" s="210">
        <v>0.81113000000000002</v>
      </c>
      <c r="E182" s="210">
        <v>0.90081</v>
      </c>
    </row>
    <row r="183" spans="1:6" ht="20.100000000000001" customHeight="1" x14ac:dyDescent="0.2">
      <c r="A183" s="202">
        <v>5</v>
      </c>
      <c r="B183" s="201" t="s">
        <v>417</v>
      </c>
      <c r="C183" s="210">
        <v>1.05223</v>
      </c>
      <c r="D183" s="210">
        <v>1.13961</v>
      </c>
      <c r="E183" s="210">
        <v>1.1315299999999999</v>
      </c>
    </row>
    <row r="184" spans="1:6" ht="20.100000000000001" customHeight="1" x14ac:dyDescent="0.2">
      <c r="A184" s="202">
        <v>6</v>
      </c>
      <c r="B184" s="201" t="s">
        <v>418</v>
      </c>
      <c r="C184" s="210">
        <v>1.91412</v>
      </c>
      <c r="D184" s="210">
        <v>1.12174</v>
      </c>
      <c r="E184" s="210">
        <v>0.91139000000000003</v>
      </c>
    </row>
    <row r="185" spans="1:6" ht="20.100000000000001" customHeight="1" x14ac:dyDescent="0.2">
      <c r="A185" s="202">
        <v>7</v>
      </c>
      <c r="B185" s="201" t="s">
        <v>419</v>
      </c>
      <c r="C185" s="210">
        <v>0.88553000000000004</v>
      </c>
      <c r="D185" s="210">
        <v>1.07494</v>
      </c>
      <c r="E185" s="210">
        <v>0.97809999999999997</v>
      </c>
    </row>
    <row r="186" spans="1:6" ht="20.100000000000001" customHeight="1" x14ac:dyDescent="0.2">
      <c r="A186" s="202">
        <v>8</v>
      </c>
      <c r="B186" s="201" t="s">
        <v>423</v>
      </c>
      <c r="C186" s="210">
        <v>1.1781649999999999</v>
      </c>
      <c r="D186" s="210">
        <v>1.180634</v>
      </c>
      <c r="E186" s="210">
        <v>1.181103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6415</v>
      </c>
      <c r="D189" s="198">
        <v>6380</v>
      </c>
      <c r="E189" s="198">
        <v>6629</v>
      </c>
    </row>
    <row r="190" spans="1:6" ht="20.100000000000001" customHeight="1" x14ac:dyDescent="0.2">
      <c r="A190" s="202">
        <v>2</v>
      </c>
      <c r="B190" s="201" t="s">
        <v>427</v>
      </c>
      <c r="C190" s="198">
        <v>60480</v>
      </c>
      <c r="D190" s="198">
        <v>68942</v>
      </c>
      <c r="E190" s="198">
        <v>78336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66895</v>
      </c>
      <c r="D191" s="198">
        <f>+D190+D189</f>
        <v>75322</v>
      </c>
      <c r="E191" s="198">
        <f>+E190+E189</f>
        <v>84965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FILING&amp;RMIDSTATE MEDICAL CENTER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1751349</v>
      </c>
      <c r="D14" s="237">
        <v>2314400</v>
      </c>
      <c r="E14" s="237">
        <f t="shared" ref="E14:E24" si="0">D14-C14</f>
        <v>563051</v>
      </c>
      <c r="F14" s="238">
        <f t="shared" ref="F14:F24" si="1">IF(C14=0,0,E14/C14)</f>
        <v>0.32149560139069938</v>
      </c>
    </row>
    <row r="15" spans="1:7" ht="20.25" customHeight="1" x14ac:dyDescent="0.3">
      <c r="A15" s="235">
        <v>2</v>
      </c>
      <c r="B15" s="236" t="s">
        <v>435</v>
      </c>
      <c r="C15" s="237">
        <v>740656</v>
      </c>
      <c r="D15" s="237">
        <v>924071</v>
      </c>
      <c r="E15" s="237">
        <f t="shared" si="0"/>
        <v>183415</v>
      </c>
      <c r="F15" s="238">
        <f t="shared" si="1"/>
        <v>0.24763857985353524</v>
      </c>
    </row>
    <row r="16" spans="1:7" ht="20.25" customHeight="1" x14ac:dyDescent="0.3">
      <c r="A16" s="235">
        <v>3</v>
      </c>
      <c r="B16" s="236" t="s">
        <v>436</v>
      </c>
      <c r="C16" s="237">
        <v>1039673</v>
      </c>
      <c r="D16" s="237">
        <v>1250302</v>
      </c>
      <c r="E16" s="237">
        <f t="shared" si="0"/>
        <v>210629</v>
      </c>
      <c r="F16" s="238">
        <f t="shared" si="1"/>
        <v>0.20259158408461123</v>
      </c>
    </row>
    <row r="17" spans="1:6" ht="20.25" customHeight="1" x14ac:dyDescent="0.3">
      <c r="A17" s="235">
        <v>4</v>
      </c>
      <c r="B17" s="236" t="s">
        <v>437</v>
      </c>
      <c r="C17" s="237">
        <v>347462</v>
      </c>
      <c r="D17" s="237">
        <v>503247</v>
      </c>
      <c r="E17" s="237">
        <f t="shared" si="0"/>
        <v>155785</v>
      </c>
      <c r="F17" s="238">
        <f t="shared" si="1"/>
        <v>0.44835118660457834</v>
      </c>
    </row>
    <row r="18" spans="1:6" ht="20.25" customHeight="1" x14ac:dyDescent="0.3">
      <c r="A18" s="235">
        <v>5</v>
      </c>
      <c r="B18" s="236" t="s">
        <v>373</v>
      </c>
      <c r="C18" s="239">
        <v>79</v>
      </c>
      <c r="D18" s="239">
        <v>108</v>
      </c>
      <c r="E18" s="239">
        <f t="shared" si="0"/>
        <v>29</v>
      </c>
      <c r="F18" s="238">
        <f t="shared" si="1"/>
        <v>0.36708860759493672</v>
      </c>
    </row>
    <row r="19" spans="1:6" ht="20.25" customHeight="1" x14ac:dyDescent="0.3">
      <c r="A19" s="235">
        <v>6</v>
      </c>
      <c r="B19" s="236" t="s">
        <v>372</v>
      </c>
      <c r="C19" s="239">
        <v>384</v>
      </c>
      <c r="D19" s="239">
        <v>499</v>
      </c>
      <c r="E19" s="239">
        <f t="shared" si="0"/>
        <v>115</v>
      </c>
      <c r="F19" s="238">
        <f t="shared" si="1"/>
        <v>0.29947916666666669</v>
      </c>
    </row>
    <row r="20" spans="1:6" ht="20.25" customHeight="1" x14ac:dyDescent="0.3">
      <c r="A20" s="235">
        <v>7</v>
      </c>
      <c r="B20" s="236" t="s">
        <v>438</v>
      </c>
      <c r="C20" s="239">
        <v>415</v>
      </c>
      <c r="D20" s="239">
        <v>503</v>
      </c>
      <c r="E20" s="239">
        <f t="shared" si="0"/>
        <v>88</v>
      </c>
      <c r="F20" s="238">
        <f t="shared" si="1"/>
        <v>0.21204819277108433</v>
      </c>
    </row>
    <row r="21" spans="1:6" ht="20.25" customHeight="1" x14ac:dyDescent="0.3">
      <c r="A21" s="235">
        <v>8</v>
      </c>
      <c r="B21" s="236" t="s">
        <v>439</v>
      </c>
      <c r="C21" s="239">
        <v>135</v>
      </c>
      <c r="D21" s="239">
        <v>134</v>
      </c>
      <c r="E21" s="239">
        <f t="shared" si="0"/>
        <v>-1</v>
      </c>
      <c r="F21" s="238">
        <f t="shared" si="1"/>
        <v>-7.4074074074074077E-3</v>
      </c>
    </row>
    <row r="22" spans="1:6" ht="20.25" customHeight="1" x14ac:dyDescent="0.3">
      <c r="A22" s="235">
        <v>9</v>
      </c>
      <c r="B22" s="236" t="s">
        <v>440</v>
      </c>
      <c r="C22" s="239">
        <v>68</v>
      </c>
      <c r="D22" s="239">
        <v>89</v>
      </c>
      <c r="E22" s="239">
        <f t="shared" si="0"/>
        <v>21</v>
      </c>
      <c r="F22" s="238">
        <f t="shared" si="1"/>
        <v>0.30882352941176472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2791022</v>
      </c>
      <c r="D23" s="243">
        <f>+D14+D16</f>
        <v>3564702</v>
      </c>
      <c r="E23" s="243">
        <f t="shared" si="0"/>
        <v>773680</v>
      </c>
      <c r="F23" s="244">
        <f t="shared" si="1"/>
        <v>0.27720311771100337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1088118</v>
      </c>
      <c r="D24" s="243">
        <f>+D15+D17</f>
        <v>1427318</v>
      </c>
      <c r="E24" s="243">
        <f t="shared" si="0"/>
        <v>339200</v>
      </c>
      <c r="F24" s="244">
        <f t="shared" si="1"/>
        <v>0.31173089683288024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1886070</v>
      </c>
      <c r="D40" s="237">
        <v>4105645</v>
      </c>
      <c r="E40" s="237">
        <f t="shared" ref="E40:E50" si="4">D40-C40</f>
        <v>2219575</v>
      </c>
      <c r="F40" s="238">
        <f t="shared" ref="F40:F50" si="5">IF(C40=0,0,E40/C40)</f>
        <v>1.1768253564289766</v>
      </c>
    </row>
    <row r="41" spans="1:6" ht="20.25" customHeight="1" x14ac:dyDescent="0.3">
      <c r="A41" s="235">
        <v>2</v>
      </c>
      <c r="B41" s="236" t="s">
        <v>435</v>
      </c>
      <c r="C41" s="237">
        <v>821621</v>
      </c>
      <c r="D41" s="237">
        <v>1367081</v>
      </c>
      <c r="E41" s="237">
        <f t="shared" si="4"/>
        <v>545460</v>
      </c>
      <c r="F41" s="238">
        <f t="shared" si="5"/>
        <v>0.66388273912180917</v>
      </c>
    </row>
    <row r="42" spans="1:6" ht="20.25" customHeight="1" x14ac:dyDescent="0.3">
      <c r="A42" s="235">
        <v>3</v>
      </c>
      <c r="B42" s="236" t="s">
        <v>436</v>
      </c>
      <c r="C42" s="237">
        <v>1734598</v>
      </c>
      <c r="D42" s="237">
        <v>3860313</v>
      </c>
      <c r="E42" s="237">
        <f t="shared" si="4"/>
        <v>2125715</v>
      </c>
      <c r="F42" s="238">
        <f t="shared" si="5"/>
        <v>1.2254799094660549</v>
      </c>
    </row>
    <row r="43" spans="1:6" ht="20.25" customHeight="1" x14ac:dyDescent="0.3">
      <c r="A43" s="235">
        <v>4</v>
      </c>
      <c r="B43" s="236" t="s">
        <v>437</v>
      </c>
      <c r="C43" s="237">
        <v>550214</v>
      </c>
      <c r="D43" s="237">
        <v>1058112</v>
      </c>
      <c r="E43" s="237">
        <f t="shared" si="4"/>
        <v>507898</v>
      </c>
      <c r="F43" s="238">
        <f t="shared" si="5"/>
        <v>0.92309174248565107</v>
      </c>
    </row>
    <row r="44" spans="1:6" ht="20.25" customHeight="1" x14ac:dyDescent="0.3">
      <c r="A44" s="235">
        <v>5</v>
      </c>
      <c r="B44" s="236" t="s">
        <v>373</v>
      </c>
      <c r="C44" s="239">
        <v>91</v>
      </c>
      <c r="D44" s="239">
        <v>150</v>
      </c>
      <c r="E44" s="239">
        <f t="shared" si="4"/>
        <v>59</v>
      </c>
      <c r="F44" s="238">
        <f t="shared" si="5"/>
        <v>0.64835164835164838</v>
      </c>
    </row>
    <row r="45" spans="1:6" ht="20.25" customHeight="1" x14ac:dyDescent="0.3">
      <c r="A45" s="235">
        <v>6</v>
      </c>
      <c r="B45" s="236" t="s">
        <v>372</v>
      </c>
      <c r="C45" s="239">
        <v>385</v>
      </c>
      <c r="D45" s="239">
        <v>836</v>
      </c>
      <c r="E45" s="239">
        <f t="shared" si="4"/>
        <v>451</v>
      </c>
      <c r="F45" s="238">
        <f t="shared" si="5"/>
        <v>1.1714285714285715</v>
      </c>
    </row>
    <row r="46" spans="1:6" ht="20.25" customHeight="1" x14ac:dyDescent="0.3">
      <c r="A46" s="235">
        <v>7</v>
      </c>
      <c r="B46" s="236" t="s">
        <v>438</v>
      </c>
      <c r="C46" s="239">
        <v>845</v>
      </c>
      <c r="D46" s="239">
        <v>1485</v>
      </c>
      <c r="E46" s="239">
        <f t="shared" si="4"/>
        <v>640</v>
      </c>
      <c r="F46" s="238">
        <f t="shared" si="5"/>
        <v>0.75739644970414199</v>
      </c>
    </row>
    <row r="47" spans="1:6" ht="20.25" customHeight="1" x14ac:dyDescent="0.3">
      <c r="A47" s="235">
        <v>8</v>
      </c>
      <c r="B47" s="236" t="s">
        <v>439</v>
      </c>
      <c r="C47" s="239">
        <v>199</v>
      </c>
      <c r="D47" s="239">
        <v>367</v>
      </c>
      <c r="E47" s="239">
        <f t="shared" si="4"/>
        <v>168</v>
      </c>
      <c r="F47" s="238">
        <f t="shared" si="5"/>
        <v>0.84422110552763818</v>
      </c>
    </row>
    <row r="48" spans="1:6" ht="20.25" customHeight="1" x14ac:dyDescent="0.3">
      <c r="A48" s="235">
        <v>9</v>
      </c>
      <c r="B48" s="236" t="s">
        <v>440</v>
      </c>
      <c r="C48" s="239">
        <v>67</v>
      </c>
      <c r="D48" s="239">
        <v>121</v>
      </c>
      <c r="E48" s="239">
        <f t="shared" si="4"/>
        <v>54</v>
      </c>
      <c r="F48" s="238">
        <f t="shared" si="5"/>
        <v>0.80597014925373134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3620668</v>
      </c>
      <c r="D49" s="243">
        <f>+D40+D42</f>
        <v>7965958</v>
      </c>
      <c r="E49" s="243">
        <f t="shared" si="4"/>
        <v>4345290</v>
      </c>
      <c r="F49" s="244">
        <f t="shared" si="5"/>
        <v>1.2001348922353554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1371835</v>
      </c>
      <c r="D50" s="243">
        <f>+D41+D43</f>
        <v>2425193</v>
      </c>
      <c r="E50" s="243">
        <f t="shared" si="4"/>
        <v>1053358</v>
      </c>
      <c r="F50" s="244">
        <f t="shared" si="5"/>
        <v>0.76784598730896936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10583692</v>
      </c>
      <c r="D53" s="237">
        <v>3730175</v>
      </c>
      <c r="E53" s="237">
        <f t="shared" ref="E53:E63" si="6">D53-C53</f>
        <v>-6853517</v>
      </c>
      <c r="F53" s="238">
        <f t="shared" ref="F53:F63" si="7">IF(C53=0,0,E53/C53)</f>
        <v>-0.64755446398100025</v>
      </c>
    </row>
    <row r="54" spans="1:6" ht="20.25" customHeight="1" x14ac:dyDescent="0.3">
      <c r="A54" s="235">
        <v>2</v>
      </c>
      <c r="B54" s="236" t="s">
        <v>435</v>
      </c>
      <c r="C54" s="237">
        <v>4302502</v>
      </c>
      <c r="D54" s="237">
        <v>1401664</v>
      </c>
      <c r="E54" s="237">
        <f t="shared" si="6"/>
        <v>-2900838</v>
      </c>
      <c r="F54" s="238">
        <f t="shared" si="7"/>
        <v>-0.67422118571937906</v>
      </c>
    </row>
    <row r="55" spans="1:6" ht="20.25" customHeight="1" x14ac:dyDescent="0.3">
      <c r="A55" s="235">
        <v>3</v>
      </c>
      <c r="B55" s="236" t="s">
        <v>436</v>
      </c>
      <c r="C55" s="237">
        <v>7766237</v>
      </c>
      <c r="D55" s="237">
        <v>2467792</v>
      </c>
      <c r="E55" s="237">
        <f t="shared" si="6"/>
        <v>-5298445</v>
      </c>
      <c r="F55" s="238">
        <f t="shared" si="7"/>
        <v>-0.68224096174247584</v>
      </c>
    </row>
    <row r="56" spans="1:6" ht="20.25" customHeight="1" x14ac:dyDescent="0.3">
      <c r="A56" s="235">
        <v>4</v>
      </c>
      <c r="B56" s="236" t="s">
        <v>437</v>
      </c>
      <c r="C56" s="237">
        <v>2414683</v>
      </c>
      <c r="D56" s="237">
        <v>694293</v>
      </c>
      <c r="E56" s="237">
        <f t="shared" si="6"/>
        <v>-1720390</v>
      </c>
      <c r="F56" s="238">
        <f t="shared" si="7"/>
        <v>-0.71247033254468595</v>
      </c>
    </row>
    <row r="57" spans="1:6" ht="20.25" customHeight="1" x14ac:dyDescent="0.3">
      <c r="A57" s="235">
        <v>5</v>
      </c>
      <c r="B57" s="236" t="s">
        <v>373</v>
      </c>
      <c r="C57" s="239">
        <v>449</v>
      </c>
      <c r="D57" s="239">
        <v>138</v>
      </c>
      <c r="E57" s="239">
        <f t="shared" si="6"/>
        <v>-311</v>
      </c>
      <c r="F57" s="238">
        <f t="shared" si="7"/>
        <v>-0.69265033407572385</v>
      </c>
    </row>
    <row r="58" spans="1:6" ht="20.25" customHeight="1" x14ac:dyDescent="0.3">
      <c r="A58" s="235">
        <v>6</v>
      </c>
      <c r="B58" s="236" t="s">
        <v>372</v>
      </c>
      <c r="C58" s="239">
        <v>2211</v>
      </c>
      <c r="D58" s="239">
        <v>793</v>
      </c>
      <c r="E58" s="239">
        <f t="shared" si="6"/>
        <v>-1418</v>
      </c>
      <c r="F58" s="238">
        <f t="shared" si="7"/>
        <v>-0.64133876074174578</v>
      </c>
    </row>
    <row r="59" spans="1:6" ht="20.25" customHeight="1" x14ac:dyDescent="0.3">
      <c r="A59" s="235">
        <v>7</v>
      </c>
      <c r="B59" s="236" t="s">
        <v>438</v>
      </c>
      <c r="C59" s="239">
        <v>3525</v>
      </c>
      <c r="D59" s="239">
        <v>851</v>
      </c>
      <c r="E59" s="239">
        <f t="shared" si="6"/>
        <v>-2674</v>
      </c>
      <c r="F59" s="238">
        <f t="shared" si="7"/>
        <v>-0.75858156028368795</v>
      </c>
    </row>
    <row r="60" spans="1:6" ht="20.25" customHeight="1" x14ac:dyDescent="0.3">
      <c r="A60" s="235">
        <v>8</v>
      </c>
      <c r="B60" s="236" t="s">
        <v>439</v>
      </c>
      <c r="C60" s="239">
        <v>904</v>
      </c>
      <c r="D60" s="239">
        <v>376</v>
      </c>
      <c r="E60" s="239">
        <f t="shared" si="6"/>
        <v>-528</v>
      </c>
      <c r="F60" s="238">
        <f t="shared" si="7"/>
        <v>-0.58407079646017701</v>
      </c>
    </row>
    <row r="61" spans="1:6" ht="20.25" customHeight="1" x14ac:dyDescent="0.3">
      <c r="A61" s="235">
        <v>9</v>
      </c>
      <c r="B61" s="236" t="s">
        <v>440</v>
      </c>
      <c r="C61" s="239">
        <v>366</v>
      </c>
      <c r="D61" s="239">
        <v>112</v>
      </c>
      <c r="E61" s="239">
        <f t="shared" si="6"/>
        <v>-254</v>
      </c>
      <c r="F61" s="238">
        <f t="shared" si="7"/>
        <v>-0.69398907103825136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18349929</v>
      </c>
      <c r="D62" s="243">
        <f>+D53+D55</f>
        <v>6197967</v>
      </c>
      <c r="E62" s="243">
        <f t="shared" si="6"/>
        <v>-12151962</v>
      </c>
      <c r="F62" s="244">
        <f t="shared" si="7"/>
        <v>-0.66223482390585819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6717185</v>
      </c>
      <c r="D63" s="243">
        <f>+D54+D56</f>
        <v>2095957</v>
      </c>
      <c r="E63" s="243">
        <f t="shared" si="6"/>
        <v>-4621228</v>
      </c>
      <c r="F63" s="244">
        <f t="shared" si="7"/>
        <v>-0.68797092829808915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0</v>
      </c>
      <c r="D66" s="237">
        <v>0</v>
      </c>
      <c r="E66" s="237">
        <f t="shared" ref="E66:E76" si="8">D66-C66</f>
        <v>0</v>
      </c>
      <c r="F66" s="238">
        <f t="shared" ref="F66:F76" si="9">IF(C66=0,0,E66/C66)</f>
        <v>0</v>
      </c>
    </row>
    <row r="67" spans="1:6" ht="20.25" customHeight="1" x14ac:dyDescent="0.3">
      <c r="A67" s="235">
        <v>2</v>
      </c>
      <c r="B67" s="236" t="s">
        <v>435</v>
      </c>
      <c r="C67" s="237">
        <v>0</v>
      </c>
      <c r="D67" s="237">
        <v>0</v>
      </c>
      <c r="E67" s="237">
        <f t="shared" si="8"/>
        <v>0</v>
      </c>
      <c r="F67" s="238">
        <f t="shared" si="9"/>
        <v>0</v>
      </c>
    </row>
    <row r="68" spans="1:6" ht="20.25" customHeight="1" x14ac:dyDescent="0.3">
      <c r="A68" s="235">
        <v>3</v>
      </c>
      <c r="B68" s="236" t="s">
        <v>436</v>
      </c>
      <c r="C68" s="237">
        <v>0</v>
      </c>
      <c r="D68" s="237">
        <v>0</v>
      </c>
      <c r="E68" s="237">
        <f t="shared" si="8"/>
        <v>0</v>
      </c>
      <c r="F68" s="238">
        <f t="shared" si="9"/>
        <v>0</v>
      </c>
    </row>
    <row r="69" spans="1:6" ht="20.25" customHeight="1" x14ac:dyDescent="0.3">
      <c r="A69" s="235">
        <v>4</v>
      </c>
      <c r="B69" s="236" t="s">
        <v>437</v>
      </c>
      <c r="C69" s="237">
        <v>0</v>
      </c>
      <c r="D69" s="237">
        <v>0</v>
      </c>
      <c r="E69" s="237">
        <f t="shared" si="8"/>
        <v>0</v>
      </c>
      <c r="F69" s="238">
        <f t="shared" si="9"/>
        <v>0</v>
      </c>
    </row>
    <row r="70" spans="1:6" ht="20.25" customHeight="1" x14ac:dyDescent="0.3">
      <c r="A70" s="235">
        <v>5</v>
      </c>
      <c r="B70" s="236" t="s">
        <v>373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ht="20.25" customHeight="1" x14ac:dyDescent="0.3">
      <c r="A71" s="235">
        <v>6</v>
      </c>
      <c r="B71" s="236" t="s">
        <v>372</v>
      </c>
      <c r="C71" s="239">
        <v>0</v>
      </c>
      <c r="D71" s="239">
        <v>0</v>
      </c>
      <c r="E71" s="239">
        <f t="shared" si="8"/>
        <v>0</v>
      </c>
      <c r="F71" s="238">
        <f t="shared" si="9"/>
        <v>0</v>
      </c>
    </row>
    <row r="72" spans="1:6" ht="20.25" customHeight="1" x14ac:dyDescent="0.3">
      <c r="A72" s="235">
        <v>7</v>
      </c>
      <c r="B72" s="236" t="s">
        <v>438</v>
      </c>
      <c r="C72" s="239">
        <v>0</v>
      </c>
      <c r="D72" s="239">
        <v>0</v>
      </c>
      <c r="E72" s="239">
        <f t="shared" si="8"/>
        <v>0</v>
      </c>
      <c r="F72" s="238">
        <f t="shared" si="9"/>
        <v>0</v>
      </c>
    </row>
    <row r="73" spans="1:6" ht="20.25" customHeight="1" x14ac:dyDescent="0.3">
      <c r="A73" s="235">
        <v>8</v>
      </c>
      <c r="B73" s="236" t="s">
        <v>439</v>
      </c>
      <c r="C73" s="239">
        <v>0</v>
      </c>
      <c r="D73" s="239">
        <v>0</v>
      </c>
      <c r="E73" s="239">
        <f t="shared" si="8"/>
        <v>0</v>
      </c>
      <c r="F73" s="238">
        <f t="shared" si="9"/>
        <v>0</v>
      </c>
    </row>
    <row r="74" spans="1:6" ht="20.25" customHeight="1" x14ac:dyDescent="0.3">
      <c r="A74" s="235">
        <v>9</v>
      </c>
      <c r="B74" s="236" t="s">
        <v>440</v>
      </c>
      <c r="C74" s="239">
        <v>0</v>
      </c>
      <c r="D74" s="239">
        <v>0</v>
      </c>
      <c r="E74" s="239">
        <f t="shared" si="8"/>
        <v>0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0</v>
      </c>
      <c r="D75" s="243">
        <f>+D66+D68</f>
        <v>0</v>
      </c>
      <c r="E75" s="243">
        <f t="shared" si="8"/>
        <v>0</v>
      </c>
      <c r="F75" s="244">
        <f t="shared" si="9"/>
        <v>0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0</v>
      </c>
      <c r="D76" s="243">
        <f>+D67+D69</f>
        <v>0</v>
      </c>
      <c r="E76" s="243">
        <f t="shared" si="8"/>
        <v>0</v>
      </c>
      <c r="F76" s="244">
        <f t="shared" si="9"/>
        <v>0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376154</v>
      </c>
      <c r="D79" s="237">
        <v>1066250</v>
      </c>
      <c r="E79" s="237">
        <f t="shared" ref="E79:E89" si="10">D79-C79</f>
        <v>690096</v>
      </c>
      <c r="F79" s="238">
        <f t="shared" ref="F79:F89" si="11">IF(C79=0,0,E79/C79)</f>
        <v>1.8346102925929273</v>
      </c>
    </row>
    <row r="80" spans="1:6" ht="20.25" customHeight="1" x14ac:dyDescent="0.3">
      <c r="A80" s="235">
        <v>2</v>
      </c>
      <c r="B80" s="236" t="s">
        <v>435</v>
      </c>
      <c r="C80" s="237">
        <v>161257</v>
      </c>
      <c r="D80" s="237">
        <v>402504</v>
      </c>
      <c r="E80" s="237">
        <f t="shared" si="10"/>
        <v>241247</v>
      </c>
      <c r="F80" s="238">
        <f t="shared" si="11"/>
        <v>1.4960404819635738</v>
      </c>
    </row>
    <row r="81" spans="1:6" ht="20.25" customHeight="1" x14ac:dyDescent="0.3">
      <c r="A81" s="235">
        <v>3</v>
      </c>
      <c r="B81" s="236" t="s">
        <v>436</v>
      </c>
      <c r="C81" s="237">
        <v>147213</v>
      </c>
      <c r="D81" s="237">
        <v>972992</v>
      </c>
      <c r="E81" s="237">
        <f t="shared" si="10"/>
        <v>825779</v>
      </c>
      <c r="F81" s="238">
        <f t="shared" si="11"/>
        <v>5.6094162879636986</v>
      </c>
    </row>
    <row r="82" spans="1:6" ht="20.25" customHeight="1" x14ac:dyDescent="0.3">
      <c r="A82" s="235">
        <v>4</v>
      </c>
      <c r="B82" s="236" t="s">
        <v>437</v>
      </c>
      <c r="C82" s="237">
        <v>44723</v>
      </c>
      <c r="D82" s="237">
        <v>254632</v>
      </c>
      <c r="E82" s="237">
        <f t="shared" si="10"/>
        <v>209909</v>
      </c>
      <c r="F82" s="238">
        <f t="shared" si="11"/>
        <v>4.6935357645953983</v>
      </c>
    </row>
    <row r="83" spans="1:6" ht="20.25" customHeight="1" x14ac:dyDescent="0.3">
      <c r="A83" s="235">
        <v>5</v>
      </c>
      <c r="B83" s="236" t="s">
        <v>373</v>
      </c>
      <c r="C83" s="239">
        <v>16</v>
      </c>
      <c r="D83" s="239">
        <v>48</v>
      </c>
      <c r="E83" s="239">
        <f t="shared" si="10"/>
        <v>32</v>
      </c>
      <c r="F83" s="238">
        <f t="shared" si="11"/>
        <v>2</v>
      </c>
    </row>
    <row r="84" spans="1:6" ht="20.25" customHeight="1" x14ac:dyDescent="0.3">
      <c r="A84" s="235">
        <v>6</v>
      </c>
      <c r="B84" s="236" t="s">
        <v>372</v>
      </c>
      <c r="C84" s="239">
        <v>72</v>
      </c>
      <c r="D84" s="239">
        <v>232</v>
      </c>
      <c r="E84" s="239">
        <f t="shared" si="10"/>
        <v>160</v>
      </c>
      <c r="F84" s="238">
        <f t="shared" si="11"/>
        <v>2.2222222222222223</v>
      </c>
    </row>
    <row r="85" spans="1:6" ht="20.25" customHeight="1" x14ac:dyDescent="0.3">
      <c r="A85" s="235">
        <v>7</v>
      </c>
      <c r="B85" s="236" t="s">
        <v>438</v>
      </c>
      <c r="C85" s="239">
        <v>106</v>
      </c>
      <c r="D85" s="239">
        <v>486</v>
      </c>
      <c r="E85" s="239">
        <f t="shared" si="10"/>
        <v>380</v>
      </c>
      <c r="F85" s="238">
        <f t="shared" si="11"/>
        <v>3.5849056603773586</v>
      </c>
    </row>
    <row r="86" spans="1:6" ht="20.25" customHeight="1" x14ac:dyDescent="0.3">
      <c r="A86" s="235">
        <v>8</v>
      </c>
      <c r="B86" s="236" t="s">
        <v>439</v>
      </c>
      <c r="C86" s="239">
        <v>26</v>
      </c>
      <c r="D86" s="239">
        <v>123</v>
      </c>
      <c r="E86" s="239">
        <f t="shared" si="10"/>
        <v>97</v>
      </c>
      <c r="F86" s="238">
        <f t="shared" si="11"/>
        <v>3.7307692307692308</v>
      </c>
    </row>
    <row r="87" spans="1:6" ht="20.25" customHeight="1" x14ac:dyDescent="0.3">
      <c r="A87" s="235">
        <v>9</v>
      </c>
      <c r="B87" s="236" t="s">
        <v>440</v>
      </c>
      <c r="C87" s="239">
        <v>14</v>
      </c>
      <c r="D87" s="239">
        <v>40</v>
      </c>
      <c r="E87" s="239">
        <f t="shared" si="10"/>
        <v>26</v>
      </c>
      <c r="F87" s="238">
        <f t="shared" si="11"/>
        <v>1.8571428571428572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523367</v>
      </c>
      <c r="D88" s="243">
        <f>+D79+D81</f>
        <v>2039242</v>
      </c>
      <c r="E88" s="243">
        <f t="shared" si="10"/>
        <v>1515875</v>
      </c>
      <c r="F88" s="244">
        <f t="shared" si="11"/>
        <v>2.8963901048403891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205980</v>
      </c>
      <c r="D89" s="243">
        <f>+D80+D82</f>
        <v>657136</v>
      </c>
      <c r="E89" s="243">
        <f t="shared" si="10"/>
        <v>451156</v>
      </c>
      <c r="F89" s="244">
        <f t="shared" si="11"/>
        <v>2.19029031944849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157868</v>
      </c>
      <c r="D105" s="237">
        <v>425146</v>
      </c>
      <c r="E105" s="237">
        <f t="shared" ref="E105:E115" si="14">D105-C105</f>
        <v>267278</v>
      </c>
      <c r="F105" s="238">
        <f t="shared" ref="F105:F115" si="15">IF(C105=0,0,E105/C105)</f>
        <v>1.6930473560189525</v>
      </c>
    </row>
    <row r="106" spans="1:6" ht="20.25" customHeight="1" x14ac:dyDescent="0.3">
      <c r="A106" s="235">
        <v>2</v>
      </c>
      <c r="B106" s="236" t="s">
        <v>435</v>
      </c>
      <c r="C106" s="237">
        <v>67678</v>
      </c>
      <c r="D106" s="237">
        <v>179464</v>
      </c>
      <c r="E106" s="237">
        <f t="shared" si="14"/>
        <v>111786</v>
      </c>
      <c r="F106" s="238">
        <f t="shared" si="15"/>
        <v>1.6517332072460771</v>
      </c>
    </row>
    <row r="107" spans="1:6" ht="20.25" customHeight="1" x14ac:dyDescent="0.3">
      <c r="A107" s="235">
        <v>3</v>
      </c>
      <c r="B107" s="236" t="s">
        <v>436</v>
      </c>
      <c r="C107" s="237">
        <v>61020</v>
      </c>
      <c r="D107" s="237">
        <v>202345</v>
      </c>
      <c r="E107" s="237">
        <f t="shared" si="14"/>
        <v>141325</v>
      </c>
      <c r="F107" s="238">
        <f t="shared" si="15"/>
        <v>2.3160439200262211</v>
      </c>
    </row>
    <row r="108" spans="1:6" ht="20.25" customHeight="1" x14ac:dyDescent="0.3">
      <c r="A108" s="235">
        <v>4</v>
      </c>
      <c r="B108" s="236" t="s">
        <v>437</v>
      </c>
      <c r="C108" s="237">
        <v>18538</v>
      </c>
      <c r="D108" s="237">
        <v>51617</v>
      </c>
      <c r="E108" s="237">
        <f t="shared" si="14"/>
        <v>33079</v>
      </c>
      <c r="F108" s="238">
        <f t="shared" si="15"/>
        <v>1.7843888229582479</v>
      </c>
    </row>
    <row r="109" spans="1:6" ht="20.25" customHeight="1" x14ac:dyDescent="0.3">
      <c r="A109" s="235">
        <v>5</v>
      </c>
      <c r="B109" s="236" t="s">
        <v>373</v>
      </c>
      <c r="C109" s="239">
        <v>8</v>
      </c>
      <c r="D109" s="239">
        <v>11</v>
      </c>
      <c r="E109" s="239">
        <f t="shared" si="14"/>
        <v>3</v>
      </c>
      <c r="F109" s="238">
        <f t="shared" si="15"/>
        <v>0.375</v>
      </c>
    </row>
    <row r="110" spans="1:6" ht="20.25" customHeight="1" x14ac:dyDescent="0.3">
      <c r="A110" s="235">
        <v>6</v>
      </c>
      <c r="B110" s="236" t="s">
        <v>372</v>
      </c>
      <c r="C110" s="239">
        <v>36</v>
      </c>
      <c r="D110" s="239">
        <v>88</v>
      </c>
      <c r="E110" s="239">
        <f t="shared" si="14"/>
        <v>52</v>
      </c>
      <c r="F110" s="238">
        <f t="shared" si="15"/>
        <v>1.4444444444444444</v>
      </c>
    </row>
    <row r="111" spans="1:6" ht="20.25" customHeight="1" x14ac:dyDescent="0.3">
      <c r="A111" s="235">
        <v>7</v>
      </c>
      <c r="B111" s="236" t="s">
        <v>438</v>
      </c>
      <c r="C111" s="239">
        <v>24</v>
      </c>
      <c r="D111" s="239">
        <v>72</v>
      </c>
      <c r="E111" s="239">
        <f t="shared" si="14"/>
        <v>48</v>
      </c>
      <c r="F111" s="238">
        <f t="shared" si="15"/>
        <v>2</v>
      </c>
    </row>
    <row r="112" spans="1:6" ht="20.25" customHeight="1" x14ac:dyDescent="0.3">
      <c r="A112" s="235">
        <v>8</v>
      </c>
      <c r="B112" s="236" t="s">
        <v>439</v>
      </c>
      <c r="C112" s="239">
        <v>19</v>
      </c>
      <c r="D112" s="239">
        <v>36</v>
      </c>
      <c r="E112" s="239">
        <f t="shared" si="14"/>
        <v>17</v>
      </c>
      <c r="F112" s="238">
        <f t="shared" si="15"/>
        <v>0.89473684210526316</v>
      </c>
    </row>
    <row r="113" spans="1:6" ht="20.25" customHeight="1" x14ac:dyDescent="0.3">
      <c r="A113" s="235">
        <v>9</v>
      </c>
      <c r="B113" s="236" t="s">
        <v>440</v>
      </c>
      <c r="C113" s="239">
        <v>8</v>
      </c>
      <c r="D113" s="239">
        <v>11</v>
      </c>
      <c r="E113" s="239">
        <f t="shared" si="14"/>
        <v>3</v>
      </c>
      <c r="F113" s="238">
        <f t="shared" si="15"/>
        <v>0.375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218888</v>
      </c>
      <c r="D114" s="243">
        <f>+D105+D107</f>
        <v>627491</v>
      </c>
      <c r="E114" s="243">
        <f t="shared" si="14"/>
        <v>408603</v>
      </c>
      <c r="F114" s="244">
        <f t="shared" si="15"/>
        <v>1.8667217937940865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86216</v>
      </c>
      <c r="D115" s="243">
        <f>+D106+D108</f>
        <v>231081</v>
      </c>
      <c r="E115" s="243">
        <f t="shared" si="14"/>
        <v>144865</v>
      </c>
      <c r="F115" s="244">
        <f t="shared" si="15"/>
        <v>1.6802565649067458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740082</v>
      </c>
      <c r="D118" s="237">
        <v>980915</v>
      </c>
      <c r="E118" s="237">
        <f t="shared" ref="E118:E128" si="16">D118-C118</f>
        <v>240833</v>
      </c>
      <c r="F118" s="238">
        <f t="shared" ref="F118:F128" si="17">IF(C118=0,0,E118/C118)</f>
        <v>0.32541394061739104</v>
      </c>
    </row>
    <row r="119" spans="1:6" ht="20.25" customHeight="1" x14ac:dyDescent="0.3">
      <c r="A119" s="235">
        <v>2</v>
      </c>
      <c r="B119" s="236" t="s">
        <v>435</v>
      </c>
      <c r="C119" s="237">
        <v>311410</v>
      </c>
      <c r="D119" s="237">
        <v>400954</v>
      </c>
      <c r="E119" s="237">
        <f t="shared" si="16"/>
        <v>89544</v>
      </c>
      <c r="F119" s="238">
        <f t="shared" si="17"/>
        <v>0.28754375260910053</v>
      </c>
    </row>
    <row r="120" spans="1:6" ht="20.25" customHeight="1" x14ac:dyDescent="0.3">
      <c r="A120" s="235">
        <v>3</v>
      </c>
      <c r="B120" s="236" t="s">
        <v>436</v>
      </c>
      <c r="C120" s="237">
        <v>512913</v>
      </c>
      <c r="D120" s="237">
        <v>660949</v>
      </c>
      <c r="E120" s="237">
        <f t="shared" si="16"/>
        <v>148036</v>
      </c>
      <c r="F120" s="238">
        <f t="shared" si="17"/>
        <v>0.28861814771705924</v>
      </c>
    </row>
    <row r="121" spans="1:6" ht="20.25" customHeight="1" x14ac:dyDescent="0.3">
      <c r="A121" s="235">
        <v>4</v>
      </c>
      <c r="B121" s="236" t="s">
        <v>437</v>
      </c>
      <c r="C121" s="237">
        <v>161998</v>
      </c>
      <c r="D121" s="237">
        <v>199805</v>
      </c>
      <c r="E121" s="237">
        <f t="shared" si="16"/>
        <v>37807</v>
      </c>
      <c r="F121" s="238">
        <f t="shared" si="17"/>
        <v>0.23337942443733872</v>
      </c>
    </row>
    <row r="122" spans="1:6" ht="20.25" customHeight="1" x14ac:dyDescent="0.3">
      <c r="A122" s="235">
        <v>5</v>
      </c>
      <c r="B122" s="236" t="s">
        <v>373</v>
      </c>
      <c r="C122" s="239">
        <v>34</v>
      </c>
      <c r="D122" s="239">
        <v>40</v>
      </c>
      <c r="E122" s="239">
        <f t="shared" si="16"/>
        <v>6</v>
      </c>
      <c r="F122" s="238">
        <f t="shared" si="17"/>
        <v>0.17647058823529413</v>
      </c>
    </row>
    <row r="123" spans="1:6" ht="20.25" customHeight="1" x14ac:dyDescent="0.3">
      <c r="A123" s="235">
        <v>6</v>
      </c>
      <c r="B123" s="236" t="s">
        <v>372</v>
      </c>
      <c r="C123" s="239">
        <v>145</v>
      </c>
      <c r="D123" s="239">
        <v>180</v>
      </c>
      <c r="E123" s="239">
        <f t="shared" si="16"/>
        <v>35</v>
      </c>
      <c r="F123" s="238">
        <f t="shared" si="17"/>
        <v>0.2413793103448276</v>
      </c>
    </row>
    <row r="124" spans="1:6" ht="20.25" customHeight="1" x14ac:dyDescent="0.3">
      <c r="A124" s="235">
        <v>7</v>
      </c>
      <c r="B124" s="236" t="s">
        <v>438</v>
      </c>
      <c r="C124" s="239">
        <v>269</v>
      </c>
      <c r="D124" s="239">
        <v>257</v>
      </c>
      <c r="E124" s="239">
        <f t="shared" si="16"/>
        <v>-12</v>
      </c>
      <c r="F124" s="238">
        <f t="shared" si="17"/>
        <v>-4.4609665427509292E-2</v>
      </c>
    </row>
    <row r="125" spans="1:6" ht="20.25" customHeight="1" x14ac:dyDescent="0.3">
      <c r="A125" s="235">
        <v>8</v>
      </c>
      <c r="B125" s="236" t="s">
        <v>439</v>
      </c>
      <c r="C125" s="239">
        <v>70</v>
      </c>
      <c r="D125" s="239">
        <v>76</v>
      </c>
      <c r="E125" s="239">
        <f t="shared" si="16"/>
        <v>6</v>
      </c>
      <c r="F125" s="238">
        <f t="shared" si="17"/>
        <v>8.5714285714285715E-2</v>
      </c>
    </row>
    <row r="126" spans="1:6" ht="20.25" customHeight="1" x14ac:dyDescent="0.3">
      <c r="A126" s="235">
        <v>9</v>
      </c>
      <c r="B126" s="236" t="s">
        <v>440</v>
      </c>
      <c r="C126" s="239">
        <v>25</v>
      </c>
      <c r="D126" s="239">
        <v>31</v>
      </c>
      <c r="E126" s="239">
        <f t="shared" si="16"/>
        <v>6</v>
      </c>
      <c r="F126" s="238">
        <f t="shared" si="17"/>
        <v>0.24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1252995</v>
      </c>
      <c r="D127" s="243">
        <f>+D118+D120</f>
        <v>1641864</v>
      </c>
      <c r="E127" s="243">
        <f t="shared" si="16"/>
        <v>388869</v>
      </c>
      <c r="F127" s="244">
        <f t="shared" si="17"/>
        <v>0.31035159757221698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473408</v>
      </c>
      <c r="D128" s="243">
        <f>+D119+D121</f>
        <v>600759</v>
      </c>
      <c r="E128" s="243">
        <f t="shared" si="16"/>
        <v>127351</v>
      </c>
      <c r="F128" s="244">
        <f t="shared" si="17"/>
        <v>0.26900897323239154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1640833</v>
      </c>
      <c r="D183" s="237">
        <v>10092149</v>
      </c>
      <c r="E183" s="237">
        <f t="shared" ref="E183:E193" si="26">D183-C183</f>
        <v>8451316</v>
      </c>
      <c r="F183" s="238">
        <f t="shared" ref="F183:F193" si="27">IF(C183=0,0,E183/C183)</f>
        <v>5.1506253226257641</v>
      </c>
    </row>
    <row r="184" spans="1:6" ht="20.25" customHeight="1" x14ac:dyDescent="0.3">
      <c r="A184" s="235">
        <v>2</v>
      </c>
      <c r="B184" s="236" t="s">
        <v>435</v>
      </c>
      <c r="C184" s="237">
        <v>703476</v>
      </c>
      <c r="D184" s="237">
        <v>3841599</v>
      </c>
      <c r="E184" s="237">
        <f t="shared" si="26"/>
        <v>3138123</v>
      </c>
      <c r="F184" s="238">
        <f t="shared" si="27"/>
        <v>4.4608813946744448</v>
      </c>
    </row>
    <row r="185" spans="1:6" ht="20.25" customHeight="1" x14ac:dyDescent="0.3">
      <c r="A185" s="235">
        <v>3</v>
      </c>
      <c r="B185" s="236" t="s">
        <v>436</v>
      </c>
      <c r="C185" s="237">
        <v>649282</v>
      </c>
      <c r="D185" s="237">
        <v>7214655</v>
      </c>
      <c r="E185" s="237">
        <f t="shared" si="26"/>
        <v>6565373</v>
      </c>
      <c r="F185" s="238">
        <f t="shared" si="27"/>
        <v>10.111743433515791</v>
      </c>
    </row>
    <row r="186" spans="1:6" ht="20.25" customHeight="1" x14ac:dyDescent="0.3">
      <c r="A186" s="235">
        <v>4</v>
      </c>
      <c r="B186" s="236" t="s">
        <v>437</v>
      </c>
      <c r="C186" s="237">
        <v>197252</v>
      </c>
      <c r="D186" s="237">
        <v>2063392</v>
      </c>
      <c r="E186" s="237">
        <f t="shared" si="26"/>
        <v>1866140</v>
      </c>
      <c r="F186" s="238">
        <f t="shared" si="27"/>
        <v>9.4606898789365879</v>
      </c>
    </row>
    <row r="187" spans="1:6" ht="20.25" customHeight="1" x14ac:dyDescent="0.3">
      <c r="A187" s="235">
        <v>5</v>
      </c>
      <c r="B187" s="236" t="s">
        <v>373</v>
      </c>
      <c r="C187" s="239">
        <v>72</v>
      </c>
      <c r="D187" s="239">
        <v>401</v>
      </c>
      <c r="E187" s="239">
        <f t="shared" si="26"/>
        <v>329</v>
      </c>
      <c r="F187" s="238">
        <f t="shared" si="27"/>
        <v>4.5694444444444446</v>
      </c>
    </row>
    <row r="188" spans="1:6" ht="20.25" customHeight="1" x14ac:dyDescent="0.3">
      <c r="A188" s="235">
        <v>6</v>
      </c>
      <c r="B188" s="236" t="s">
        <v>372</v>
      </c>
      <c r="C188" s="239">
        <v>395</v>
      </c>
      <c r="D188" s="239">
        <v>2167</v>
      </c>
      <c r="E188" s="239">
        <f t="shared" si="26"/>
        <v>1772</v>
      </c>
      <c r="F188" s="238">
        <f t="shared" si="27"/>
        <v>4.4860759493670885</v>
      </c>
    </row>
    <row r="189" spans="1:6" ht="20.25" customHeight="1" x14ac:dyDescent="0.3">
      <c r="A189" s="235">
        <v>7</v>
      </c>
      <c r="B189" s="236" t="s">
        <v>438</v>
      </c>
      <c r="C189" s="239">
        <v>331</v>
      </c>
      <c r="D189" s="239">
        <v>2702</v>
      </c>
      <c r="E189" s="239">
        <f t="shared" si="26"/>
        <v>2371</v>
      </c>
      <c r="F189" s="238">
        <f t="shared" si="27"/>
        <v>7.1631419939577041</v>
      </c>
    </row>
    <row r="190" spans="1:6" ht="20.25" customHeight="1" x14ac:dyDescent="0.3">
      <c r="A190" s="235">
        <v>8</v>
      </c>
      <c r="B190" s="236" t="s">
        <v>439</v>
      </c>
      <c r="C190" s="239">
        <v>113</v>
      </c>
      <c r="D190" s="239">
        <v>744</v>
      </c>
      <c r="E190" s="239">
        <f t="shared" si="26"/>
        <v>631</v>
      </c>
      <c r="F190" s="238">
        <f t="shared" si="27"/>
        <v>5.5840707964601766</v>
      </c>
    </row>
    <row r="191" spans="1:6" ht="20.25" customHeight="1" x14ac:dyDescent="0.3">
      <c r="A191" s="235">
        <v>9</v>
      </c>
      <c r="B191" s="236" t="s">
        <v>440</v>
      </c>
      <c r="C191" s="239">
        <v>57</v>
      </c>
      <c r="D191" s="239">
        <v>329</v>
      </c>
      <c r="E191" s="239">
        <f t="shared" si="26"/>
        <v>272</v>
      </c>
      <c r="F191" s="238">
        <f t="shared" si="27"/>
        <v>4.7719298245614032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2290115</v>
      </c>
      <c r="D192" s="243">
        <f>+D183+D185</f>
        <v>17306804</v>
      </c>
      <c r="E192" s="243">
        <f t="shared" si="26"/>
        <v>15016689</v>
      </c>
      <c r="F192" s="244">
        <f t="shared" si="27"/>
        <v>6.5571768229979721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900728</v>
      </c>
      <c r="D193" s="243">
        <f>+D184+D186</f>
        <v>5904991</v>
      </c>
      <c r="E193" s="243">
        <f t="shared" si="26"/>
        <v>5004263</v>
      </c>
      <c r="F193" s="244">
        <f t="shared" si="27"/>
        <v>5.5557981987903116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17136048</v>
      </c>
      <c r="D198" s="243">
        <f t="shared" si="28"/>
        <v>22714680</v>
      </c>
      <c r="E198" s="243">
        <f t="shared" ref="E198:E208" si="29">D198-C198</f>
        <v>5578632</v>
      </c>
      <c r="F198" s="251">
        <f t="shared" ref="F198:F208" si="30">IF(C198=0,0,E198/C198)</f>
        <v>0.32554950826468271</v>
      </c>
    </row>
    <row r="199" spans="1:9" ht="20.25" customHeight="1" x14ac:dyDescent="0.3">
      <c r="A199" s="249"/>
      <c r="B199" s="250" t="s">
        <v>461</v>
      </c>
      <c r="C199" s="243">
        <f t="shared" si="28"/>
        <v>7108600</v>
      </c>
      <c r="D199" s="243">
        <f t="shared" si="28"/>
        <v>8517337</v>
      </c>
      <c r="E199" s="243">
        <f t="shared" si="29"/>
        <v>1408737</v>
      </c>
      <c r="F199" s="251">
        <f t="shared" si="30"/>
        <v>0.19817362068480432</v>
      </c>
    </row>
    <row r="200" spans="1:9" ht="20.25" customHeight="1" x14ac:dyDescent="0.3">
      <c r="A200" s="249"/>
      <c r="B200" s="250" t="s">
        <v>462</v>
      </c>
      <c r="C200" s="243">
        <f t="shared" si="28"/>
        <v>11910936</v>
      </c>
      <c r="D200" s="243">
        <f t="shared" si="28"/>
        <v>16629348</v>
      </c>
      <c r="E200" s="243">
        <f t="shared" si="29"/>
        <v>4718412</v>
      </c>
      <c r="F200" s="251">
        <f t="shared" si="30"/>
        <v>0.39614115968719837</v>
      </c>
    </row>
    <row r="201" spans="1:9" ht="20.25" customHeight="1" x14ac:dyDescent="0.3">
      <c r="A201" s="249"/>
      <c r="B201" s="250" t="s">
        <v>463</v>
      </c>
      <c r="C201" s="243">
        <f t="shared" si="28"/>
        <v>3734870</v>
      </c>
      <c r="D201" s="243">
        <f t="shared" si="28"/>
        <v>4825098</v>
      </c>
      <c r="E201" s="243">
        <f t="shared" si="29"/>
        <v>1090228</v>
      </c>
      <c r="F201" s="251">
        <f t="shared" si="30"/>
        <v>0.29190520687467036</v>
      </c>
    </row>
    <row r="202" spans="1:9" ht="20.25" customHeight="1" x14ac:dyDescent="0.3">
      <c r="A202" s="249"/>
      <c r="B202" s="250" t="s">
        <v>464</v>
      </c>
      <c r="C202" s="252">
        <f t="shared" si="28"/>
        <v>749</v>
      </c>
      <c r="D202" s="252">
        <f t="shared" si="28"/>
        <v>896</v>
      </c>
      <c r="E202" s="252">
        <f t="shared" si="29"/>
        <v>147</v>
      </c>
      <c r="F202" s="251">
        <f t="shared" si="30"/>
        <v>0.19626168224299065</v>
      </c>
    </row>
    <row r="203" spans="1:9" ht="20.25" customHeight="1" x14ac:dyDescent="0.3">
      <c r="A203" s="249"/>
      <c r="B203" s="250" t="s">
        <v>465</v>
      </c>
      <c r="C203" s="252">
        <f t="shared" si="28"/>
        <v>3628</v>
      </c>
      <c r="D203" s="252">
        <f t="shared" si="28"/>
        <v>4795</v>
      </c>
      <c r="E203" s="252">
        <f t="shared" si="29"/>
        <v>1167</v>
      </c>
      <c r="F203" s="251">
        <f t="shared" si="30"/>
        <v>0.32166482910694599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5515</v>
      </c>
      <c r="D204" s="252">
        <f t="shared" si="28"/>
        <v>6356</v>
      </c>
      <c r="E204" s="252">
        <f t="shared" si="29"/>
        <v>841</v>
      </c>
      <c r="F204" s="251">
        <f t="shared" si="30"/>
        <v>0.15249320036264732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1466</v>
      </c>
      <c r="D205" s="252">
        <f t="shared" si="28"/>
        <v>1856</v>
      </c>
      <c r="E205" s="252">
        <f t="shared" si="29"/>
        <v>390</v>
      </c>
      <c r="F205" s="251">
        <f t="shared" si="30"/>
        <v>0.26603001364256479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605</v>
      </c>
      <c r="D206" s="252">
        <f t="shared" si="28"/>
        <v>733</v>
      </c>
      <c r="E206" s="252">
        <f t="shared" si="29"/>
        <v>128</v>
      </c>
      <c r="F206" s="251">
        <f t="shared" si="30"/>
        <v>0.21157024793388429</v>
      </c>
    </row>
    <row r="207" spans="1:9" ht="20.25" customHeight="1" x14ac:dyDescent="0.3">
      <c r="A207" s="249"/>
      <c r="B207" s="242" t="s">
        <v>469</v>
      </c>
      <c r="C207" s="243">
        <f>+C198+C200</f>
        <v>29046984</v>
      </c>
      <c r="D207" s="243">
        <f>+D198+D200</f>
        <v>39344028</v>
      </c>
      <c r="E207" s="243">
        <f t="shared" si="29"/>
        <v>10297044</v>
      </c>
      <c r="F207" s="251">
        <f t="shared" si="30"/>
        <v>0.35449615009943891</v>
      </c>
    </row>
    <row r="208" spans="1:9" ht="20.25" customHeight="1" x14ac:dyDescent="0.3">
      <c r="A208" s="249"/>
      <c r="B208" s="242" t="s">
        <v>470</v>
      </c>
      <c r="C208" s="243">
        <f>+C199+C201</f>
        <v>10843470</v>
      </c>
      <c r="D208" s="243">
        <f>+D199+D201</f>
        <v>13342435</v>
      </c>
      <c r="E208" s="243">
        <f t="shared" si="29"/>
        <v>2498965</v>
      </c>
      <c r="F208" s="251">
        <f t="shared" si="30"/>
        <v>0.23045805447887069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FILING&amp;RMIDSTATE MEDICAL CENTER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7250769</v>
      </c>
      <c r="D26" s="237">
        <v>8892413</v>
      </c>
      <c r="E26" s="237">
        <f t="shared" ref="E26:E36" si="2">D26-C26</f>
        <v>1641644</v>
      </c>
      <c r="F26" s="238">
        <f t="shared" ref="F26:F36" si="3">IF(C26=0,0,E26/C26)</f>
        <v>0.22640964013610143</v>
      </c>
    </row>
    <row r="27" spans="1:6" ht="20.25" customHeight="1" x14ac:dyDescent="0.3">
      <c r="A27" s="235">
        <v>2</v>
      </c>
      <c r="B27" s="236" t="s">
        <v>435</v>
      </c>
      <c r="C27" s="237">
        <v>2809581</v>
      </c>
      <c r="D27" s="237">
        <v>3110773</v>
      </c>
      <c r="E27" s="237">
        <f t="shared" si="2"/>
        <v>301192</v>
      </c>
      <c r="F27" s="238">
        <f t="shared" si="3"/>
        <v>0.1072017500118345</v>
      </c>
    </row>
    <row r="28" spans="1:6" ht="20.25" customHeight="1" x14ac:dyDescent="0.3">
      <c r="A28" s="235">
        <v>3</v>
      </c>
      <c r="B28" s="236" t="s">
        <v>436</v>
      </c>
      <c r="C28" s="237">
        <v>15982975</v>
      </c>
      <c r="D28" s="237">
        <v>17855247</v>
      </c>
      <c r="E28" s="237">
        <f t="shared" si="2"/>
        <v>1872272</v>
      </c>
      <c r="F28" s="238">
        <f t="shared" si="3"/>
        <v>0.11714164603273171</v>
      </c>
    </row>
    <row r="29" spans="1:6" ht="20.25" customHeight="1" x14ac:dyDescent="0.3">
      <c r="A29" s="235">
        <v>4</v>
      </c>
      <c r="B29" s="236" t="s">
        <v>437</v>
      </c>
      <c r="C29" s="237">
        <v>4942088</v>
      </c>
      <c r="D29" s="237">
        <v>5530060</v>
      </c>
      <c r="E29" s="237">
        <f t="shared" si="2"/>
        <v>587972</v>
      </c>
      <c r="F29" s="238">
        <f t="shared" si="3"/>
        <v>0.11897238576083631</v>
      </c>
    </row>
    <row r="30" spans="1:6" ht="20.25" customHeight="1" x14ac:dyDescent="0.3">
      <c r="A30" s="235">
        <v>5</v>
      </c>
      <c r="B30" s="236" t="s">
        <v>373</v>
      </c>
      <c r="C30" s="239">
        <v>828</v>
      </c>
      <c r="D30" s="239">
        <v>944</v>
      </c>
      <c r="E30" s="239">
        <f t="shared" si="2"/>
        <v>116</v>
      </c>
      <c r="F30" s="238">
        <f t="shared" si="3"/>
        <v>0.14009661835748793</v>
      </c>
    </row>
    <row r="31" spans="1:6" ht="20.25" customHeight="1" x14ac:dyDescent="0.3">
      <c r="A31" s="235">
        <v>6</v>
      </c>
      <c r="B31" s="236" t="s">
        <v>372</v>
      </c>
      <c r="C31" s="239">
        <v>2241</v>
      </c>
      <c r="D31" s="239">
        <v>2595</v>
      </c>
      <c r="E31" s="239">
        <f t="shared" si="2"/>
        <v>354</v>
      </c>
      <c r="F31" s="238">
        <f t="shared" si="3"/>
        <v>0.15796519410977242</v>
      </c>
    </row>
    <row r="32" spans="1:6" ht="20.25" customHeight="1" x14ac:dyDescent="0.3">
      <c r="A32" s="235">
        <v>7</v>
      </c>
      <c r="B32" s="236" t="s">
        <v>438</v>
      </c>
      <c r="C32" s="239">
        <v>6659</v>
      </c>
      <c r="D32" s="239">
        <v>6559</v>
      </c>
      <c r="E32" s="239">
        <f t="shared" si="2"/>
        <v>-100</v>
      </c>
      <c r="F32" s="238">
        <f t="shared" si="3"/>
        <v>-1.501726986033939E-2</v>
      </c>
    </row>
    <row r="33" spans="1:6" ht="20.25" customHeight="1" x14ac:dyDescent="0.3">
      <c r="A33" s="235">
        <v>8</v>
      </c>
      <c r="B33" s="236" t="s">
        <v>439</v>
      </c>
      <c r="C33" s="239">
        <v>14258</v>
      </c>
      <c r="D33" s="239">
        <v>16621</v>
      </c>
      <c r="E33" s="239">
        <f t="shared" si="2"/>
        <v>2363</v>
      </c>
      <c r="F33" s="238">
        <f t="shared" si="3"/>
        <v>0.16573151914714546</v>
      </c>
    </row>
    <row r="34" spans="1:6" ht="20.25" customHeight="1" x14ac:dyDescent="0.3">
      <c r="A34" s="235">
        <v>9</v>
      </c>
      <c r="B34" s="236" t="s">
        <v>440</v>
      </c>
      <c r="C34" s="239">
        <v>134</v>
      </c>
      <c r="D34" s="239">
        <v>165</v>
      </c>
      <c r="E34" s="239">
        <f t="shared" si="2"/>
        <v>31</v>
      </c>
      <c r="F34" s="238">
        <f t="shared" si="3"/>
        <v>0.23134328358208955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23233744</v>
      </c>
      <c r="D35" s="243">
        <f>+D26+D28</f>
        <v>26747660</v>
      </c>
      <c r="E35" s="243">
        <f t="shared" si="2"/>
        <v>3513916</v>
      </c>
      <c r="F35" s="244">
        <f t="shared" si="3"/>
        <v>0.15124191778991797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7751669</v>
      </c>
      <c r="D36" s="243">
        <f>+D27+D29</f>
        <v>8640833</v>
      </c>
      <c r="E36" s="243">
        <f t="shared" si="2"/>
        <v>889164</v>
      </c>
      <c r="F36" s="244">
        <f t="shared" si="3"/>
        <v>0.11470613618821959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435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436</v>
      </c>
      <c r="C52" s="237">
        <v>0</v>
      </c>
      <c r="D52" s="237">
        <v>0</v>
      </c>
      <c r="E52" s="237">
        <f t="shared" si="6"/>
        <v>0</v>
      </c>
      <c r="F52" s="238">
        <f t="shared" si="7"/>
        <v>0</v>
      </c>
    </row>
    <row r="53" spans="1:6" ht="20.25" customHeight="1" x14ac:dyDescent="0.3">
      <c r="A53" s="235">
        <v>4</v>
      </c>
      <c r="B53" s="236" t="s">
        <v>437</v>
      </c>
      <c r="C53" s="237">
        <v>0</v>
      </c>
      <c r="D53" s="237">
        <v>0</v>
      </c>
      <c r="E53" s="237">
        <f t="shared" si="6"/>
        <v>0</v>
      </c>
      <c r="F53" s="238">
        <f t="shared" si="7"/>
        <v>0</v>
      </c>
    </row>
    <row r="54" spans="1:6" ht="20.25" customHeight="1" x14ac:dyDescent="0.3">
      <c r="A54" s="235">
        <v>5</v>
      </c>
      <c r="B54" s="236" t="s">
        <v>373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372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438</v>
      </c>
      <c r="C56" s="239">
        <v>0</v>
      </c>
      <c r="D56" s="239">
        <v>0</v>
      </c>
      <c r="E56" s="239">
        <f t="shared" si="6"/>
        <v>0</v>
      </c>
      <c r="F56" s="238">
        <f t="shared" si="7"/>
        <v>0</v>
      </c>
    </row>
    <row r="57" spans="1:6" ht="20.25" customHeight="1" x14ac:dyDescent="0.3">
      <c r="A57" s="235">
        <v>8</v>
      </c>
      <c r="B57" s="236" t="s">
        <v>439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440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0</v>
      </c>
      <c r="D59" s="243">
        <f>+D50+D52</f>
        <v>0</v>
      </c>
      <c r="E59" s="243">
        <f t="shared" si="6"/>
        <v>0</v>
      </c>
      <c r="F59" s="244">
        <f t="shared" si="7"/>
        <v>0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0</v>
      </c>
      <c r="D60" s="243">
        <f>+D51+D53</f>
        <v>0</v>
      </c>
      <c r="E60" s="243">
        <f t="shared" si="6"/>
        <v>0</v>
      </c>
      <c r="F60" s="244">
        <f t="shared" si="7"/>
        <v>0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668068</v>
      </c>
      <c r="D86" s="237">
        <v>754437</v>
      </c>
      <c r="E86" s="237">
        <f t="shared" ref="E86:E96" si="12">D86-C86</f>
        <v>86369</v>
      </c>
      <c r="F86" s="238">
        <f t="shared" ref="F86:F96" si="13">IF(C86=0,0,E86/C86)</f>
        <v>0.12928174976200027</v>
      </c>
    </row>
    <row r="87" spans="1:6" ht="20.25" customHeight="1" x14ac:dyDescent="0.3">
      <c r="A87" s="235">
        <v>2</v>
      </c>
      <c r="B87" s="236" t="s">
        <v>435</v>
      </c>
      <c r="C87" s="237">
        <v>282470</v>
      </c>
      <c r="D87" s="237">
        <v>289109</v>
      </c>
      <c r="E87" s="237">
        <f t="shared" si="12"/>
        <v>6639</v>
      </c>
      <c r="F87" s="238">
        <f t="shared" si="13"/>
        <v>2.3503380890006018E-2</v>
      </c>
    </row>
    <row r="88" spans="1:6" ht="20.25" customHeight="1" x14ac:dyDescent="0.3">
      <c r="A88" s="235">
        <v>3</v>
      </c>
      <c r="B88" s="236" t="s">
        <v>436</v>
      </c>
      <c r="C88" s="237">
        <v>979590</v>
      </c>
      <c r="D88" s="237">
        <v>1219732</v>
      </c>
      <c r="E88" s="237">
        <f t="shared" si="12"/>
        <v>240142</v>
      </c>
      <c r="F88" s="238">
        <f t="shared" si="13"/>
        <v>0.24514541798099204</v>
      </c>
    </row>
    <row r="89" spans="1:6" ht="20.25" customHeight="1" x14ac:dyDescent="0.3">
      <c r="A89" s="235">
        <v>4</v>
      </c>
      <c r="B89" s="236" t="s">
        <v>437</v>
      </c>
      <c r="C89" s="237">
        <v>244604</v>
      </c>
      <c r="D89" s="237">
        <v>402756</v>
      </c>
      <c r="E89" s="237">
        <f t="shared" si="12"/>
        <v>158152</v>
      </c>
      <c r="F89" s="238">
        <f t="shared" si="13"/>
        <v>0.64656342496443231</v>
      </c>
    </row>
    <row r="90" spans="1:6" ht="20.25" customHeight="1" x14ac:dyDescent="0.3">
      <c r="A90" s="235">
        <v>5</v>
      </c>
      <c r="B90" s="236" t="s">
        <v>373</v>
      </c>
      <c r="C90" s="239">
        <v>85</v>
      </c>
      <c r="D90" s="239">
        <v>93</v>
      </c>
      <c r="E90" s="239">
        <f t="shared" si="12"/>
        <v>8</v>
      </c>
      <c r="F90" s="238">
        <f t="shared" si="13"/>
        <v>9.4117647058823528E-2</v>
      </c>
    </row>
    <row r="91" spans="1:6" ht="20.25" customHeight="1" x14ac:dyDescent="0.3">
      <c r="A91" s="235">
        <v>6</v>
      </c>
      <c r="B91" s="236" t="s">
        <v>372</v>
      </c>
      <c r="C91" s="239">
        <v>220</v>
      </c>
      <c r="D91" s="239">
        <v>249</v>
      </c>
      <c r="E91" s="239">
        <f t="shared" si="12"/>
        <v>29</v>
      </c>
      <c r="F91" s="238">
        <f t="shared" si="13"/>
        <v>0.13181818181818181</v>
      </c>
    </row>
    <row r="92" spans="1:6" ht="20.25" customHeight="1" x14ac:dyDescent="0.3">
      <c r="A92" s="235">
        <v>7</v>
      </c>
      <c r="B92" s="236" t="s">
        <v>438</v>
      </c>
      <c r="C92" s="239">
        <v>314</v>
      </c>
      <c r="D92" s="239">
        <v>404</v>
      </c>
      <c r="E92" s="239">
        <f t="shared" si="12"/>
        <v>90</v>
      </c>
      <c r="F92" s="238">
        <f t="shared" si="13"/>
        <v>0.28662420382165604</v>
      </c>
    </row>
    <row r="93" spans="1:6" ht="20.25" customHeight="1" x14ac:dyDescent="0.3">
      <c r="A93" s="235">
        <v>8</v>
      </c>
      <c r="B93" s="236" t="s">
        <v>439</v>
      </c>
      <c r="C93" s="239">
        <v>893</v>
      </c>
      <c r="D93" s="239">
        <v>1204</v>
      </c>
      <c r="E93" s="239">
        <f t="shared" si="12"/>
        <v>311</v>
      </c>
      <c r="F93" s="238">
        <f t="shared" si="13"/>
        <v>0.34826427771556551</v>
      </c>
    </row>
    <row r="94" spans="1:6" ht="20.25" customHeight="1" x14ac:dyDescent="0.3">
      <c r="A94" s="235">
        <v>9</v>
      </c>
      <c r="B94" s="236" t="s">
        <v>440</v>
      </c>
      <c r="C94" s="239">
        <v>13</v>
      </c>
      <c r="D94" s="239">
        <v>14</v>
      </c>
      <c r="E94" s="239">
        <f t="shared" si="12"/>
        <v>1</v>
      </c>
      <c r="F94" s="238">
        <f t="shared" si="13"/>
        <v>7.6923076923076927E-2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1647658</v>
      </c>
      <c r="D95" s="243">
        <f>+D86+D88</f>
        <v>1974169</v>
      </c>
      <c r="E95" s="243">
        <f t="shared" si="12"/>
        <v>326511</v>
      </c>
      <c r="F95" s="244">
        <f t="shared" si="13"/>
        <v>0.19816673120271319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527074</v>
      </c>
      <c r="D96" s="243">
        <f>+D87+D89</f>
        <v>691865</v>
      </c>
      <c r="E96" s="243">
        <f t="shared" si="12"/>
        <v>164791</v>
      </c>
      <c r="F96" s="244">
        <f t="shared" si="13"/>
        <v>0.31265249281884516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573705</v>
      </c>
      <c r="D98" s="237">
        <v>971672</v>
      </c>
      <c r="E98" s="237">
        <f t="shared" ref="E98:E108" si="14">D98-C98</f>
        <v>397967</v>
      </c>
      <c r="F98" s="238">
        <f t="shared" ref="F98:F108" si="15">IF(C98=0,0,E98/C98)</f>
        <v>0.69367880705240503</v>
      </c>
    </row>
    <row r="99" spans="1:7" ht="20.25" customHeight="1" x14ac:dyDescent="0.3">
      <c r="A99" s="235">
        <v>2</v>
      </c>
      <c r="B99" s="236" t="s">
        <v>435</v>
      </c>
      <c r="C99" s="237">
        <v>236027</v>
      </c>
      <c r="D99" s="237">
        <v>335552</v>
      </c>
      <c r="E99" s="237">
        <f t="shared" si="14"/>
        <v>99525</v>
      </c>
      <c r="F99" s="238">
        <f t="shared" si="15"/>
        <v>0.42166786003296231</v>
      </c>
    </row>
    <row r="100" spans="1:7" ht="20.25" customHeight="1" x14ac:dyDescent="0.3">
      <c r="A100" s="235">
        <v>3</v>
      </c>
      <c r="B100" s="236" t="s">
        <v>436</v>
      </c>
      <c r="C100" s="237">
        <v>1309050</v>
      </c>
      <c r="D100" s="237">
        <v>1683075</v>
      </c>
      <c r="E100" s="237">
        <f t="shared" si="14"/>
        <v>374025</v>
      </c>
      <c r="F100" s="238">
        <f t="shared" si="15"/>
        <v>0.28572247049386962</v>
      </c>
    </row>
    <row r="101" spans="1:7" ht="20.25" customHeight="1" x14ac:dyDescent="0.3">
      <c r="A101" s="235">
        <v>4</v>
      </c>
      <c r="B101" s="236" t="s">
        <v>437</v>
      </c>
      <c r="C101" s="237">
        <v>326870</v>
      </c>
      <c r="D101" s="237">
        <v>555751</v>
      </c>
      <c r="E101" s="237">
        <f t="shared" si="14"/>
        <v>228881</v>
      </c>
      <c r="F101" s="238">
        <f t="shared" si="15"/>
        <v>0.70022027105577145</v>
      </c>
    </row>
    <row r="102" spans="1:7" ht="20.25" customHeight="1" x14ac:dyDescent="0.3">
      <c r="A102" s="235">
        <v>5</v>
      </c>
      <c r="B102" s="236" t="s">
        <v>373</v>
      </c>
      <c r="C102" s="239">
        <v>74</v>
      </c>
      <c r="D102" s="239">
        <v>104</v>
      </c>
      <c r="E102" s="239">
        <f t="shared" si="14"/>
        <v>30</v>
      </c>
      <c r="F102" s="238">
        <f t="shared" si="15"/>
        <v>0.40540540540540543</v>
      </c>
    </row>
    <row r="103" spans="1:7" ht="20.25" customHeight="1" x14ac:dyDescent="0.3">
      <c r="A103" s="235">
        <v>6</v>
      </c>
      <c r="B103" s="236" t="s">
        <v>372</v>
      </c>
      <c r="C103" s="239">
        <v>180</v>
      </c>
      <c r="D103" s="239">
        <v>289</v>
      </c>
      <c r="E103" s="239">
        <f t="shared" si="14"/>
        <v>109</v>
      </c>
      <c r="F103" s="238">
        <f t="shared" si="15"/>
        <v>0.60555555555555551</v>
      </c>
    </row>
    <row r="104" spans="1:7" ht="20.25" customHeight="1" x14ac:dyDescent="0.3">
      <c r="A104" s="235">
        <v>7</v>
      </c>
      <c r="B104" s="236" t="s">
        <v>438</v>
      </c>
      <c r="C104" s="239">
        <v>416</v>
      </c>
      <c r="D104" s="239">
        <v>551</v>
      </c>
      <c r="E104" s="239">
        <f t="shared" si="14"/>
        <v>135</v>
      </c>
      <c r="F104" s="238">
        <f t="shared" si="15"/>
        <v>0.32451923076923078</v>
      </c>
    </row>
    <row r="105" spans="1:7" ht="20.25" customHeight="1" x14ac:dyDescent="0.3">
      <c r="A105" s="235">
        <v>8</v>
      </c>
      <c r="B105" s="236" t="s">
        <v>439</v>
      </c>
      <c r="C105" s="239">
        <v>1447</v>
      </c>
      <c r="D105" s="239">
        <v>1828</v>
      </c>
      <c r="E105" s="239">
        <f t="shared" si="14"/>
        <v>381</v>
      </c>
      <c r="F105" s="238">
        <f t="shared" si="15"/>
        <v>0.26330338631651695</v>
      </c>
    </row>
    <row r="106" spans="1:7" ht="20.25" customHeight="1" x14ac:dyDescent="0.3">
      <c r="A106" s="235">
        <v>9</v>
      </c>
      <c r="B106" s="236" t="s">
        <v>440</v>
      </c>
      <c r="C106" s="239">
        <v>16</v>
      </c>
      <c r="D106" s="239">
        <v>23</v>
      </c>
      <c r="E106" s="239">
        <f t="shared" si="14"/>
        <v>7</v>
      </c>
      <c r="F106" s="238">
        <f t="shared" si="15"/>
        <v>0.4375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1882755</v>
      </c>
      <c r="D107" s="243">
        <f>+D98+D100</f>
        <v>2654747</v>
      </c>
      <c r="E107" s="243">
        <f t="shared" si="14"/>
        <v>771992</v>
      </c>
      <c r="F107" s="244">
        <f t="shared" si="15"/>
        <v>0.41003316947770685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562897</v>
      </c>
      <c r="D108" s="243">
        <f>+D99+D101</f>
        <v>891303</v>
      </c>
      <c r="E108" s="243">
        <f t="shared" si="14"/>
        <v>328406</v>
      </c>
      <c r="F108" s="244">
        <f t="shared" si="15"/>
        <v>0.58342112322503048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8492542</v>
      </c>
      <c r="D112" s="243">
        <f t="shared" si="16"/>
        <v>10618522</v>
      </c>
      <c r="E112" s="243">
        <f t="shared" ref="E112:E122" si="17">D112-C112</f>
        <v>2125980</v>
      </c>
      <c r="F112" s="244">
        <f t="shared" ref="F112:F122" si="18">IF(C112=0,0,E112/C112)</f>
        <v>0.25033494093994474</v>
      </c>
    </row>
    <row r="113" spans="1:6" ht="20.25" customHeight="1" x14ac:dyDescent="0.3">
      <c r="A113" s="249"/>
      <c r="B113" s="250" t="s">
        <v>461</v>
      </c>
      <c r="C113" s="243">
        <f t="shared" si="16"/>
        <v>3328078</v>
      </c>
      <c r="D113" s="243">
        <f t="shared" si="16"/>
        <v>3735434</v>
      </c>
      <c r="E113" s="243">
        <f t="shared" si="17"/>
        <v>407356</v>
      </c>
      <c r="F113" s="244">
        <f t="shared" si="18"/>
        <v>0.12239977548603127</v>
      </c>
    </row>
    <row r="114" spans="1:6" ht="20.25" customHeight="1" x14ac:dyDescent="0.3">
      <c r="A114" s="249"/>
      <c r="B114" s="250" t="s">
        <v>462</v>
      </c>
      <c r="C114" s="243">
        <f t="shared" si="16"/>
        <v>18271615</v>
      </c>
      <c r="D114" s="243">
        <f t="shared" si="16"/>
        <v>20758054</v>
      </c>
      <c r="E114" s="243">
        <f t="shared" si="17"/>
        <v>2486439</v>
      </c>
      <c r="F114" s="244">
        <f t="shared" si="18"/>
        <v>0.13608205952237939</v>
      </c>
    </row>
    <row r="115" spans="1:6" ht="20.25" customHeight="1" x14ac:dyDescent="0.3">
      <c r="A115" s="249"/>
      <c r="B115" s="250" t="s">
        <v>463</v>
      </c>
      <c r="C115" s="243">
        <f t="shared" si="16"/>
        <v>5513562</v>
      </c>
      <c r="D115" s="243">
        <f t="shared" si="16"/>
        <v>6488567</v>
      </c>
      <c r="E115" s="243">
        <f t="shared" si="17"/>
        <v>975005</v>
      </c>
      <c r="F115" s="244">
        <f t="shared" si="18"/>
        <v>0.17683758702631802</v>
      </c>
    </row>
    <row r="116" spans="1:6" ht="20.25" customHeight="1" x14ac:dyDescent="0.3">
      <c r="A116" s="249"/>
      <c r="B116" s="250" t="s">
        <v>464</v>
      </c>
      <c r="C116" s="252">
        <f t="shared" si="16"/>
        <v>987</v>
      </c>
      <c r="D116" s="252">
        <f t="shared" si="16"/>
        <v>1141</v>
      </c>
      <c r="E116" s="252">
        <f t="shared" si="17"/>
        <v>154</v>
      </c>
      <c r="F116" s="244">
        <f t="shared" si="18"/>
        <v>0.15602836879432624</v>
      </c>
    </row>
    <row r="117" spans="1:6" ht="20.25" customHeight="1" x14ac:dyDescent="0.3">
      <c r="A117" s="249"/>
      <c r="B117" s="250" t="s">
        <v>465</v>
      </c>
      <c r="C117" s="252">
        <f t="shared" si="16"/>
        <v>2641</v>
      </c>
      <c r="D117" s="252">
        <f t="shared" si="16"/>
        <v>3133</v>
      </c>
      <c r="E117" s="252">
        <f t="shared" si="17"/>
        <v>492</v>
      </c>
      <c r="F117" s="244">
        <f t="shared" si="18"/>
        <v>0.1862930708065127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7389</v>
      </c>
      <c r="D118" s="252">
        <f t="shared" si="16"/>
        <v>7514</v>
      </c>
      <c r="E118" s="252">
        <f t="shared" si="17"/>
        <v>125</v>
      </c>
      <c r="F118" s="244">
        <f t="shared" si="18"/>
        <v>1.6917038841521181E-2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16598</v>
      </c>
      <c r="D119" s="252">
        <f t="shared" si="16"/>
        <v>19653</v>
      </c>
      <c r="E119" s="252">
        <f t="shared" si="17"/>
        <v>3055</v>
      </c>
      <c r="F119" s="244">
        <f t="shared" si="18"/>
        <v>0.18405832027955174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163</v>
      </c>
      <c r="D120" s="252">
        <f t="shared" si="16"/>
        <v>202</v>
      </c>
      <c r="E120" s="252">
        <f t="shared" si="17"/>
        <v>39</v>
      </c>
      <c r="F120" s="244">
        <f t="shared" si="18"/>
        <v>0.2392638036809816</v>
      </c>
    </row>
    <row r="121" spans="1:6" ht="39.950000000000003" customHeight="1" x14ac:dyDescent="0.3">
      <c r="A121" s="249"/>
      <c r="B121" s="242" t="s">
        <v>441</v>
      </c>
      <c r="C121" s="243">
        <f>+C112+C114</f>
        <v>26764157</v>
      </c>
      <c r="D121" s="243">
        <f>+D112+D114</f>
        <v>31376576</v>
      </c>
      <c r="E121" s="243">
        <f t="shared" si="17"/>
        <v>4612419</v>
      </c>
      <c r="F121" s="244">
        <f t="shared" si="18"/>
        <v>0.17233567266848718</v>
      </c>
    </row>
    <row r="122" spans="1:6" ht="39.950000000000003" customHeight="1" x14ac:dyDescent="0.3">
      <c r="A122" s="249"/>
      <c r="B122" s="242" t="s">
        <v>470</v>
      </c>
      <c r="C122" s="243">
        <f>+C113+C115</f>
        <v>8841640</v>
      </c>
      <c r="D122" s="243">
        <f>+D113+D115</f>
        <v>10224001</v>
      </c>
      <c r="E122" s="243">
        <f t="shared" si="17"/>
        <v>1382361</v>
      </c>
      <c r="F122" s="244">
        <f t="shared" si="18"/>
        <v>0.1563466732416158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FILING&amp;RMIDSTATE MEDICAL CENTER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29570490</v>
      </c>
      <c r="D13" s="23">
        <v>20898243</v>
      </c>
      <c r="E13" s="23">
        <f t="shared" ref="E13:E22" si="0">D13-C13</f>
        <v>-8672247</v>
      </c>
      <c r="F13" s="24">
        <f t="shared" ref="F13:F22" si="1">IF(C13=0,0,E13/C13)</f>
        <v>-0.29327369955655114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27340758</v>
      </c>
      <c r="D15" s="23">
        <v>29581747</v>
      </c>
      <c r="E15" s="23">
        <f t="shared" si="0"/>
        <v>2240989</v>
      </c>
      <c r="F15" s="24">
        <f t="shared" si="1"/>
        <v>8.1965137908758784E-2</v>
      </c>
    </row>
    <row r="16" spans="1:8" ht="35.1" customHeight="1" x14ac:dyDescent="0.2">
      <c r="A16" s="21">
        <v>4</v>
      </c>
      <c r="B16" s="22" t="s">
        <v>19</v>
      </c>
      <c r="C16" s="23">
        <v>1168505</v>
      </c>
      <c r="D16" s="23">
        <v>0</v>
      </c>
      <c r="E16" s="23">
        <f t="shared" si="0"/>
        <v>-1168505</v>
      </c>
      <c r="F16" s="24">
        <f t="shared" si="1"/>
        <v>-1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1599146</v>
      </c>
      <c r="D19" s="23">
        <v>1896399</v>
      </c>
      <c r="E19" s="23">
        <f t="shared" si="0"/>
        <v>297253</v>
      </c>
      <c r="F19" s="24">
        <f t="shared" si="1"/>
        <v>0.18588233969881424</v>
      </c>
    </row>
    <row r="20" spans="1:11" ht="24" customHeight="1" x14ac:dyDescent="0.2">
      <c r="A20" s="21">
        <v>8</v>
      </c>
      <c r="B20" s="22" t="s">
        <v>23</v>
      </c>
      <c r="C20" s="23">
        <v>1203732</v>
      </c>
      <c r="D20" s="23">
        <v>2626149</v>
      </c>
      <c r="E20" s="23">
        <f t="shared" si="0"/>
        <v>1422417</v>
      </c>
      <c r="F20" s="24">
        <f t="shared" si="1"/>
        <v>1.181672498529573</v>
      </c>
    </row>
    <row r="21" spans="1:11" ht="24" customHeight="1" x14ac:dyDescent="0.2">
      <c r="A21" s="21">
        <v>9</v>
      </c>
      <c r="B21" s="22" t="s">
        <v>24</v>
      </c>
      <c r="C21" s="23">
        <v>1258006</v>
      </c>
      <c r="D21" s="23">
        <v>1416029</v>
      </c>
      <c r="E21" s="23">
        <f t="shared" si="0"/>
        <v>158023</v>
      </c>
      <c r="F21" s="24">
        <f t="shared" si="1"/>
        <v>0.12561386829633564</v>
      </c>
    </row>
    <row r="22" spans="1:11" ht="24" customHeight="1" x14ac:dyDescent="0.25">
      <c r="A22" s="25"/>
      <c r="B22" s="26" t="s">
        <v>25</v>
      </c>
      <c r="C22" s="27">
        <f>SUM(C13:C21)</f>
        <v>62140637</v>
      </c>
      <c r="D22" s="27">
        <f>SUM(D13:D21)</f>
        <v>56418567</v>
      </c>
      <c r="E22" s="27">
        <f t="shared" si="0"/>
        <v>-5722070</v>
      </c>
      <c r="F22" s="28">
        <f t="shared" si="1"/>
        <v>-9.2082577138692667E-2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12195310</v>
      </c>
      <c r="D25" s="23">
        <v>11682166</v>
      </c>
      <c r="E25" s="23">
        <f>D25-C25</f>
        <v>-513144</v>
      </c>
      <c r="F25" s="24">
        <f>IF(C25=0,0,E25/C25)</f>
        <v>-4.2077159170205596E-2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6312325</v>
      </c>
      <c r="E27" s="23">
        <f>D27-C27</f>
        <v>6312325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278277</v>
      </c>
      <c r="D28" s="23">
        <v>119216</v>
      </c>
      <c r="E28" s="23">
        <f>D28-C28</f>
        <v>-159061</v>
      </c>
      <c r="F28" s="24">
        <f>IF(C28=0,0,E28/C28)</f>
        <v>-0.5715923342568735</v>
      </c>
    </row>
    <row r="29" spans="1:11" ht="35.1" customHeight="1" x14ac:dyDescent="0.25">
      <c r="A29" s="25"/>
      <c r="B29" s="26" t="s">
        <v>32</v>
      </c>
      <c r="C29" s="27">
        <f>SUM(C25:C28)</f>
        <v>12473587</v>
      </c>
      <c r="D29" s="27">
        <f>SUM(D25:D28)</f>
        <v>18113707</v>
      </c>
      <c r="E29" s="27">
        <f>D29-C29</f>
        <v>5640120</v>
      </c>
      <c r="F29" s="28">
        <f>IF(C29=0,0,E29/C29)</f>
        <v>0.45216504282208475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12946811</v>
      </c>
      <c r="D32" s="23">
        <v>12501552</v>
      </c>
      <c r="E32" s="23">
        <f>D32-C32</f>
        <v>-445259</v>
      </c>
      <c r="F32" s="24">
        <f>IF(C32=0,0,E32/C32)</f>
        <v>-3.439140341200625E-2</v>
      </c>
    </row>
    <row r="33" spans="1:8" ht="24" customHeight="1" x14ac:dyDescent="0.2">
      <c r="A33" s="21">
        <v>7</v>
      </c>
      <c r="B33" s="22" t="s">
        <v>35</v>
      </c>
      <c r="C33" s="23">
        <v>19832691</v>
      </c>
      <c r="D33" s="23">
        <v>28097820</v>
      </c>
      <c r="E33" s="23">
        <f>D33-C33</f>
        <v>8265129</v>
      </c>
      <c r="F33" s="24">
        <f>IF(C33=0,0,E33/C33)</f>
        <v>0.41674269013720833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234396620</v>
      </c>
      <c r="D36" s="23">
        <v>245640720</v>
      </c>
      <c r="E36" s="23">
        <f>D36-C36</f>
        <v>11244100</v>
      </c>
      <c r="F36" s="24">
        <f>IF(C36=0,0,E36/C36)</f>
        <v>4.7970401620979007E-2</v>
      </c>
    </row>
    <row r="37" spans="1:8" ht="24" customHeight="1" x14ac:dyDescent="0.2">
      <c r="A37" s="21">
        <v>2</v>
      </c>
      <c r="B37" s="22" t="s">
        <v>39</v>
      </c>
      <c r="C37" s="23">
        <v>100974377</v>
      </c>
      <c r="D37" s="23">
        <v>113748505</v>
      </c>
      <c r="E37" s="23">
        <f>D37-C37</f>
        <v>12774128</v>
      </c>
      <c r="F37" s="23">
        <f>IF(C37=0,0,E37/C37)</f>
        <v>0.1265086092088491</v>
      </c>
    </row>
    <row r="38" spans="1:8" ht="24" customHeight="1" x14ac:dyDescent="0.25">
      <c r="A38" s="25"/>
      <c r="B38" s="26" t="s">
        <v>40</v>
      </c>
      <c r="C38" s="27">
        <f>C36-C37</f>
        <v>133422243</v>
      </c>
      <c r="D38" s="27">
        <f>D36-D37</f>
        <v>131892215</v>
      </c>
      <c r="E38" s="27">
        <f>D38-C38</f>
        <v>-1530028</v>
      </c>
      <c r="F38" s="28">
        <f>IF(C38=0,0,E38/C38)</f>
        <v>-1.14675631708575E-2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1372133</v>
      </c>
      <c r="D40" s="23">
        <v>338221</v>
      </c>
      <c r="E40" s="23">
        <f>D40-C40</f>
        <v>-1033912</v>
      </c>
      <c r="F40" s="24">
        <f>IF(C40=0,0,E40/C40)</f>
        <v>-0.75350713086850907</v>
      </c>
    </row>
    <row r="41" spans="1:8" ht="24" customHeight="1" x14ac:dyDescent="0.25">
      <c r="A41" s="25"/>
      <c r="B41" s="26" t="s">
        <v>42</v>
      </c>
      <c r="C41" s="27">
        <f>+C38+C40</f>
        <v>134794376</v>
      </c>
      <c r="D41" s="27">
        <f>+D38+D40</f>
        <v>132230436</v>
      </c>
      <c r="E41" s="27">
        <f>D41-C41</f>
        <v>-2563940</v>
      </c>
      <c r="F41" s="28">
        <f>IF(C41=0,0,E41/C41)</f>
        <v>-1.9021119990940867E-2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242188102</v>
      </c>
      <c r="D43" s="27">
        <f>D22+D29+D31+D32+D33+D41</f>
        <v>247362082</v>
      </c>
      <c r="E43" s="27">
        <f>D43-C43</f>
        <v>5173980</v>
      </c>
      <c r="F43" s="28">
        <f>IF(C43=0,0,E43/C43)</f>
        <v>2.136347721986772E-2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7813918</v>
      </c>
      <c r="D49" s="23">
        <v>4489564</v>
      </c>
      <c r="E49" s="23">
        <f t="shared" ref="E49:E56" si="2">D49-C49</f>
        <v>-3324354</v>
      </c>
      <c r="F49" s="24">
        <f t="shared" ref="F49:F56" si="3">IF(C49=0,0,E49/C49)</f>
        <v>-0.42544009292137441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8445266</v>
      </c>
      <c r="D50" s="23">
        <v>9084845</v>
      </c>
      <c r="E50" s="23">
        <f t="shared" si="2"/>
        <v>639579</v>
      </c>
      <c r="F50" s="24">
        <f t="shared" si="3"/>
        <v>7.5732250470263454E-2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942231</v>
      </c>
      <c r="D51" s="23">
        <v>1800530</v>
      </c>
      <c r="E51" s="23">
        <f t="shared" si="2"/>
        <v>858299</v>
      </c>
      <c r="F51" s="24">
        <f t="shared" si="3"/>
        <v>0.91092205626857958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2335000</v>
      </c>
      <c r="D53" s="23">
        <v>0</v>
      </c>
      <c r="E53" s="23">
        <f t="shared" si="2"/>
        <v>-2335000</v>
      </c>
      <c r="F53" s="24">
        <f t="shared" si="3"/>
        <v>-1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10442247</v>
      </c>
      <c r="D55" s="23">
        <v>10646951</v>
      </c>
      <c r="E55" s="23">
        <f t="shared" si="2"/>
        <v>204704</v>
      </c>
      <c r="F55" s="24">
        <f t="shared" si="3"/>
        <v>1.9603443588338793E-2</v>
      </c>
    </row>
    <row r="56" spans="1:6" ht="24" customHeight="1" x14ac:dyDescent="0.25">
      <c r="A56" s="25"/>
      <c r="B56" s="26" t="s">
        <v>54</v>
      </c>
      <c r="C56" s="27">
        <f>SUM(C49:C55)</f>
        <v>29978662</v>
      </c>
      <c r="D56" s="27">
        <f>SUM(D49:D55)</f>
        <v>26021890</v>
      </c>
      <c r="E56" s="27">
        <f t="shared" si="2"/>
        <v>-3956772</v>
      </c>
      <c r="F56" s="28">
        <f t="shared" si="3"/>
        <v>-0.1319862774396002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80580000</v>
      </c>
      <c r="D59" s="23">
        <v>88754643</v>
      </c>
      <c r="E59" s="23">
        <f>D59-C59</f>
        <v>8174643</v>
      </c>
      <c r="F59" s="24">
        <f>IF(C59=0,0,E59/C59)</f>
        <v>0.10144754281459419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80580000</v>
      </c>
      <c r="D61" s="27">
        <f>SUM(D59:D60)</f>
        <v>88754643</v>
      </c>
      <c r="E61" s="27">
        <f>D61-C61</f>
        <v>8174643</v>
      </c>
      <c r="F61" s="28">
        <f>IF(C61=0,0,E61/C61)</f>
        <v>0.10144754281459419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52087773</v>
      </c>
      <c r="D63" s="23">
        <v>57749335</v>
      </c>
      <c r="E63" s="23">
        <f>D63-C63</f>
        <v>5661562</v>
      </c>
      <c r="F63" s="24">
        <f>IF(C63=0,0,E63/C63)</f>
        <v>0.10869272525819063</v>
      </c>
    </row>
    <row r="64" spans="1:6" ht="24" customHeight="1" x14ac:dyDescent="0.2">
      <c r="A64" s="21">
        <v>4</v>
      </c>
      <c r="B64" s="22" t="s">
        <v>60</v>
      </c>
      <c r="C64" s="23">
        <v>2465969</v>
      </c>
      <c r="D64" s="23">
        <v>2432939</v>
      </c>
      <c r="E64" s="23">
        <f>D64-C64</f>
        <v>-33030</v>
      </c>
      <c r="F64" s="24">
        <f>IF(C64=0,0,E64/C64)</f>
        <v>-1.3394328963583889E-2</v>
      </c>
    </row>
    <row r="65" spans="1:6" ht="24" customHeight="1" x14ac:dyDescent="0.25">
      <c r="A65" s="25"/>
      <c r="B65" s="26" t="s">
        <v>61</v>
      </c>
      <c r="C65" s="27">
        <f>SUM(C61:C64)</f>
        <v>135133742</v>
      </c>
      <c r="D65" s="27">
        <f>SUM(D61:D64)</f>
        <v>148936917</v>
      </c>
      <c r="E65" s="27">
        <f>D65-C65</f>
        <v>13803175</v>
      </c>
      <c r="F65" s="28">
        <f>IF(C65=0,0,E65/C65)</f>
        <v>0.10214454802857453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62140641</v>
      </c>
      <c r="D70" s="23">
        <v>57976004</v>
      </c>
      <c r="E70" s="23">
        <f>D70-C70</f>
        <v>-4164637</v>
      </c>
      <c r="F70" s="24">
        <f>IF(C70=0,0,E70/C70)</f>
        <v>-6.7019537181793792E-2</v>
      </c>
    </row>
    <row r="71" spans="1:6" ht="24" customHeight="1" x14ac:dyDescent="0.2">
      <c r="A71" s="21">
        <v>2</v>
      </c>
      <c r="B71" s="22" t="s">
        <v>65</v>
      </c>
      <c r="C71" s="23">
        <v>1962184</v>
      </c>
      <c r="D71" s="23">
        <v>1966917</v>
      </c>
      <c r="E71" s="23">
        <f>D71-C71</f>
        <v>4733</v>
      </c>
      <c r="F71" s="24">
        <f>IF(C71=0,0,E71/C71)</f>
        <v>2.4121081407248251E-3</v>
      </c>
    </row>
    <row r="72" spans="1:6" ht="24" customHeight="1" x14ac:dyDescent="0.2">
      <c r="A72" s="21">
        <v>3</v>
      </c>
      <c r="B72" s="22" t="s">
        <v>66</v>
      </c>
      <c r="C72" s="23">
        <v>12972873</v>
      </c>
      <c r="D72" s="23">
        <v>12460354</v>
      </c>
      <c r="E72" s="23">
        <f>D72-C72</f>
        <v>-512519</v>
      </c>
      <c r="F72" s="24">
        <f>IF(C72=0,0,E72/C72)</f>
        <v>-3.9506977367311007E-2</v>
      </c>
    </row>
    <row r="73" spans="1:6" ht="24" customHeight="1" x14ac:dyDescent="0.25">
      <c r="A73" s="21"/>
      <c r="B73" s="26" t="s">
        <v>67</v>
      </c>
      <c r="C73" s="27">
        <f>SUM(C70:C72)</f>
        <v>77075698</v>
      </c>
      <c r="D73" s="27">
        <f>SUM(D70:D72)</f>
        <v>72403275</v>
      </c>
      <c r="E73" s="27">
        <f>D73-C73</f>
        <v>-4672423</v>
      </c>
      <c r="F73" s="28">
        <f>IF(C73=0,0,E73/C73)</f>
        <v>-6.0621222009562596E-2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242188102</v>
      </c>
      <c r="D75" s="27">
        <f>D56+D65+D67+D73</f>
        <v>247362082</v>
      </c>
      <c r="E75" s="27">
        <f>D75-C75</f>
        <v>5173980</v>
      </c>
      <c r="F75" s="28">
        <f>IF(C75=0,0,E75/C75)</f>
        <v>2.136347721986772E-2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FILING&amp;RMIDSTATE MEDICAL CENTER AND SUBSIDIARIES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374870862</v>
      </c>
      <c r="D12" s="51">
        <v>423415942</v>
      </c>
      <c r="E12" s="51">
        <f t="shared" ref="E12:E19" si="0">D12-C12</f>
        <v>48545080</v>
      </c>
      <c r="F12" s="70">
        <f t="shared" ref="F12:F19" si="1">IF(C12=0,0,E12/C12)</f>
        <v>0.12949814168272167</v>
      </c>
    </row>
    <row r="13" spans="1:8" ht="23.1" customHeight="1" x14ac:dyDescent="0.2">
      <c r="A13" s="25">
        <v>2</v>
      </c>
      <c r="B13" s="48" t="s">
        <v>72</v>
      </c>
      <c r="C13" s="51">
        <v>189210727</v>
      </c>
      <c r="D13" s="51">
        <v>223635468</v>
      </c>
      <c r="E13" s="51">
        <f t="shared" si="0"/>
        <v>34424741</v>
      </c>
      <c r="F13" s="70">
        <f t="shared" si="1"/>
        <v>0.18193863289791176</v>
      </c>
    </row>
    <row r="14" spans="1:8" ht="23.1" customHeight="1" x14ac:dyDescent="0.2">
      <c r="A14" s="25">
        <v>3</v>
      </c>
      <c r="B14" s="48" t="s">
        <v>73</v>
      </c>
      <c r="C14" s="51">
        <v>3637983</v>
      </c>
      <c r="D14" s="51">
        <v>3025038</v>
      </c>
      <c r="E14" s="51">
        <f t="shared" si="0"/>
        <v>-612945</v>
      </c>
      <c r="F14" s="70">
        <f t="shared" si="1"/>
        <v>-0.16848484448662898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182022152</v>
      </c>
      <c r="D16" s="27">
        <f>D12-D13-D14-D15</f>
        <v>196755436</v>
      </c>
      <c r="E16" s="27">
        <f t="shared" si="0"/>
        <v>14733284</v>
      </c>
      <c r="F16" s="28">
        <f t="shared" si="1"/>
        <v>8.09422580609859E-2</v>
      </c>
    </row>
    <row r="17" spans="1:7" ht="23.1" customHeight="1" x14ac:dyDescent="0.2">
      <c r="A17" s="25">
        <v>5</v>
      </c>
      <c r="B17" s="48" t="s">
        <v>76</v>
      </c>
      <c r="C17" s="51">
        <v>31517973</v>
      </c>
      <c r="D17" s="51">
        <v>27159567</v>
      </c>
      <c r="E17" s="51">
        <f t="shared" si="0"/>
        <v>-4358406</v>
      </c>
      <c r="F17" s="70">
        <f t="shared" si="1"/>
        <v>-0.13828319479809187</v>
      </c>
      <c r="G17" s="64"/>
    </row>
    <row r="18" spans="1:7" ht="33" customHeight="1" x14ac:dyDescent="0.2">
      <c r="A18" s="25">
        <v>6</v>
      </c>
      <c r="B18" s="45" t="s">
        <v>77</v>
      </c>
      <c r="C18" s="51">
        <v>199314</v>
      </c>
      <c r="D18" s="51">
        <v>241164</v>
      </c>
      <c r="E18" s="51">
        <f t="shared" si="0"/>
        <v>41850</v>
      </c>
      <c r="F18" s="70">
        <f t="shared" si="1"/>
        <v>0.20997019777837983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213739439</v>
      </c>
      <c r="D19" s="27">
        <f>SUM(D16:D18)</f>
        <v>224156167</v>
      </c>
      <c r="E19" s="27">
        <f t="shared" si="0"/>
        <v>10416728</v>
      </c>
      <c r="F19" s="28">
        <f t="shared" si="1"/>
        <v>4.8735638348896389E-2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70494313</v>
      </c>
      <c r="D22" s="51">
        <v>74803914</v>
      </c>
      <c r="E22" s="51">
        <f t="shared" ref="E22:E31" si="2">D22-C22</f>
        <v>4309601</v>
      </c>
      <c r="F22" s="70">
        <f t="shared" ref="F22:F31" si="3">IF(C22=0,0,E22/C22)</f>
        <v>6.1134023676491463E-2</v>
      </c>
    </row>
    <row r="23" spans="1:7" ht="23.1" customHeight="1" x14ac:dyDescent="0.2">
      <c r="A23" s="25">
        <v>2</v>
      </c>
      <c r="B23" s="48" t="s">
        <v>81</v>
      </c>
      <c r="C23" s="51">
        <v>21760310</v>
      </c>
      <c r="D23" s="51">
        <v>26868042</v>
      </c>
      <c r="E23" s="51">
        <f t="shared" si="2"/>
        <v>5107732</v>
      </c>
      <c r="F23" s="70">
        <f t="shared" si="3"/>
        <v>0.23472698688575669</v>
      </c>
    </row>
    <row r="24" spans="1:7" ht="23.1" customHeight="1" x14ac:dyDescent="0.2">
      <c r="A24" s="25">
        <v>3</v>
      </c>
      <c r="B24" s="48" t="s">
        <v>82</v>
      </c>
      <c r="C24" s="51">
        <v>4962712</v>
      </c>
      <c r="D24" s="51">
        <v>4816391</v>
      </c>
      <c r="E24" s="51">
        <f t="shared" si="2"/>
        <v>-146321</v>
      </c>
      <c r="F24" s="70">
        <f t="shared" si="3"/>
        <v>-2.9484080478577035E-2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19526484</v>
      </c>
      <c r="D25" s="51">
        <v>22356871</v>
      </c>
      <c r="E25" s="51">
        <f t="shared" si="2"/>
        <v>2830387</v>
      </c>
      <c r="F25" s="70">
        <f t="shared" si="3"/>
        <v>0.14495118527226919</v>
      </c>
    </row>
    <row r="26" spans="1:7" ht="23.1" customHeight="1" x14ac:dyDescent="0.2">
      <c r="A26" s="25">
        <v>5</v>
      </c>
      <c r="B26" s="48" t="s">
        <v>84</v>
      </c>
      <c r="C26" s="51">
        <v>11405092</v>
      </c>
      <c r="D26" s="51">
        <v>13144617</v>
      </c>
      <c r="E26" s="51">
        <f t="shared" si="2"/>
        <v>1739525</v>
      </c>
      <c r="F26" s="70">
        <f t="shared" si="3"/>
        <v>0.15252178588300735</v>
      </c>
    </row>
    <row r="27" spans="1:7" ht="23.1" customHeight="1" x14ac:dyDescent="0.2">
      <c r="A27" s="25">
        <v>6</v>
      </c>
      <c r="B27" s="48" t="s">
        <v>85</v>
      </c>
      <c r="C27" s="51">
        <v>10965542</v>
      </c>
      <c r="D27" s="51">
        <v>8300420</v>
      </c>
      <c r="E27" s="51">
        <f t="shared" si="2"/>
        <v>-2665122</v>
      </c>
      <c r="F27" s="70">
        <f t="shared" si="3"/>
        <v>-0.24304516821877112</v>
      </c>
    </row>
    <row r="28" spans="1:7" ht="23.1" customHeight="1" x14ac:dyDescent="0.2">
      <c r="A28" s="25">
        <v>7</v>
      </c>
      <c r="B28" s="48" t="s">
        <v>86</v>
      </c>
      <c r="C28" s="51">
        <v>2221191</v>
      </c>
      <c r="D28" s="51">
        <v>2222925</v>
      </c>
      <c r="E28" s="51">
        <f t="shared" si="2"/>
        <v>1734</v>
      </c>
      <c r="F28" s="70">
        <f t="shared" si="3"/>
        <v>7.80662266324688E-4</v>
      </c>
    </row>
    <row r="29" spans="1:7" ht="23.1" customHeight="1" x14ac:dyDescent="0.2">
      <c r="A29" s="25">
        <v>8</v>
      </c>
      <c r="B29" s="48" t="s">
        <v>87</v>
      </c>
      <c r="C29" s="51">
        <v>5917588</v>
      </c>
      <c r="D29" s="51">
        <v>5172300</v>
      </c>
      <c r="E29" s="51">
        <f t="shared" si="2"/>
        <v>-745288</v>
      </c>
      <c r="F29" s="70">
        <f t="shared" si="3"/>
        <v>-0.12594455714051062</v>
      </c>
    </row>
    <row r="30" spans="1:7" ht="23.1" customHeight="1" x14ac:dyDescent="0.2">
      <c r="A30" s="25">
        <v>9</v>
      </c>
      <c r="B30" s="48" t="s">
        <v>88</v>
      </c>
      <c r="C30" s="51">
        <v>56279104</v>
      </c>
      <c r="D30" s="51">
        <v>59032149</v>
      </c>
      <c r="E30" s="51">
        <f t="shared" si="2"/>
        <v>2753045</v>
      </c>
      <c r="F30" s="70">
        <f t="shared" si="3"/>
        <v>4.8917711980631391E-2</v>
      </c>
    </row>
    <row r="31" spans="1:7" ht="23.1" customHeight="1" x14ac:dyDescent="0.25">
      <c r="A31" s="29"/>
      <c r="B31" s="71" t="s">
        <v>89</v>
      </c>
      <c r="C31" s="27">
        <f>SUM(C22:C30)</f>
        <v>203532336</v>
      </c>
      <c r="D31" s="27">
        <f>SUM(D22:D30)</f>
        <v>216717629</v>
      </c>
      <c r="E31" s="27">
        <f t="shared" si="2"/>
        <v>13185293</v>
      </c>
      <c r="F31" s="28">
        <f t="shared" si="3"/>
        <v>6.4782300734758921E-2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10207103</v>
      </c>
      <c r="D33" s="27">
        <f>+D19-D31</f>
        <v>7438538</v>
      </c>
      <c r="E33" s="27">
        <f>D33-C33</f>
        <v>-2768565</v>
      </c>
      <c r="F33" s="28">
        <f>IF(C33=0,0,E33/C33)</f>
        <v>-0.27123905774243678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261107</v>
      </c>
      <c r="D36" s="51">
        <v>130175</v>
      </c>
      <c r="E36" s="51">
        <f>D36-C36</f>
        <v>-130932</v>
      </c>
      <c r="F36" s="70">
        <f>IF(C36=0,0,E36/C36)</f>
        <v>-0.50144959729153182</v>
      </c>
    </row>
    <row r="37" spans="1:6" ht="23.1" customHeight="1" x14ac:dyDescent="0.2">
      <c r="A37" s="44">
        <v>2</v>
      </c>
      <c r="B37" s="48" t="s">
        <v>93</v>
      </c>
      <c r="C37" s="51">
        <v>18750</v>
      </c>
      <c r="D37" s="51">
        <v>247500</v>
      </c>
      <c r="E37" s="51">
        <f>D37-C37</f>
        <v>228750</v>
      </c>
      <c r="F37" s="70">
        <f>IF(C37=0,0,E37/C37)</f>
        <v>12.2</v>
      </c>
    </row>
    <row r="38" spans="1:6" ht="23.1" customHeight="1" x14ac:dyDescent="0.2">
      <c r="A38" s="44">
        <v>3</v>
      </c>
      <c r="B38" s="48" t="s">
        <v>94</v>
      </c>
      <c r="C38" s="51">
        <v>973487</v>
      </c>
      <c r="D38" s="51">
        <v>795107</v>
      </c>
      <c r="E38" s="51">
        <f>D38-C38</f>
        <v>-178380</v>
      </c>
      <c r="F38" s="70">
        <f>IF(C38=0,0,E38/C38)</f>
        <v>-0.18323819424399093</v>
      </c>
    </row>
    <row r="39" spans="1:6" ht="23.1" customHeight="1" x14ac:dyDescent="0.25">
      <c r="A39" s="20"/>
      <c r="B39" s="71" t="s">
        <v>95</v>
      </c>
      <c r="C39" s="27">
        <f>SUM(C36:C38)</f>
        <v>1253344</v>
      </c>
      <c r="D39" s="27">
        <f>SUM(D36:D38)</f>
        <v>1172782</v>
      </c>
      <c r="E39" s="27">
        <f>D39-C39</f>
        <v>-80562</v>
      </c>
      <c r="F39" s="28">
        <f>IF(C39=0,0,E39/C39)</f>
        <v>-6.4277644445579193E-2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11460447</v>
      </c>
      <c r="D41" s="27">
        <f>D33+D39</f>
        <v>8611320</v>
      </c>
      <c r="E41" s="27">
        <f>D41-C41</f>
        <v>-2849127</v>
      </c>
      <c r="F41" s="28">
        <f>IF(C41=0,0,E41/C41)</f>
        <v>-0.24860522456061268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668077</v>
      </c>
      <c r="D44" s="51">
        <v>-610653</v>
      </c>
      <c r="E44" s="51">
        <f>D44-C44</f>
        <v>-1278730</v>
      </c>
      <c r="F44" s="70">
        <f>IF(C44=0,0,E44/C44)</f>
        <v>-1.9140458360338704</v>
      </c>
    </row>
    <row r="45" spans="1:6" ht="23.1" customHeight="1" x14ac:dyDescent="0.2">
      <c r="A45" s="44"/>
      <c r="B45" s="48" t="s">
        <v>99</v>
      </c>
      <c r="C45" s="51">
        <v>-1387309</v>
      </c>
      <c r="D45" s="51">
        <v>-106639</v>
      </c>
      <c r="E45" s="51">
        <f>D45-C45</f>
        <v>1280670</v>
      </c>
      <c r="F45" s="70">
        <f>IF(C45=0,0,E45/C45)</f>
        <v>-0.92313248166053852</v>
      </c>
    </row>
    <row r="46" spans="1:6" ht="23.1" customHeight="1" x14ac:dyDescent="0.25">
      <c r="A46" s="20"/>
      <c r="B46" s="74" t="s">
        <v>100</v>
      </c>
      <c r="C46" s="27">
        <f>SUM(C44:C45)</f>
        <v>-719232</v>
      </c>
      <c r="D46" s="27">
        <f>SUM(D44:D45)</f>
        <v>-717292</v>
      </c>
      <c r="E46" s="27">
        <f>D46-C46</f>
        <v>1940</v>
      </c>
      <c r="F46" s="28">
        <f>IF(C46=0,0,E46/C46)</f>
        <v>-2.6973215874710804E-3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10741215</v>
      </c>
      <c r="D48" s="27">
        <f>D41+D46</f>
        <v>7894028</v>
      </c>
      <c r="E48" s="27">
        <f>D48-C48</f>
        <v>-2847187</v>
      </c>
      <c r="F48" s="28">
        <f>IF(C48=0,0,E48/C48)</f>
        <v>-0.26507122332063926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FILING&amp;R&amp;8MIDSTATE MEDICAL CENTER AND SUBSIDIARIES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197</vt:i4>
      </vt:variant>
    </vt:vector>
  </HeadingPairs>
  <TitlesOfParts>
    <vt:vector size="217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Sheet1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2012-06-29T20:09:18Z</cp:lastPrinted>
  <dcterms:created xsi:type="dcterms:W3CDTF">2006-08-03T13:49:12Z</dcterms:created>
  <dcterms:modified xsi:type="dcterms:W3CDTF">2012-06-29T20:09:52Z</dcterms:modified>
</cp:coreProperties>
</file>