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9" i="14"/>
  <c r="D158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C83" i="19"/>
  <c r="E76" i="19"/>
  <c r="E102" i="19"/>
  <c r="D76" i="19"/>
  <c r="C76" i="19"/>
  <c r="C102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F45" i="17"/>
  <c r="C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E25" i="17"/>
  <c r="F25" i="17"/>
  <c r="D19" i="17"/>
  <c r="D20" i="17"/>
  <c r="C19" i="17"/>
  <c r="C20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C221" i="15"/>
  <c r="C245" i="15"/>
  <c r="D220" i="15"/>
  <c r="E220" i="15"/>
  <c r="C220" i="15"/>
  <c r="C244" i="15"/>
  <c r="D219" i="15"/>
  <c r="D243" i="15"/>
  <c r="C219" i="15"/>
  <c r="C243" i="15"/>
  <c r="D218" i="15"/>
  <c r="D242" i="15"/>
  <c r="E242" i="15"/>
  <c r="C218" i="15"/>
  <c r="C242" i="15"/>
  <c r="D216" i="15"/>
  <c r="E216" i="15"/>
  <c r="C216" i="15"/>
  <c r="C240" i="15"/>
  <c r="D215" i="15"/>
  <c r="D239" i="15"/>
  <c r="C215" i="15"/>
  <c r="E209" i="15"/>
  <c r="E208" i="15"/>
  <c r="E207" i="15"/>
  <c r="E206" i="15"/>
  <c r="D205" i="15"/>
  <c r="E205" i="15"/>
  <c r="C205" i="15"/>
  <c r="C210" i="15"/>
  <c r="C234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E151" i="15"/>
  <c r="E150" i="15"/>
  <c r="E149" i="15"/>
  <c r="E143" i="15"/>
  <c r="E142" i="15"/>
  <c r="E141" i="15"/>
  <c r="E140" i="15"/>
  <c r="D139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71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E308" i="14"/>
  <c r="F308" i="14"/>
  <c r="E307" i="14"/>
  <c r="C307" i="14"/>
  <c r="C299" i="14"/>
  <c r="C298" i="14"/>
  <c r="E298" i="14"/>
  <c r="C297" i="14"/>
  <c r="E297" i="14"/>
  <c r="F297" i="14"/>
  <c r="C296" i="14"/>
  <c r="E296" i="14"/>
  <c r="C295" i="14"/>
  <c r="E295" i="14"/>
  <c r="F295" i="14"/>
  <c r="C294" i="14"/>
  <c r="E294" i="14"/>
  <c r="C250" i="14"/>
  <c r="E250" i="14"/>
  <c r="F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C237" i="14"/>
  <c r="E237" i="14"/>
  <c r="E234" i="14"/>
  <c r="F234" i="14"/>
  <c r="E233" i="14"/>
  <c r="F233" i="14"/>
  <c r="E230" i="14"/>
  <c r="C230" i="14"/>
  <c r="C229" i="14"/>
  <c r="E229" i="14"/>
  <c r="E228" i="14"/>
  <c r="F228" i="14"/>
  <c r="C226" i="14"/>
  <c r="E226" i="14"/>
  <c r="F226" i="14"/>
  <c r="E225" i="14"/>
  <c r="F225" i="14"/>
  <c r="E224" i="14"/>
  <c r="F224" i="14"/>
  <c r="C223" i="14"/>
  <c r="E223" i="14"/>
  <c r="F223" i="14"/>
  <c r="E222" i="14"/>
  <c r="F222" i="14"/>
  <c r="E221" i="14"/>
  <c r="F221" i="14"/>
  <c r="C204" i="14"/>
  <c r="C203" i="14"/>
  <c r="C283" i="14"/>
  <c r="C267" i="14"/>
  <c r="C198" i="14"/>
  <c r="E198" i="14"/>
  <c r="C191" i="14"/>
  <c r="E191" i="14"/>
  <c r="C189" i="14"/>
  <c r="C278" i="14"/>
  <c r="C188" i="14"/>
  <c r="E188" i="14"/>
  <c r="F188" i="14"/>
  <c r="C180" i="14"/>
  <c r="E180" i="14"/>
  <c r="F180" i="14"/>
  <c r="C179" i="14"/>
  <c r="E179" i="14"/>
  <c r="C171" i="14"/>
  <c r="E171" i="14"/>
  <c r="F171" i="14"/>
  <c r="C170" i="14"/>
  <c r="E170" i="14"/>
  <c r="F170" i="14"/>
  <c r="E169" i="14"/>
  <c r="F169" i="14"/>
  <c r="E168" i="14"/>
  <c r="F168" i="14"/>
  <c r="C165" i="14"/>
  <c r="C164" i="14"/>
  <c r="E164" i="14"/>
  <c r="E163" i="14"/>
  <c r="F163" i="14"/>
  <c r="C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F145" i="14"/>
  <c r="E144" i="14"/>
  <c r="C144" i="14"/>
  <c r="C137" i="14"/>
  <c r="C136" i="14"/>
  <c r="E136" i="14"/>
  <c r="F136" i="14"/>
  <c r="C135" i="14"/>
  <c r="E135" i="14"/>
  <c r="F135" i="14"/>
  <c r="E134" i="14"/>
  <c r="F134" i="14"/>
  <c r="E133" i="14"/>
  <c r="F133" i="14"/>
  <c r="C130" i="14"/>
  <c r="E130" i="14"/>
  <c r="C129" i="14"/>
  <c r="E129" i="14"/>
  <c r="F129" i="14"/>
  <c r="E128" i="14"/>
  <c r="F128" i="14"/>
  <c r="C124" i="14"/>
  <c r="C123" i="14"/>
  <c r="C192" i="14"/>
  <c r="E192" i="14"/>
  <c r="C193" i="14"/>
  <c r="C194" i="14"/>
  <c r="F122" i="14"/>
  <c r="E122" i="14"/>
  <c r="F121" i="14"/>
  <c r="E121" i="14"/>
  <c r="C120" i="14"/>
  <c r="E120" i="14"/>
  <c r="F120" i="14"/>
  <c r="E119" i="14"/>
  <c r="F119" i="14"/>
  <c r="E118" i="14"/>
  <c r="F118" i="14"/>
  <c r="C110" i="14"/>
  <c r="E110" i="14"/>
  <c r="F110" i="14"/>
  <c r="C109" i="14"/>
  <c r="C111" i="14"/>
  <c r="C101" i="14"/>
  <c r="E101" i="14"/>
  <c r="C100" i="14"/>
  <c r="E99" i="14"/>
  <c r="F99" i="14"/>
  <c r="E98" i="14"/>
  <c r="F98" i="14"/>
  <c r="C95" i="14"/>
  <c r="E95" i="14"/>
  <c r="F95" i="14"/>
  <c r="E94" i="14"/>
  <c r="C94" i="14"/>
  <c r="F93" i="14"/>
  <c r="E93" i="14"/>
  <c r="C88" i="14"/>
  <c r="E87" i="14"/>
  <c r="F87" i="14"/>
  <c r="E86" i="14"/>
  <c r="F86" i="14"/>
  <c r="C85" i="14"/>
  <c r="E85" i="14"/>
  <c r="E84" i="14"/>
  <c r="F84" i="14"/>
  <c r="E83" i="14"/>
  <c r="F83" i="14"/>
  <c r="C76" i="14"/>
  <c r="E74" i="14"/>
  <c r="F74" i="14"/>
  <c r="E73" i="14"/>
  <c r="F73" i="14"/>
  <c r="C67" i="14"/>
  <c r="E67" i="14"/>
  <c r="F67" i="14"/>
  <c r="C66" i="14"/>
  <c r="C68" i="14"/>
  <c r="C59" i="14"/>
  <c r="E59" i="14"/>
  <c r="C58" i="14"/>
  <c r="E58" i="14"/>
  <c r="E57" i="14"/>
  <c r="F57" i="14"/>
  <c r="E56" i="14"/>
  <c r="F56" i="14"/>
  <c r="C53" i="14"/>
  <c r="E53" i="14"/>
  <c r="F53" i="14"/>
  <c r="C52" i="14"/>
  <c r="E51" i="14"/>
  <c r="F51" i="14"/>
  <c r="C47" i="14"/>
  <c r="E47" i="14"/>
  <c r="E46" i="14"/>
  <c r="F46" i="14"/>
  <c r="E45" i="14"/>
  <c r="F45" i="14"/>
  <c r="C44" i="14"/>
  <c r="E44" i="14"/>
  <c r="F44" i="14"/>
  <c r="F43" i="14"/>
  <c r="E43" i="14"/>
  <c r="F42" i="14"/>
  <c r="E42" i="14"/>
  <c r="E36" i="14"/>
  <c r="C36" i="14"/>
  <c r="C35" i="14"/>
  <c r="E35" i="14"/>
  <c r="C31" i="14"/>
  <c r="C32" i="14"/>
  <c r="E30" i="14"/>
  <c r="C30" i="14"/>
  <c r="C29" i="14"/>
  <c r="E29" i="14"/>
  <c r="E28" i="14"/>
  <c r="F28" i="14"/>
  <c r="E27" i="14"/>
  <c r="F27" i="14"/>
  <c r="C24" i="14"/>
  <c r="C23" i="14"/>
  <c r="E23" i="14"/>
  <c r="F23" i="14"/>
  <c r="E22" i="14"/>
  <c r="F22" i="14"/>
  <c r="C20" i="14"/>
  <c r="C282" i="14"/>
  <c r="E19" i="14"/>
  <c r="F19" i="14"/>
  <c r="E18" i="14"/>
  <c r="F18" i="14"/>
  <c r="E17" i="14"/>
  <c r="C17" i="14"/>
  <c r="F16" i="14"/>
  <c r="E16" i="14"/>
  <c r="F15" i="14"/>
  <c r="E15" i="14"/>
  <c r="D23" i="13"/>
  <c r="E23" i="13"/>
  <c r="F23" i="13"/>
  <c r="C23" i="13"/>
  <c r="F22" i="13"/>
  <c r="E22" i="13"/>
  <c r="F21" i="13"/>
  <c r="E21" i="13"/>
  <c r="F20" i="13"/>
  <c r="E20" i="13"/>
  <c r="D17" i="13"/>
  <c r="E17" i="13"/>
  <c r="F17" i="13"/>
  <c r="C17" i="13"/>
  <c r="F16" i="13"/>
  <c r="E16" i="13"/>
  <c r="D13" i="13"/>
  <c r="E13" i="13"/>
  <c r="F13" i="13"/>
  <c r="C13" i="13"/>
  <c r="F12" i="13"/>
  <c r="E12" i="13"/>
  <c r="D99" i="12"/>
  <c r="E99" i="12"/>
  <c r="F99" i="12"/>
  <c r="C99" i="12"/>
  <c r="F98" i="12"/>
  <c r="E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F75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60" i="12"/>
  <c r="F59" i="12"/>
  <c r="E59" i="12"/>
  <c r="F58" i="12"/>
  <c r="E58" i="12"/>
  <c r="E60" i="12"/>
  <c r="F55" i="12"/>
  <c r="D55" i="12"/>
  <c r="E55" i="12"/>
  <c r="C55" i="12"/>
  <c r="F54" i="12"/>
  <c r="E54" i="12"/>
  <c r="F53" i="12"/>
  <c r="E53" i="12"/>
  <c r="F50" i="12"/>
  <c r="D50" i="12"/>
  <c r="E50" i="12"/>
  <c r="C50" i="12"/>
  <c r="F49" i="12"/>
  <c r="E49" i="12"/>
  <c r="F48" i="12"/>
  <c r="E48" i="12"/>
  <c r="D45" i="12"/>
  <c r="E45" i="12"/>
  <c r="F45" i="12"/>
  <c r="C45" i="12"/>
  <c r="F44" i="12"/>
  <c r="E44" i="12"/>
  <c r="F43" i="12"/>
  <c r="E43" i="12"/>
  <c r="D37" i="12"/>
  <c r="C37" i="12"/>
  <c r="F36" i="12"/>
  <c r="E36" i="12"/>
  <c r="F35" i="12"/>
  <c r="E35" i="12"/>
  <c r="E34" i="12"/>
  <c r="F34" i="12"/>
  <c r="E33" i="12"/>
  <c r="F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G31" i="11"/>
  <c r="D17" i="11"/>
  <c r="D31" i="11"/>
  <c r="F31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E46" i="10"/>
  <c r="E59" i="10"/>
  <c r="E61" i="10"/>
  <c r="E57" i="10"/>
  <c r="D46" i="10"/>
  <c r="D48" i="10"/>
  <c r="D42" i="10"/>
  <c r="C46" i="10"/>
  <c r="C48" i="10"/>
  <c r="C42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E25" i="10"/>
  <c r="E27" i="10"/>
  <c r="D13" i="10"/>
  <c r="D25" i="10"/>
  <c r="D27" i="10"/>
  <c r="C13" i="10"/>
  <c r="C25" i="10"/>
  <c r="C27" i="10"/>
  <c r="D46" i="9"/>
  <c r="E46" i="9"/>
  <c r="F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/>
  <c r="C16" i="9"/>
  <c r="C19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D65" i="8"/>
  <c r="C61" i="8"/>
  <c r="C65" i="8"/>
  <c r="F60" i="8"/>
  <c r="E60" i="8"/>
  <c r="E59" i="8"/>
  <c r="F59" i="8"/>
  <c r="D56" i="8"/>
  <c r="C56" i="8"/>
  <c r="F55" i="8"/>
  <c r="E55" i="8"/>
  <c r="F54" i="8"/>
  <c r="E54" i="8"/>
  <c r="F53" i="8"/>
  <c r="E53" i="8"/>
  <c r="F52" i="8"/>
  <c r="E52" i="8"/>
  <c r="E51" i="8"/>
  <c r="F51" i="8"/>
  <c r="E50" i="8"/>
  <c r="F50" i="8"/>
  <c r="A50" i="8"/>
  <c r="A51" i="8"/>
  <c r="A52" i="8"/>
  <c r="A53" i="8"/>
  <c r="A54" i="8"/>
  <c r="A55" i="8"/>
  <c r="F49" i="8"/>
  <c r="E49" i="8"/>
  <c r="E40" i="8"/>
  <c r="F40" i="8"/>
  <c r="D38" i="8"/>
  <c r="C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F29" i="8"/>
  <c r="E28" i="8"/>
  <c r="F28" i="8"/>
  <c r="E27" i="8"/>
  <c r="F27" i="8"/>
  <c r="F26" i="8"/>
  <c r="E26" i="8"/>
  <c r="E25" i="8"/>
  <c r="F25" i="8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C118" i="7"/>
  <c r="D117" i="7"/>
  <c r="E117" i="7"/>
  <c r="C117" i="7"/>
  <c r="F117" i="7"/>
  <c r="D116" i="7"/>
  <c r="E116" i="7"/>
  <c r="C116" i="7"/>
  <c r="F116" i="7"/>
  <c r="D115" i="7"/>
  <c r="C115" i="7"/>
  <c r="E115" i="7"/>
  <c r="D114" i="7"/>
  <c r="E114" i="7"/>
  <c r="C114" i="7"/>
  <c r="F114" i="7"/>
  <c r="D113" i="7"/>
  <c r="C113" i="7"/>
  <c r="E113" i="7"/>
  <c r="D112" i="7"/>
  <c r="E112" i="7"/>
  <c r="F112" i="7"/>
  <c r="C112" i="7"/>
  <c r="C121" i="7"/>
  <c r="D108" i="7"/>
  <c r="C108" i="7"/>
  <c r="E108" i="7"/>
  <c r="D107" i="7"/>
  <c r="E107" i="7"/>
  <c r="C107" i="7"/>
  <c r="F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/>
  <c r="C205" i="6"/>
  <c r="F205" i="6"/>
  <c r="D204" i="6"/>
  <c r="C204" i="6"/>
  <c r="D203" i="6"/>
  <c r="E203" i="6"/>
  <c r="C203" i="6"/>
  <c r="F203" i="6"/>
  <c r="D202" i="6"/>
  <c r="C202" i="6"/>
  <c r="D201" i="6"/>
  <c r="E201" i="6"/>
  <c r="C201" i="6"/>
  <c r="F201" i="6"/>
  <c r="D200" i="6"/>
  <c r="C200" i="6"/>
  <c r="D199" i="6"/>
  <c r="E199" i="6"/>
  <c r="C199" i="6"/>
  <c r="F199" i="6"/>
  <c r="D198" i="6"/>
  <c r="E198" i="6"/>
  <c r="F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F76" i="6"/>
  <c r="D75" i="6"/>
  <c r="E75" i="6"/>
  <c r="C75" i="6"/>
  <c r="F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C164" i="5"/>
  <c r="E162" i="5"/>
  <c r="D162" i="5"/>
  <c r="C162" i="5"/>
  <c r="E161" i="5"/>
  <c r="D161" i="5"/>
  <c r="C161" i="5"/>
  <c r="E160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E75" i="5"/>
  <c r="E88" i="5"/>
  <c r="E90" i="5"/>
  <c r="E86" i="5"/>
  <c r="D75" i="5"/>
  <c r="C75" i="5"/>
  <c r="C88" i="5"/>
  <c r="C90" i="5"/>
  <c r="C86" i="5"/>
  <c r="E74" i="5"/>
  <c r="D74" i="5"/>
  <c r="C74" i="5"/>
  <c r="E67" i="5"/>
  <c r="D67" i="5"/>
  <c r="C67" i="5"/>
  <c r="E38" i="5"/>
  <c r="E49" i="5"/>
  <c r="D38" i="5"/>
  <c r="D43" i="5"/>
  <c r="C38" i="5"/>
  <c r="E33" i="5"/>
  <c r="E34" i="5"/>
  <c r="D33" i="5"/>
  <c r="D34" i="5"/>
  <c r="E26" i="5"/>
  <c r="D26" i="5"/>
  <c r="C26" i="5"/>
  <c r="E13" i="5"/>
  <c r="E25" i="5"/>
  <c r="E27" i="5"/>
  <c r="D13" i="5"/>
  <c r="C13" i="5"/>
  <c r="C15" i="5"/>
  <c r="F174" i="4"/>
  <c r="E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/>
  <c r="F118" i="4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/>
  <c r="F78" i="4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E40" i="4"/>
  <c r="F40" i="4"/>
  <c r="E39" i="4"/>
  <c r="F39" i="4"/>
  <c r="E38" i="4"/>
  <c r="F38" i="4"/>
  <c r="D35" i="4"/>
  <c r="E35" i="4"/>
  <c r="C35" i="4"/>
  <c r="F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E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E179" i="3"/>
  <c r="C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E93" i="3"/>
  <c r="F93" i="3"/>
  <c r="C93" i="3"/>
  <c r="D92" i="3"/>
  <c r="C92" i="3"/>
  <c r="D91" i="3"/>
  <c r="E91" i="3"/>
  <c r="C91" i="3"/>
  <c r="D90" i="3"/>
  <c r="C90" i="3"/>
  <c r="D89" i="3"/>
  <c r="E89" i="3"/>
  <c r="F89" i="3"/>
  <c r="C89" i="3"/>
  <c r="D88" i="3"/>
  <c r="C88" i="3"/>
  <c r="D87" i="3"/>
  <c r="E87" i="3"/>
  <c r="C87" i="3"/>
  <c r="D86" i="3"/>
  <c r="C86" i="3"/>
  <c r="D85" i="3"/>
  <c r="E85" i="3"/>
  <c r="F85" i="3"/>
  <c r="C85" i="3"/>
  <c r="D84" i="3"/>
  <c r="C84" i="3"/>
  <c r="C95" i="3"/>
  <c r="D81" i="3"/>
  <c r="E81" i="3"/>
  <c r="C81" i="3"/>
  <c r="F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F41" i="3"/>
  <c r="C41" i="3"/>
  <c r="C52" i="3"/>
  <c r="D38" i="3"/>
  <c r="E38" i="3"/>
  <c r="F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E45" i="2"/>
  <c r="F45" i="2"/>
  <c r="E44" i="2"/>
  <c r="F44" i="2"/>
  <c r="D39" i="2"/>
  <c r="C39" i="2"/>
  <c r="E39" i="2"/>
  <c r="F39" i="2"/>
  <c r="E38" i="2"/>
  <c r="F38" i="2"/>
  <c r="E37" i="2"/>
  <c r="F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C19" i="2"/>
  <c r="F15" i="2"/>
  <c r="E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F60" i="1"/>
  <c r="E60" i="1"/>
  <c r="E59" i="1"/>
  <c r="F59" i="1"/>
  <c r="D56" i="1"/>
  <c r="C56" i="1"/>
  <c r="E56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E38" i="1"/>
  <c r="F38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F29" i="1"/>
  <c r="E28" i="1"/>
  <c r="F28" i="1"/>
  <c r="E27" i="1"/>
  <c r="F27" i="1"/>
  <c r="F26" i="1"/>
  <c r="E26" i="1"/>
  <c r="E25" i="1"/>
  <c r="F25" i="1"/>
  <c r="D22" i="1"/>
  <c r="C22" i="1"/>
  <c r="E21" i="1"/>
  <c r="F21" i="1"/>
  <c r="E20" i="1"/>
  <c r="F20" i="1"/>
  <c r="E19" i="1"/>
  <c r="F19" i="1"/>
  <c r="F18" i="1"/>
  <c r="E18" i="1"/>
  <c r="F17" i="1"/>
  <c r="E17" i="1"/>
  <c r="E16" i="1"/>
  <c r="F16" i="1"/>
  <c r="E15" i="1"/>
  <c r="F15" i="1"/>
  <c r="F14" i="1"/>
  <c r="E14" i="1"/>
  <c r="E13" i="1"/>
  <c r="F13" i="1"/>
  <c r="F17" i="14"/>
  <c r="F30" i="14"/>
  <c r="F36" i="14"/>
  <c r="D68" i="14"/>
  <c r="F59" i="14"/>
  <c r="F94" i="14"/>
  <c r="F230" i="14"/>
  <c r="F307" i="14"/>
  <c r="D239" i="14"/>
  <c r="D75" i="1"/>
  <c r="E139" i="5"/>
  <c r="E135" i="5"/>
  <c r="E137" i="5"/>
  <c r="E138" i="5"/>
  <c r="E136" i="5"/>
  <c r="E140" i="5"/>
  <c r="D15" i="5"/>
  <c r="D25" i="5"/>
  <c r="D27" i="5"/>
  <c r="C33" i="9"/>
  <c r="E111" i="14"/>
  <c r="F111" i="14"/>
  <c r="D95" i="3"/>
  <c r="E95" i="3"/>
  <c r="F95" i="3"/>
  <c r="F56" i="1"/>
  <c r="F73" i="1"/>
  <c r="F46" i="2"/>
  <c r="E50" i="3"/>
  <c r="F50" i="3"/>
  <c r="E84" i="3"/>
  <c r="F84" i="3"/>
  <c r="E88" i="3"/>
  <c r="F88" i="3"/>
  <c r="E92" i="3"/>
  <c r="F92" i="3"/>
  <c r="D122" i="7"/>
  <c r="C43" i="5"/>
  <c r="C53" i="5"/>
  <c r="E22" i="1"/>
  <c r="F22" i="1"/>
  <c r="E61" i="1"/>
  <c r="F61" i="1"/>
  <c r="C49" i="5"/>
  <c r="C57" i="5"/>
  <c r="C62" i="5"/>
  <c r="D149" i="5"/>
  <c r="D207" i="6"/>
  <c r="E207" i="6"/>
  <c r="F207" i="6"/>
  <c r="D77" i="5"/>
  <c r="D71" i="5"/>
  <c r="D88" i="5"/>
  <c r="D90" i="5"/>
  <c r="D86" i="5"/>
  <c r="E21" i="10"/>
  <c r="E32" i="14"/>
  <c r="F32" i="14"/>
  <c r="E16" i="2"/>
  <c r="F16" i="2"/>
  <c r="D83" i="4"/>
  <c r="E86" i="3"/>
  <c r="F86" i="3"/>
  <c r="E90" i="3"/>
  <c r="F90" i="3"/>
  <c r="E94" i="3"/>
  <c r="C79" i="5"/>
  <c r="D121" i="7"/>
  <c r="E121" i="7"/>
  <c r="F121" i="7"/>
  <c r="D41" i="8"/>
  <c r="C75" i="8"/>
  <c r="E53" i="5"/>
  <c r="E43" i="5"/>
  <c r="E19" i="9"/>
  <c r="F19" i="9"/>
  <c r="D33" i="9"/>
  <c r="D21" i="10"/>
  <c r="C21" i="10"/>
  <c r="E68" i="14"/>
  <c r="F68" i="14"/>
  <c r="D176" i="4"/>
  <c r="C146" i="14"/>
  <c r="F144" i="14"/>
  <c r="D157" i="15"/>
  <c r="D320" i="15"/>
  <c r="E320" i="15"/>
  <c r="E316" i="15"/>
  <c r="D330" i="15"/>
  <c r="E330" i="15"/>
  <c r="E326" i="15"/>
  <c r="D41" i="17"/>
  <c r="E39" i="17"/>
  <c r="E109" i="19"/>
  <c r="E108" i="19"/>
  <c r="E278" i="14"/>
  <c r="D15" i="10"/>
  <c r="D59" i="10"/>
  <c r="D61" i="10"/>
  <c r="D57" i="10"/>
  <c r="G17" i="11"/>
  <c r="E20" i="14"/>
  <c r="F20" i="14"/>
  <c r="E31" i="14"/>
  <c r="F31" i="14"/>
  <c r="C48" i="14"/>
  <c r="E52" i="14"/>
  <c r="F52" i="14"/>
  <c r="E66" i="14"/>
  <c r="E76" i="14"/>
  <c r="F76" i="14"/>
  <c r="E88" i="14"/>
  <c r="F88" i="14"/>
  <c r="C102" i="14"/>
  <c r="E109" i="14"/>
  <c r="F109" i="14"/>
  <c r="F164" i="14"/>
  <c r="F198" i="14"/>
  <c r="F237" i="14"/>
  <c r="C255" i="14"/>
  <c r="C266" i="14"/>
  <c r="C274" i="14"/>
  <c r="F278" i="14"/>
  <c r="D43" i="15"/>
  <c r="E245" i="15"/>
  <c r="E20" i="17"/>
  <c r="E40" i="17"/>
  <c r="C277" i="14"/>
  <c r="C261" i="14"/>
  <c r="C254" i="14"/>
  <c r="D71" i="15"/>
  <c r="D76" i="15"/>
  <c r="D65" i="15"/>
  <c r="D294" i="15"/>
  <c r="D289" i="15"/>
  <c r="E289" i="15"/>
  <c r="E60" i="15"/>
  <c r="D144" i="15"/>
  <c r="D175" i="15"/>
  <c r="E175" i="15"/>
  <c r="E139" i="15"/>
  <c r="C252" i="15"/>
  <c r="E243" i="15"/>
  <c r="D104" i="14"/>
  <c r="D174" i="14"/>
  <c r="D254" i="14"/>
  <c r="F17" i="11"/>
  <c r="D33" i="11"/>
  <c r="F29" i="14"/>
  <c r="F35" i="14"/>
  <c r="C37" i="14"/>
  <c r="F47" i="14"/>
  <c r="F58" i="14"/>
  <c r="F101" i="14"/>
  <c r="C138" i="14"/>
  <c r="F179" i="14"/>
  <c r="C181" i="14"/>
  <c r="F191" i="14"/>
  <c r="F192" i="14"/>
  <c r="C200" i="14"/>
  <c r="C205" i="14"/>
  <c r="C214" i="14"/>
  <c r="E214" i="14"/>
  <c r="F214" i="14"/>
  <c r="C239" i="14"/>
  <c r="D163" i="15"/>
  <c r="C303" i="15"/>
  <c r="C306" i="15"/>
  <c r="C310" i="15"/>
  <c r="F20" i="17"/>
  <c r="F40" i="17"/>
  <c r="C283" i="15"/>
  <c r="C22" i="15"/>
  <c r="C284" i="15"/>
  <c r="D33" i="15"/>
  <c r="E32" i="15"/>
  <c r="C108" i="19"/>
  <c r="C109" i="19"/>
  <c r="D109" i="19"/>
  <c r="D108" i="19"/>
  <c r="D175" i="14"/>
  <c r="D62" i="14"/>
  <c r="D105" i="14"/>
  <c r="D90" i="14"/>
  <c r="D160" i="14"/>
  <c r="E137" i="14"/>
  <c r="F137" i="14"/>
  <c r="D207" i="14"/>
  <c r="D138" i="14"/>
  <c r="E138" i="14"/>
  <c r="E56" i="8"/>
  <c r="F56" i="8"/>
  <c r="E61" i="8"/>
  <c r="F61" i="8"/>
  <c r="E16" i="9"/>
  <c r="F16" i="9"/>
  <c r="C21" i="14"/>
  <c r="C77" i="14"/>
  <c r="E77" i="14"/>
  <c r="C89" i="14"/>
  <c r="F130" i="14"/>
  <c r="C172" i="14"/>
  <c r="C207" i="14"/>
  <c r="C208" i="14"/>
  <c r="C227" i="14"/>
  <c r="F229" i="14"/>
  <c r="C280" i="14"/>
  <c r="C290" i="14"/>
  <c r="E290" i="14"/>
  <c r="F294" i="14"/>
  <c r="F296" i="14"/>
  <c r="F298" i="14"/>
  <c r="F311" i="14"/>
  <c r="E239" i="14"/>
  <c r="C285" i="14"/>
  <c r="C288" i="14"/>
  <c r="E204" i="14"/>
  <c r="F204" i="14"/>
  <c r="C269" i="14"/>
  <c r="C270" i="14"/>
  <c r="E22" i="15"/>
  <c r="D55" i="15"/>
  <c r="E55" i="15"/>
  <c r="E54" i="15"/>
  <c r="C163" i="15"/>
  <c r="C156" i="15"/>
  <c r="C157" i="15"/>
  <c r="E157" i="15"/>
  <c r="F66" i="14"/>
  <c r="F155" i="14"/>
  <c r="C190" i="14"/>
  <c r="C199" i="14"/>
  <c r="C206" i="14"/>
  <c r="C215" i="14"/>
  <c r="C264" i="14"/>
  <c r="E264" i="14"/>
  <c r="E69" i="15"/>
  <c r="C38" i="16"/>
  <c r="C127" i="16"/>
  <c r="C129" i="16"/>
  <c r="C133" i="16"/>
  <c r="C41" i="17"/>
  <c r="E181" i="14"/>
  <c r="E188" i="15"/>
  <c r="D210" i="15"/>
  <c r="D217" i="15"/>
  <c r="E218" i="15"/>
  <c r="E233" i="15"/>
  <c r="E251" i="15"/>
  <c r="C253" i="15"/>
  <c r="C260" i="15"/>
  <c r="D261" i="15"/>
  <c r="E261" i="15"/>
  <c r="C22" i="16"/>
  <c r="C33" i="19"/>
  <c r="D34" i="19"/>
  <c r="C101" i="19"/>
  <c r="C103" i="19"/>
  <c r="D102" i="19"/>
  <c r="D193" i="14"/>
  <c r="D267" i="14"/>
  <c r="D277" i="14"/>
  <c r="D285" i="14"/>
  <c r="E285" i="14"/>
  <c r="D306" i="14"/>
  <c r="E306" i="14"/>
  <c r="E215" i="15"/>
  <c r="E219" i="15"/>
  <c r="D222" i="15"/>
  <c r="D223" i="15"/>
  <c r="D229" i="15"/>
  <c r="E229" i="15"/>
  <c r="C239" i="15"/>
  <c r="E239" i="15"/>
  <c r="D240" i="15"/>
  <c r="E240" i="15"/>
  <c r="D244" i="15"/>
  <c r="E244" i="15"/>
  <c r="E314" i="15"/>
  <c r="D22" i="19"/>
  <c r="C54" i="19"/>
  <c r="D124" i="14"/>
  <c r="E124" i="14"/>
  <c r="F124" i="14"/>
  <c r="D200" i="14"/>
  <c r="E200" i="14"/>
  <c r="D206" i="14"/>
  <c r="E206" i="14"/>
  <c r="F206" i="14"/>
  <c r="D262" i="14"/>
  <c r="D266" i="14"/>
  <c r="E266" i="14"/>
  <c r="D274" i="14"/>
  <c r="E274" i="14"/>
  <c r="D280" i="14"/>
  <c r="C211" i="15"/>
  <c r="C235" i="15"/>
  <c r="C222" i="15"/>
  <c r="E231" i="15"/>
  <c r="E260" i="15"/>
  <c r="E324" i="15"/>
  <c r="E19" i="17"/>
  <c r="F19" i="17"/>
  <c r="E43" i="17"/>
  <c r="D23" i="19"/>
  <c r="E101" i="19"/>
  <c r="E103" i="19"/>
  <c r="C111" i="19"/>
  <c r="D199" i="14"/>
  <c r="E199" i="14"/>
  <c r="D205" i="14"/>
  <c r="E205" i="14"/>
  <c r="F205" i="14"/>
  <c r="D215" i="14"/>
  <c r="D216" i="14"/>
  <c r="E216" i="14"/>
  <c r="D261" i="14"/>
  <c r="E221" i="15"/>
  <c r="C30" i="19"/>
  <c r="C36" i="19"/>
  <c r="C40" i="19"/>
  <c r="D21" i="14"/>
  <c r="D190" i="14"/>
  <c r="E190" i="14"/>
  <c r="D300" i="14"/>
  <c r="D268" i="14"/>
  <c r="D271" i="14"/>
  <c r="D263" i="14"/>
  <c r="E261" i="14"/>
  <c r="E46" i="17"/>
  <c r="F46" i="17"/>
  <c r="F43" i="17"/>
  <c r="D270" i="14"/>
  <c r="E270" i="14"/>
  <c r="E267" i="14"/>
  <c r="F267" i="14"/>
  <c r="E269" i="14"/>
  <c r="F269" i="14"/>
  <c r="C196" i="14"/>
  <c r="C126" i="14"/>
  <c r="C49" i="14"/>
  <c r="C91" i="14"/>
  <c r="D106" i="14"/>
  <c r="D176" i="14"/>
  <c r="C271" i="14"/>
  <c r="F261" i="14"/>
  <c r="C268" i="14"/>
  <c r="D41" i="9"/>
  <c r="E33" i="9"/>
  <c r="D24" i="5"/>
  <c r="D17" i="5"/>
  <c r="D265" i="14"/>
  <c r="D125" i="14"/>
  <c r="F181" i="14"/>
  <c r="F274" i="14"/>
  <c r="D288" i="14"/>
  <c r="E141" i="5"/>
  <c r="E172" i="14"/>
  <c r="F172" i="14"/>
  <c r="C173" i="14"/>
  <c r="E33" i="15"/>
  <c r="C216" i="14"/>
  <c r="E102" i="14"/>
  <c r="F102" i="14"/>
  <c r="C103" i="14"/>
  <c r="D24" i="10"/>
  <c r="D20" i="10"/>
  <c r="D17" i="10"/>
  <c r="D28" i="10"/>
  <c r="D20" i="5"/>
  <c r="D21" i="5"/>
  <c r="D140" i="14"/>
  <c r="E163" i="15"/>
  <c r="C254" i="15"/>
  <c r="C223" i="15"/>
  <c r="D126" i="14"/>
  <c r="D91" i="14"/>
  <c r="D49" i="14"/>
  <c r="D161" i="14"/>
  <c r="E21" i="14"/>
  <c r="F21" i="14"/>
  <c r="D46" i="19"/>
  <c r="D40" i="19"/>
  <c r="D36" i="19"/>
  <c r="D30" i="19"/>
  <c r="D111" i="19"/>
  <c r="D54" i="19"/>
  <c r="E280" i="14"/>
  <c r="D53" i="19"/>
  <c r="D45" i="19"/>
  <c r="D39" i="19"/>
  <c r="D35" i="19"/>
  <c r="D29" i="19"/>
  <c r="D110" i="19"/>
  <c r="D287" i="14"/>
  <c r="D279" i="14"/>
  <c r="D284" i="14"/>
  <c r="E277" i="14"/>
  <c r="E210" i="15"/>
  <c r="D234" i="15"/>
  <c r="E234" i="15"/>
  <c r="D211" i="15"/>
  <c r="E223" i="15"/>
  <c r="C56" i="19"/>
  <c r="C48" i="19"/>
  <c r="C38" i="19"/>
  <c r="C113" i="19"/>
  <c r="D272" i="14"/>
  <c r="D246" i="15"/>
  <c r="E222" i="15"/>
  <c r="D241" i="15"/>
  <c r="C265" i="14"/>
  <c r="C300" i="14"/>
  <c r="F264" i="14"/>
  <c r="F285" i="14"/>
  <c r="C286" i="14"/>
  <c r="C281" i="14"/>
  <c r="F280" i="14"/>
  <c r="D208" i="14"/>
  <c r="E207" i="14"/>
  <c r="F207" i="14"/>
  <c r="D63" i="14"/>
  <c r="E37" i="14"/>
  <c r="F37" i="14"/>
  <c r="D180" i="15"/>
  <c r="D168" i="15"/>
  <c r="D145" i="15"/>
  <c r="D259" i="15"/>
  <c r="D44" i="15"/>
  <c r="E41" i="17"/>
  <c r="F39" i="17"/>
  <c r="E146" i="14"/>
  <c r="F146" i="14"/>
  <c r="D138" i="5"/>
  <c r="D140" i="5"/>
  <c r="D136" i="5"/>
  <c r="D139" i="5"/>
  <c r="D137" i="5"/>
  <c r="D135" i="5"/>
  <c r="D141" i="5"/>
  <c r="F33" i="9"/>
  <c r="C41" i="9"/>
  <c r="F41" i="17"/>
  <c r="D252" i="15"/>
  <c r="F190" i="14"/>
  <c r="C304" i="14"/>
  <c r="D284" i="15"/>
  <c r="E284" i="15"/>
  <c r="D286" i="14"/>
  <c r="F239" i="14"/>
  <c r="F138" i="14"/>
  <c r="C140" i="14"/>
  <c r="D43" i="8"/>
  <c r="D255" i="14"/>
  <c r="E255" i="14"/>
  <c r="F255" i="14"/>
  <c r="E215" i="14"/>
  <c r="F215" i="14"/>
  <c r="D194" i="14"/>
  <c r="D196" i="14"/>
  <c r="E193" i="14"/>
  <c r="F193" i="14"/>
  <c r="E227" i="14"/>
  <c r="F227" i="14"/>
  <c r="E89" i="14"/>
  <c r="F89" i="14"/>
  <c r="D36" i="11"/>
  <c r="D38" i="11"/>
  <c r="D40" i="11"/>
  <c r="E254" i="14"/>
  <c r="F254" i="14"/>
  <c r="D66" i="15"/>
  <c r="C287" i="14"/>
  <c r="C279" i="14"/>
  <c r="F277" i="14"/>
  <c r="C284" i="14"/>
  <c r="C125" i="14"/>
  <c r="C90" i="14"/>
  <c r="E48" i="14"/>
  <c r="F48" i="14"/>
  <c r="C195" i="14"/>
  <c r="D253" i="15"/>
  <c r="E253" i="15"/>
  <c r="F199" i="14"/>
  <c r="E300" i="14"/>
  <c r="D282" i="14"/>
  <c r="E282" i="14"/>
  <c r="F282" i="14"/>
  <c r="F290" i="14"/>
  <c r="F200" i="14"/>
  <c r="D139" i="14"/>
  <c r="F266" i="14"/>
  <c r="E156" i="15"/>
  <c r="D197" i="14"/>
  <c r="E196" i="14"/>
  <c r="D113" i="19"/>
  <c r="D56" i="19"/>
  <c r="D48" i="19"/>
  <c r="D38" i="19"/>
  <c r="D92" i="14"/>
  <c r="E91" i="14"/>
  <c r="F91" i="14"/>
  <c r="D141" i="14"/>
  <c r="E140" i="14"/>
  <c r="C92" i="14"/>
  <c r="E279" i="14"/>
  <c r="D99" i="15"/>
  <c r="D95" i="15"/>
  <c r="D88" i="15"/>
  <c r="D84" i="15"/>
  <c r="D258" i="15"/>
  <c r="D101" i="15"/>
  <c r="D97" i="15"/>
  <c r="D86" i="15"/>
  <c r="D98" i="15"/>
  <c r="D87" i="15"/>
  <c r="D96" i="15"/>
  <c r="D85" i="15"/>
  <c r="D83" i="15"/>
  <c r="D100" i="15"/>
  <c r="D89" i="15"/>
  <c r="E208" i="14"/>
  <c r="D210" i="14"/>
  <c r="D209" i="14"/>
  <c r="D235" i="15"/>
  <c r="E235" i="15"/>
  <c r="E211" i="15"/>
  <c r="D47" i="19"/>
  <c r="D37" i="19"/>
  <c r="D112" i="19"/>
  <c r="D55" i="19"/>
  <c r="D50" i="14"/>
  <c r="E49" i="14"/>
  <c r="F49" i="14"/>
  <c r="D70" i="10"/>
  <c r="D72" i="10"/>
  <c r="D69" i="10"/>
  <c r="D22" i="10"/>
  <c r="E284" i="14"/>
  <c r="F216" i="14"/>
  <c r="E265" i="14"/>
  <c r="F196" i="14"/>
  <c r="E268" i="14"/>
  <c r="F268" i="14"/>
  <c r="D181" i="15"/>
  <c r="D169" i="15"/>
  <c r="D48" i="9"/>
  <c r="E41" i="9"/>
  <c r="C127" i="14"/>
  <c r="D304" i="14"/>
  <c r="D273" i="14"/>
  <c r="E271" i="14"/>
  <c r="F271" i="14"/>
  <c r="F208" i="14"/>
  <c r="C210" i="14"/>
  <c r="F265" i="14"/>
  <c r="D295" i="15"/>
  <c r="E125" i="14"/>
  <c r="F125" i="14"/>
  <c r="C289" i="14"/>
  <c r="C291" i="14"/>
  <c r="E194" i="14"/>
  <c r="F194" i="14"/>
  <c r="D195" i="14"/>
  <c r="E195" i="14"/>
  <c r="F195" i="14"/>
  <c r="F140" i="14"/>
  <c r="C141" i="14"/>
  <c r="E252" i="15"/>
  <c r="D254" i="15"/>
  <c r="E254" i="15"/>
  <c r="F41" i="9"/>
  <c r="C48" i="9"/>
  <c r="D263" i="15"/>
  <c r="D291" i="14"/>
  <c r="D289" i="14"/>
  <c r="E289" i="14"/>
  <c r="F289" i="14"/>
  <c r="E287" i="14"/>
  <c r="F287" i="14"/>
  <c r="D162" i="14"/>
  <c r="D127" i="14"/>
  <c r="E126" i="14"/>
  <c r="F126" i="14"/>
  <c r="E103" i="14"/>
  <c r="F103" i="14"/>
  <c r="C105" i="14"/>
  <c r="E173" i="14"/>
  <c r="F173" i="14"/>
  <c r="C175" i="14"/>
  <c r="D112" i="5"/>
  <c r="D111" i="5"/>
  <c r="D28" i="5"/>
  <c r="C50" i="14"/>
  <c r="F284" i="14"/>
  <c r="F279" i="14"/>
  <c r="E286" i="14"/>
  <c r="F286" i="14"/>
  <c r="F300" i="14"/>
  <c r="D247" i="15"/>
  <c r="D281" i="14"/>
  <c r="E281" i="14"/>
  <c r="F281" i="14"/>
  <c r="E90" i="14"/>
  <c r="F90" i="14"/>
  <c r="C106" i="14"/>
  <c r="E105" i="14"/>
  <c r="F105" i="14"/>
  <c r="D148" i="14"/>
  <c r="E127" i="14"/>
  <c r="C322" i="14"/>
  <c r="C305" i="14"/>
  <c r="E48" i="9"/>
  <c r="F48" i="9"/>
  <c r="F127" i="14"/>
  <c r="C148" i="14"/>
  <c r="D70" i="14"/>
  <c r="E50" i="14"/>
  <c r="D211" i="14"/>
  <c r="E210" i="14"/>
  <c r="F210" i="14"/>
  <c r="D264" i="15"/>
  <c r="C113" i="14"/>
  <c r="D99" i="5"/>
  <c r="D101" i="5"/>
  <c r="D98" i="5"/>
  <c r="D22" i="5"/>
  <c r="D183" i="14"/>
  <c r="D323" i="14"/>
  <c r="E304" i="14"/>
  <c r="F304" i="14"/>
  <c r="D322" i="14"/>
  <c r="E322" i="14"/>
  <c r="F322" i="14"/>
  <c r="E141" i="14"/>
  <c r="F141" i="14"/>
  <c r="D324" i="14"/>
  <c r="D113" i="14"/>
  <c r="E92" i="14"/>
  <c r="F92" i="14"/>
  <c r="F50" i="14"/>
  <c r="C176" i="14"/>
  <c r="C211" i="14"/>
  <c r="E175" i="14"/>
  <c r="F175" i="14"/>
  <c r="D305" i="14"/>
  <c r="E291" i="14"/>
  <c r="F291" i="14"/>
  <c r="D102" i="15"/>
  <c r="D90" i="15"/>
  <c r="C309" i="14"/>
  <c r="E106" i="14"/>
  <c r="F106" i="14"/>
  <c r="D103" i="15"/>
  <c r="D91" i="15"/>
  <c r="D266" i="15"/>
  <c r="E211" i="14"/>
  <c r="F211" i="14"/>
  <c r="D309" i="14"/>
  <c r="E305" i="14"/>
  <c r="F305" i="14"/>
  <c r="D325" i="14"/>
  <c r="F176" i="14"/>
  <c r="E176" i="14"/>
  <c r="E113" i="14"/>
  <c r="F113" i="14"/>
  <c r="C324" i="14"/>
  <c r="E148" i="14"/>
  <c r="F148" i="14"/>
  <c r="D267" i="15"/>
  <c r="E309" i="14"/>
  <c r="D310" i="14"/>
  <c r="D105" i="15"/>
  <c r="F309" i="14"/>
  <c r="C310" i="14"/>
  <c r="E324" i="14"/>
  <c r="F324" i="14"/>
  <c r="D312" i="14"/>
  <c r="E312" i="14"/>
  <c r="F312" i="14"/>
  <c r="E310" i="14"/>
  <c r="F310" i="14"/>
  <c r="D269" i="15"/>
  <c r="D268" i="15"/>
  <c r="C312" i="14"/>
  <c r="D313" i="14"/>
  <c r="E313" i="14"/>
  <c r="F313" i="14"/>
  <c r="D271" i="15"/>
  <c r="C313" i="14"/>
  <c r="C251" i="14"/>
  <c r="C314" i="14"/>
  <c r="C318" i="14"/>
  <c r="C256" i="14"/>
  <c r="C315" i="14"/>
  <c r="D314" i="14"/>
  <c r="D251" i="14"/>
  <c r="E251" i="14"/>
  <c r="F251" i="14"/>
  <c r="D256" i="14"/>
  <c r="D257" i="14"/>
  <c r="E257" i="14"/>
  <c r="F257" i="14"/>
  <c r="E314" i="14"/>
  <c r="F314" i="14"/>
  <c r="C257" i="14"/>
  <c r="E256" i="14"/>
  <c r="F256" i="14"/>
  <c r="F270" i="14"/>
  <c r="E288" i="14"/>
  <c r="F288" i="14"/>
  <c r="C43" i="1"/>
  <c r="E65" i="1"/>
  <c r="C33" i="2"/>
  <c r="F111" i="3"/>
  <c r="F153" i="3"/>
  <c r="F179" i="3"/>
  <c r="F24" i="4"/>
  <c r="F155" i="4"/>
  <c r="C24" i="5"/>
  <c r="C17" i="5"/>
  <c r="E21" i="5"/>
  <c r="C154" i="5"/>
  <c r="C152" i="5"/>
  <c r="C155" i="5"/>
  <c r="C156" i="5"/>
  <c r="C157" i="5"/>
  <c r="C153" i="5"/>
  <c r="D315" i="14"/>
  <c r="E315" i="14"/>
  <c r="F315" i="14"/>
  <c r="D77" i="15"/>
  <c r="F65" i="1"/>
  <c r="C75" i="1"/>
  <c r="E19" i="2"/>
  <c r="F19" i="2"/>
  <c r="D33" i="2"/>
  <c r="F87" i="3"/>
  <c r="F91" i="3"/>
  <c r="C137" i="5"/>
  <c r="C135" i="5"/>
  <c r="C140" i="5"/>
  <c r="C139" i="5"/>
  <c r="C136" i="5"/>
  <c r="C138" i="5"/>
  <c r="D155" i="5"/>
  <c r="D153" i="5"/>
  <c r="D154" i="5"/>
  <c r="D157" i="5"/>
  <c r="D156" i="5"/>
  <c r="D152" i="5"/>
  <c r="D158" i="5"/>
  <c r="E71" i="15"/>
  <c r="E31" i="2"/>
  <c r="F31" i="2"/>
  <c r="E68" i="3"/>
  <c r="F68" i="3"/>
  <c r="E137" i="3"/>
  <c r="F137" i="3"/>
  <c r="E166" i="3"/>
  <c r="F166" i="3"/>
  <c r="E18" i="4"/>
  <c r="F18" i="4"/>
  <c r="E30" i="4"/>
  <c r="F30" i="4"/>
  <c r="C83" i="4"/>
  <c r="E15" i="5"/>
  <c r="C25" i="5"/>
  <c r="C27" i="5"/>
  <c r="D57" i="5"/>
  <c r="D62" i="5"/>
  <c r="D49" i="5"/>
  <c r="D53" i="5"/>
  <c r="C77" i="5"/>
  <c r="C71" i="5"/>
  <c r="E77" i="5"/>
  <c r="E71" i="5"/>
  <c r="E166" i="5"/>
  <c r="F24" i="6"/>
  <c r="F63" i="6"/>
  <c r="F95" i="7"/>
  <c r="D41" i="1"/>
  <c r="E41" i="1"/>
  <c r="F41" i="1"/>
  <c r="D52" i="3"/>
  <c r="E52" i="3"/>
  <c r="F52" i="3"/>
  <c r="C176" i="4"/>
  <c r="E176" i="4"/>
  <c r="E57" i="5"/>
  <c r="E62" i="5"/>
  <c r="F23" i="6"/>
  <c r="E65" i="8"/>
  <c r="F65" i="8"/>
  <c r="D75" i="8"/>
  <c r="E75" i="8"/>
  <c r="F75" i="8"/>
  <c r="E49" i="6"/>
  <c r="F49" i="6"/>
  <c r="E62" i="6"/>
  <c r="F62" i="6"/>
  <c r="E200" i="6"/>
  <c r="F200" i="6"/>
  <c r="E202" i="6"/>
  <c r="F202" i="6"/>
  <c r="E204" i="6"/>
  <c r="F204" i="6"/>
  <c r="E206" i="6"/>
  <c r="F206" i="6"/>
  <c r="D208" i="6"/>
  <c r="F60" i="7"/>
  <c r="F96" i="7"/>
  <c r="F108" i="7"/>
  <c r="C122" i="7"/>
  <c r="F113" i="7"/>
  <c r="F115" i="7"/>
  <c r="E118" i="7"/>
  <c r="F118" i="7"/>
  <c r="E22" i="8"/>
  <c r="F22" i="8"/>
  <c r="E38" i="8"/>
  <c r="F38" i="8"/>
  <c r="C41" i="8"/>
  <c r="C59" i="10"/>
  <c r="C61" i="10"/>
  <c r="C57" i="10"/>
  <c r="E33" i="11"/>
  <c r="E16" i="12"/>
  <c r="F16" i="12"/>
  <c r="E23" i="12"/>
  <c r="F23" i="12"/>
  <c r="E37" i="12"/>
  <c r="F37" i="12"/>
  <c r="E283" i="14"/>
  <c r="F283" i="14"/>
  <c r="C208" i="6"/>
  <c r="C43" i="8"/>
  <c r="C15" i="10"/>
  <c r="E15" i="10"/>
  <c r="E48" i="10"/>
  <c r="E42" i="10"/>
  <c r="C33" i="11"/>
  <c r="E24" i="14"/>
  <c r="F24" i="14"/>
  <c r="C60" i="14"/>
  <c r="E100" i="14"/>
  <c r="F100" i="14"/>
  <c r="E158" i="14"/>
  <c r="F158" i="14"/>
  <c r="E165" i="14"/>
  <c r="F165" i="14"/>
  <c r="C262" i="14"/>
  <c r="C65" i="16"/>
  <c r="C114" i="16"/>
  <c r="C116" i="16"/>
  <c r="C119" i="16"/>
  <c r="C123" i="16"/>
  <c r="F85" i="14"/>
  <c r="E123" i="14"/>
  <c r="F123" i="14"/>
  <c r="C159" i="14"/>
  <c r="E189" i="14"/>
  <c r="F189" i="14"/>
  <c r="E203" i="14"/>
  <c r="F203" i="14"/>
  <c r="E299" i="14"/>
  <c r="F299" i="14"/>
  <c r="C76" i="15"/>
  <c r="C77" i="15"/>
  <c r="D283" i="15"/>
  <c r="E283" i="15"/>
  <c r="E21" i="15"/>
  <c r="C43" i="15"/>
  <c r="C144" i="15"/>
  <c r="C189" i="15"/>
  <c r="E189" i="15"/>
  <c r="C217" i="15"/>
  <c r="D302" i="15"/>
  <c r="C49" i="16"/>
  <c r="E36" i="17"/>
  <c r="F36" i="17"/>
  <c r="C22" i="19"/>
  <c r="E33" i="19"/>
  <c r="C34" i="19"/>
  <c r="D101" i="19"/>
  <c r="D103" i="19"/>
  <c r="C65" i="15"/>
  <c r="E22" i="19"/>
  <c r="E23" i="19"/>
  <c r="C121" i="15"/>
  <c r="C110" i="15"/>
  <c r="C123" i="15"/>
  <c r="C124" i="15"/>
  <c r="C122" i="15"/>
  <c r="C109" i="15"/>
  <c r="C115" i="15"/>
  <c r="C125" i="15"/>
  <c r="C114" i="15"/>
  <c r="C127" i="15"/>
  <c r="C112" i="15"/>
  <c r="C113" i="15"/>
  <c r="C111" i="15"/>
  <c r="C126" i="15"/>
  <c r="E110" i="19"/>
  <c r="E35" i="19"/>
  <c r="E45" i="19"/>
  <c r="E53" i="19"/>
  <c r="E29" i="19"/>
  <c r="E39" i="19"/>
  <c r="E302" i="15"/>
  <c r="D303" i="15"/>
  <c r="C259" i="15"/>
  <c r="C44" i="15"/>
  <c r="E43" i="15"/>
  <c r="C36" i="11"/>
  <c r="C38" i="11"/>
  <c r="C40" i="11"/>
  <c r="F33" i="11"/>
  <c r="F36" i="11"/>
  <c r="F38" i="11"/>
  <c r="F40" i="11"/>
  <c r="E24" i="10"/>
  <c r="E20" i="10"/>
  <c r="E17" i="10"/>
  <c r="E28" i="10"/>
  <c r="E43" i="8"/>
  <c r="F43" i="8"/>
  <c r="E36" i="11"/>
  <c r="E38" i="11"/>
  <c r="E40" i="11"/>
  <c r="G33" i="11"/>
  <c r="G36" i="11"/>
  <c r="G38" i="11"/>
  <c r="G40" i="11"/>
  <c r="E41" i="8"/>
  <c r="F41" i="8"/>
  <c r="E122" i="7"/>
  <c r="F122" i="7"/>
  <c r="E208" i="6"/>
  <c r="E24" i="5"/>
  <c r="E20" i="5"/>
  <c r="E17" i="5"/>
  <c r="E33" i="2"/>
  <c r="D41" i="2"/>
  <c r="F75" i="1"/>
  <c r="E75" i="1"/>
  <c r="E76" i="15"/>
  <c r="F33" i="2"/>
  <c r="C41" i="2"/>
  <c r="E54" i="19"/>
  <c r="E36" i="19"/>
  <c r="E46" i="19"/>
  <c r="E111" i="19"/>
  <c r="E30" i="19"/>
  <c r="E40" i="19"/>
  <c r="C294" i="15"/>
  <c r="E294" i="15"/>
  <c r="C66" i="15"/>
  <c r="C246" i="15"/>
  <c r="E246" i="15"/>
  <c r="E65" i="15"/>
  <c r="C45" i="19"/>
  <c r="C35" i="19"/>
  <c r="C110" i="19"/>
  <c r="C39" i="19"/>
  <c r="C29" i="19"/>
  <c r="C53" i="19"/>
  <c r="C241" i="15"/>
  <c r="E241" i="15"/>
  <c r="E217" i="15"/>
  <c r="C145" i="15"/>
  <c r="C180" i="15"/>
  <c r="E180" i="15"/>
  <c r="C168" i="15"/>
  <c r="E168" i="15"/>
  <c r="E144" i="15"/>
  <c r="E159" i="14"/>
  <c r="F159" i="14"/>
  <c r="C161" i="14"/>
  <c r="C160" i="14"/>
  <c r="C263" i="14"/>
  <c r="C272" i="14"/>
  <c r="F262" i="14"/>
  <c r="E262" i="14"/>
  <c r="E60" i="14"/>
  <c r="F60" i="14"/>
  <c r="C61" i="14"/>
  <c r="C24" i="10"/>
  <c r="C20" i="10"/>
  <c r="C17" i="10"/>
  <c r="C28" i="10"/>
  <c r="F208" i="6"/>
  <c r="F176" i="4"/>
  <c r="E155" i="5"/>
  <c r="E157" i="5"/>
  <c r="E152" i="5"/>
  <c r="E154" i="5"/>
  <c r="E153" i="5"/>
  <c r="E156" i="5"/>
  <c r="C21" i="5"/>
  <c r="C20" i="5"/>
  <c r="E83" i="4"/>
  <c r="F83" i="4"/>
  <c r="C141" i="5"/>
  <c r="D126" i="15"/>
  <c r="E126" i="15"/>
  <c r="D122" i="15"/>
  <c r="D121" i="15"/>
  <c r="D127" i="15"/>
  <c r="E127" i="15"/>
  <c r="E77" i="15"/>
  <c r="D115" i="15"/>
  <c r="E115" i="15"/>
  <c r="D111" i="15"/>
  <c r="E111" i="15"/>
  <c r="D124" i="15"/>
  <c r="E124" i="15"/>
  <c r="D113" i="15"/>
  <c r="E113" i="15"/>
  <c r="D109" i="15"/>
  <c r="D110" i="15"/>
  <c r="D125" i="15"/>
  <c r="E125" i="15"/>
  <c r="D114" i="15"/>
  <c r="E114" i="15"/>
  <c r="D123" i="15"/>
  <c r="E123" i="15"/>
  <c r="D112" i="15"/>
  <c r="E112" i="15"/>
  <c r="C158" i="5"/>
  <c r="C112" i="5"/>
  <c r="C111" i="5"/>
  <c r="C28" i="5"/>
  <c r="C99" i="5"/>
  <c r="C101" i="5"/>
  <c r="C98" i="5"/>
  <c r="D43" i="1"/>
  <c r="E43" i="1"/>
  <c r="F43" i="1"/>
  <c r="D318" i="14"/>
  <c r="E318" i="14"/>
  <c r="F318" i="14"/>
  <c r="E109" i="15"/>
  <c r="D128" i="15"/>
  <c r="E122" i="15"/>
  <c r="C22" i="10"/>
  <c r="C70" i="10"/>
  <c r="C72" i="10"/>
  <c r="C69" i="10"/>
  <c r="C139" i="14"/>
  <c r="E61" i="14"/>
  <c r="C209" i="14"/>
  <c r="C174" i="14"/>
  <c r="C104" i="14"/>
  <c r="F61" i="14"/>
  <c r="C62" i="14"/>
  <c r="E263" i="14"/>
  <c r="F263" i="14"/>
  <c r="E161" i="14"/>
  <c r="C162" i="14"/>
  <c r="F161" i="14"/>
  <c r="C181" i="15"/>
  <c r="E181" i="15"/>
  <c r="C169" i="15"/>
  <c r="E169" i="15"/>
  <c r="E145" i="15"/>
  <c r="C112" i="19"/>
  <c r="C47" i="19"/>
  <c r="C55" i="19"/>
  <c r="C37" i="19"/>
  <c r="E38" i="19"/>
  <c r="E56" i="19"/>
  <c r="E48" i="19"/>
  <c r="E113" i="19"/>
  <c r="D48" i="2"/>
  <c r="E41" i="2"/>
  <c r="E112" i="5"/>
  <c r="E111" i="5"/>
  <c r="E28" i="5"/>
  <c r="C258" i="15"/>
  <c r="C87" i="15"/>
  <c r="E87" i="15"/>
  <c r="C100" i="15"/>
  <c r="E100" i="15"/>
  <c r="C89" i="15"/>
  <c r="E89" i="15"/>
  <c r="C101" i="15"/>
  <c r="E101" i="15"/>
  <c r="C88" i="15"/>
  <c r="E88" i="15"/>
  <c r="C86" i="15"/>
  <c r="E86" i="15"/>
  <c r="C84" i="15"/>
  <c r="C98" i="15"/>
  <c r="E98" i="15"/>
  <c r="C83" i="15"/>
  <c r="C96" i="15"/>
  <c r="C85" i="15"/>
  <c r="E85" i="15"/>
  <c r="C99" i="15"/>
  <c r="E99" i="15"/>
  <c r="C97" i="15"/>
  <c r="E97" i="15"/>
  <c r="C95" i="15"/>
  <c r="E44" i="15"/>
  <c r="D306" i="15"/>
  <c r="E303" i="15"/>
  <c r="C117" i="15"/>
  <c r="C116" i="15"/>
  <c r="D116" i="15"/>
  <c r="E116" i="15"/>
  <c r="E110" i="15"/>
  <c r="E121" i="15"/>
  <c r="D129" i="15"/>
  <c r="C22" i="5"/>
  <c r="E158" i="5"/>
  <c r="C273" i="14"/>
  <c r="E272" i="14"/>
  <c r="F272" i="14"/>
  <c r="E160" i="14"/>
  <c r="F160" i="14"/>
  <c r="E66" i="15"/>
  <c r="C247" i="15"/>
  <c r="E247" i="15"/>
  <c r="C295" i="15"/>
  <c r="E295" i="15"/>
  <c r="C48" i="2"/>
  <c r="F41" i="2"/>
  <c r="E70" i="10"/>
  <c r="E72" i="10"/>
  <c r="E69" i="10"/>
  <c r="E22" i="10"/>
  <c r="C263" i="15"/>
  <c r="E263" i="15"/>
  <c r="E259" i="15"/>
  <c r="E47" i="19"/>
  <c r="E112" i="19"/>
  <c r="E37" i="19"/>
  <c r="E55" i="19"/>
  <c r="C128" i="15"/>
  <c r="C129" i="15"/>
  <c r="E273" i="14"/>
  <c r="F273" i="14"/>
  <c r="C131" i="15"/>
  <c r="D310" i="15"/>
  <c r="E310" i="15"/>
  <c r="E306" i="15"/>
  <c r="E95" i="15"/>
  <c r="C102" i="15"/>
  <c r="E102" i="15"/>
  <c r="E96" i="15"/>
  <c r="C264" i="15"/>
  <c r="E258" i="15"/>
  <c r="E48" i="2"/>
  <c r="F48" i="2"/>
  <c r="E174" i="14"/>
  <c r="F174" i="14"/>
  <c r="D117" i="15"/>
  <c r="E129" i="15"/>
  <c r="E83" i="15"/>
  <c r="C90" i="15"/>
  <c r="E90" i="15"/>
  <c r="E84" i="15"/>
  <c r="E99" i="5"/>
  <c r="E101" i="5"/>
  <c r="E98" i="5"/>
  <c r="E22" i="5"/>
  <c r="C197" i="14"/>
  <c r="C183" i="14"/>
  <c r="E162" i="14"/>
  <c r="F162" i="14"/>
  <c r="C323" i="14"/>
  <c r="E62" i="14"/>
  <c r="F62" i="14"/>
  <c r="C63" i="14"/>
  <c r="E104" i="14"/>
  <c r="F104" i="14"/>
  <c r="F209" i="14"/>
  <c r="E209" i="14"/>
  <c r="F139" i="14"/>
  <c r="E139" i="14"/>
  <c r="E128" i="15"/>
  <c r="F323" i="14"/>
  <c r="E323" i="14"/>
  <c r="C325" i="14"/>
  <c r="C70" i="14"/>
  <c r="E63" i="14"/>
  <c r="F63" i="14"/>
  <c r="F183" i="14"/>
  <c r="E183" i="14"/>
  <c r="E197" i="14"/>
  <c r="F197" i="14"/>
  <c r="C91" i="15"/>
  <c r="D131" i="15"/>
  <c r="E131" i="15"/>
  <c r="E117" i="15"/>
  <c r="C266" i="15"/>
  <c r="E264" i="15"/>
  <c r="C103" i="15"/>
  <c r="E103" i="15"/>
  <c r="E266" i="15"/>
  <c r="C267" i="15"/>
  <c r="E70" i="14"/>
  <c r="F70" i="14"/>
  <c r="C105" i="15"/>
  <c r="E105" i="15"/>
  <c r="E91" i="15"/>
  <c r="E325" i="14"/>
  <c r="F325" i="14"/>
  <c r="C268" i="15"/>
  <c r="E267" i="15"/>
  <c r="C269" i="15"/>
  <c r="E269" i="15"/>
  <c r="C271" i="15"/>
  <c r="E271" i="15"/>
  <c r="E268" i="15"/>
</calcChain>
</file>

<file path=xl/sharedStrings.xml><?xml version="1.0" encoding="utf-8"?>
<sst xmlns="http://schemas.openxmlformats.org/spreadsheetml/2006/main" count="2302" uniqueCount="980">
  <si>
    <t>MIDSTATE MEDICAL CENTER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</si>
  <si>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</si>
  <si>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</si>
  <si>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</si>
  <si>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</si>
  <si>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</si>
  <si>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</si>
  <si>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</si>
  <si>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</si>
  <si>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</si>
  <si>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</si>
  <si>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</si>
  <si>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</si>
  <si>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</si>
  <si>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</si>
  <si>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</si>
  <si>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</si>
  <si>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</si>
  <si>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</si>
  <si>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</si>
  <si>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</si>
  <si>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</si>
  <si>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</si>
  <si>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</si>
  <si>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</si>
  <si>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</si>
  <si>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</si>
  <si>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</si>
  <si>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</si>
  <si>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</si>
  <si>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</si>
  <si>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</si>
  <si>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</si>
  <si>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</si>
  <si>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</si>
  <si>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</si>
  <si>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</si>
  <si>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</si>
  <si>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</si>
  <si>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</si>
  <si>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</si>
  <si>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</si>
  <si>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</si>
  <si>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</si>
  <si>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</si>
  <si>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</si>
  <si>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</si>
  <si>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</si>
  <si>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</si>
  <si>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</si>
  <si>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</si>
  <si>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</si>
  <si>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</si>
  <si>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</si>
  <si>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</si>
  <si>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</si>
  <si>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</si>
  <si>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</si>
  <si>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</si>
  <si>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</si>
  <si>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</si>
  <si>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</si>
  <si>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</si>
  <si>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</si>
  <si>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</si>
  <si>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</si>
  <si>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</si>
  <si>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</si>
  <si>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</si>
  <si>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</si>
  <si>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</si>
  <si>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</si>
  <si>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</si>
  <si>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</si>
  <si>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</si>
  <si>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</si>
  <si>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</si>
  <si>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</si>
  <si>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</si>
  <si>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</si>
  <si>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</si>
  <si>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</si>
  <si>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</si>
  <si>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</si>
  <si>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</si>
  <si>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</si>
  <si>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</si>
  <si>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</si>
  <si>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</si>
  <si>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</si>
  <si>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</si>
  <si>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</si>
  <si>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</si>
  <si>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</si>
  <si>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</si>
  <si>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</si>
  <si>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</si>
  <si>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</si>
  <si>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</si>
  <si>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</si>
  <si>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</si>
  <si>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</si>
  <si>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</si>
  <si>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</si>
  <si>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</si>
  <si>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</si>
  <si>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</si>
  <si>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</si>
  <si>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</si>
  <si>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</si>
  <si>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</si>
  <si>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</si>
  <si>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</si>
  <si>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</si>
  <si>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</si>
  <si>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</si>
  <si>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</si>
  <si>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</si>
  <si>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</si>
  <si>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</si>
  <si>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</si>
  <si>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</si>
  <si>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</si>
  <si>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</si>
  <si>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</si>
  <si>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</si>
  <si>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</si>
  <si>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</si>
  <si>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</si>
  <si>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</si>
  <si>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</si>
  <si>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</si>
  <si>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</si>
  <si>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</si>
  <si>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</si>
  <si>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</si>
  <si>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</si>
  <si>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</si>
  <si>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</si>
  <si>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</si>
  <si>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</si>
  <si>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</si>
  <si>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</si>
  <si>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</si>
  <si>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</si>
  <si>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</si>
  <si>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</si>
  <si>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</si>
  <si>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</si>
  <si>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</si>
  <si>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</si>
  <si>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</si>
  <si>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</si>
  <si>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</si>
  <si>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</si>
  <si>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</si>
  <si>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</si>
  <si>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</si>
  <si>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</si>
  <si>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</si>
  <si>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</si>
  <si>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</si>
  <si>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</si>
  <si>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</si>
  <si>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</si>
  <si>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</si>
  <si>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</si>
  <si>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</si>
  <si>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</si>
  <si>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</si>
  <si>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</si>
  <si>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</si>
  <si>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</si>
  <si>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</si>
  <si>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</si>
  <si>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</si>
  <si>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</si>
  <si>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</si>
  <si>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</si>
  <si>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</si>
  <si>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</si>
  <si>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</si>
  <si>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</si>
  <si>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</si>
  <si>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</si>
  <si>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</si>
  <si>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</si>
  <si>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</si>
  <si>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</si>
  <si>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</si>
  <si>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</si>
  <si>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</si>
  <si>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</si>
  <si>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</si>
  <si>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</si>
  <si>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</si>
  <si>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</si>
  <si>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</si>
  <si>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</si>
  <si>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</si>
  <si>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</si>
  <si>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</si>
  <si>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</si>
  <si>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</si>
  <si>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</si>
  <si>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</si>
  <si>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</si>
  <si>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</si>
  <si>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</si>
  <si>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</si>
  <si>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</si>
  <si>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</si>
  <si>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</si>
  <si>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</si>
  <si>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</si>
  <si>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</si>
  <si>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</si>
  <si>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</si>
  <si>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</si>
  <si>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</si>
  <si>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</si>
  <si>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</si>
  <si>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</si>
  <si>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</si>
  <si>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</si>
  <si>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</si>
  <si>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</si>
  <si>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</si>
  <si>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</si>
  <si>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</si>
  <si>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</si>
  <si>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</si>
  <si>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</si>
  <si>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</si>
  <si>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</si>
  <si>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</si>
  <si>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</si>
  <si>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</si>
  <si>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</si>
  <si>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</si>
  <si>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</si>
  <si>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</si>
  <si>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</si>
  <si>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</si>
  <si>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</si>
  <si>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</si>
  <si>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</si>
  <si>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</si>
  <si>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</si>
  <si>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</si>
  <si>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</si>
  <si>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</si>
  <si>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</si>
  <si>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</si>
  <si>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</si>
  <si>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</si>
  <si>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</si>
  <si>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</si>
  <si>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</si>
  <si>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</si>
  <si>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</si>
  <si>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</si>
  <si>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</si>
  <si>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</si>
  <si>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</si>
  <si>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</si>
  <si>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</si>
  <si>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</si>
  <si>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</si>
  <si>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</si>
  <si>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</si>
  <si>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</si>
  <si>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</si>
  <si>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</si>
  <si>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</si>
  <si>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</si>
  <si>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</si>
  <si>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</si>
  <si>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</si>
  <si>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</si>
  <si>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</si>
  <si>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</si>
  <si>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</si>
  <si>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</si>
  <si>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</si>
  <si>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</si>
  <si>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</si>
  <si>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</si>
  <si>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</si>
  <si>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</si>
  <si>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</si>
  <si>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</si>
  <si>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</si>
  <si>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</si>
  <si>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</si>
  <si>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</si>
  <si>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</si>
  <si>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</si>
  <si>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</si>
  <si>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</si>
  <si>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</si>
  <si>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</si>
  <si>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</si>
  <si>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</si>
  <si>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</si>
  <si>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</si>
  <si>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</si>
  <si>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</si>
  <si>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</si>
  <si>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</si>
  <si>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</si>
  <si>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</si>
  <si>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</si>
  <si>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</si>
  <si>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</si>
  <si>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</si>
  <si>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</si>
  <si>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</si>
  <si>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</si>
  <si>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</si>
  <si>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</si>
  <si>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</si>
  <si>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</si>
  <si>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</si>
  <si>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</si>
  <si>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</si>
  <si>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</si>
  <si>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</si>
  <si>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</si>
  <si>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</si>
  <si>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</si>
  <si>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</si>
  <si>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</si>
  <si>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</si>
  <si>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</si>
  <si>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</si>
  <si>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</si>
  <si>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</si>
  <si>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</si>
  <si>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</si>
  <si>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</si>
  <si>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</si>
  <si>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</si>
  <si>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</si>
  <si>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</si>
  <si>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</si>
  <si>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</si>
  <si>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</si>
  <si>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</si>
  <si>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</si>
  <si>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</si>
  <si>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</si>
  <si>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</si>
  <si>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</si>
  <si>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</si>
  <si>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</si>
  <si>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</si>
  <si>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</si>
  <si>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</si>
  <si>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</si>
  <si>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</si>
  <si>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</si>
  <si>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</si>
  <si>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</si>
  <si>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</si>
  <si>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</si>
  <si>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</si>
  <si>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</si>
  <si>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</si>
  <si>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</si>
  <si>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</si>
  <si>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</si>
  <si>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</si>
  <si>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</si>
  <si>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</si>
  <si>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</si>
  <si>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</si>
  <si>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</si>
  <si>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</si>
  <si>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</si>
  <si>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</si>
  <si>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</si>
  <si>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</si>
  <si>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</si>
  <si>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</si>
  <si>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</si>
  <si>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</si>
  <si>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</si>
  <si>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</si>
  <si>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</si>
  <si>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</si>
  <si>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</si>
  <si>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</si>
  <si>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</si>
  <si>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</si>
  <si>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</si>
  <si>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</si>
  <si>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</si>
  <si>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</si>
  <si>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</si>
  <si>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</si>
  <si>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</si>
  <si>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</si>
  <si>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</si>
  <si>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</si>
  <si>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</si>
  <si>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</si>
  <si>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</si>
  <si>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</si>
  <si>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</si>
  <si>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</si>
  <si>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</si>
  <si>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</si>
  <si>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</si>
  <si>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</si>
  <si>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</si>
  <si>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</si>
  <si>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</si>
  <si>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</si>
  <si>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</si>
  <si>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</si>
  <si>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</si>
  <si>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</si>
  <si>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</si>
  <si>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</si>
  <si>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</si>
  <si>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</si>
  <si>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</si>
  <si>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</si>
  <si>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</si>
  <si>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</si>
  <si>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</si>
  <si>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</si>
  <si>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</si>
  <si>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</si>
  <si>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</si>
  <si>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</si>
  <si>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</si>
  <si>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</si>
  <si>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</si>
  <si>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</si>
  <si>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</si>
  <si>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</si>
  <si>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</si>
  <si>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</si>
  <si>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</si>
  <si>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</si>
  <si>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</si>
  <si>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</si>
  <si>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</si>
  <si>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</si>
  <si>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</si>
  <si>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</si>
  <si>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</si>
  <si>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</si>
  <si>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</si>
  <si>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</si>
  <si>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</si>
  <si>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</si>
  <si>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</si>
  <si>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</si>
  <si>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</si>
  <si>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</si>
  <si>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</si>
  <si>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</si>
  <si>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</si>
  <si>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</si>
  <si>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</si>
  <si>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</si>
  <si>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</si>
  <si>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</si>
  <si>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</si>
  <si>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</si>
  <si>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</si>
  <si>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</si>
  <si>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</si>
  <si>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</si>
  <si>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</si>
  <si>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</si>
  <si>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MIDSTATE MEDICAL CENTER AND SUBSIDIARIES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</si>
  <si>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</si>
  <si>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</si>
  <si>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</si>
  <si>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</si>
  <si>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</si>
  <si>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</si>
  <si>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</si>
  <si>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</si>
  <si>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</si>
  <si>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</si>
  <si>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</si>
  <si>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</si>
  <si>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</si>
  <si>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</si>
  <si>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</si>
  <si>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</si>
  <si>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</si>
  <si>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</si>
  <si>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</si>
  <si>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</si>
  <si>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</si>
  <si>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</si>
  <si>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</si>
  <si>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</si>
  <si>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</si>
  <si>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</si>
  <si>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</si>
  <si>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</si>
  <si>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</si>
  <si>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</si>
  <si>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</si>
  <si>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</si>
  <si>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</si>
  <si>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</si>
  <si>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</si>
  <si>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</si>
  <si>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</si>
  <si>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</si>
  <si>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</si>
  <si>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</si>
  <si>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</si>
  <si>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</si>
  <si>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</si>
  <si>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</si>
  <si>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</si>
  <si>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</si>
  <si>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</si>
  <si>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</si>
  <si>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</si>
  <si>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</si>
  <si>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</si>
  <si>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</si>
  <si>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</si>
  <si>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</si>
  <si>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</si>
  <si>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</si>
  <si>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</si>
  <si>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</si>
  <si>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</si>
  <si>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</si>
  <si>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</si>
  <si>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</si>
  <si>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</si>
  <si>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</si>
  <si>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</si>
  <si>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</si>
  <si>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</si>
  <si>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</si>
  <si>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</si>
  <si>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</si>
  <si>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</si>
  <si>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</si>
  <si>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</si>
  <si>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</si>
  <si>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</si>
  <si>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</si>
  <si>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</si>
  <si>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</si>
  <si>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</si>
  <si>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</si>
  <si>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</si>
  <si>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</si>
  <si>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</si>
  <si>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</si>
  <si>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</si>
  <si>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</si>
  <si>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</si>
  <si>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</si>
  <si>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</si>
  <si>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</si>
  <si>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</si>
  <si>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</si>
  <si>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</si>
  <si>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</si>
  <si>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</si>
  <si>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</si>
  <si>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</si>
  <si>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</si>
  <si>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</si>
  <si>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</si>
  <si>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</si>
  <si>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</si>
  <si>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</si>
  <si>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</si>
  <si>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</si>
  <si>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</si>
  <si>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</si>
  <si>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61 Pomeroy Ave</t>
  </si>
  <si>
    <t>883 Paddock Ave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</si>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</sst>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41146505</v>
      </c>
      <c r="D13" s="23">
        <v>28181027</v>
      </c>
      <c r="E13" s="23">
        <f t="shared" ref="E13:E22" si="0">D13-C13</f>
        <v>-12965478</v>
      </c>
      <c r="F13" s="24">
        <f t="shared" ref="F13:F22" si="1">IF(C13=0,0,E13/C13)</f>
        <v>-0.31510520759904154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3" customHeight="1" x14ac:dyDescent="0.2">
      <c r="A15" s="21">
        <v>3</v>
      </c>
      <c r="B15" s="22" t="s">
        <v>18</v>
      </c>
      <c r="C15" s="23">
        <v>19523079</v>
      </c>
      <c r="D15" s="23">
        <v>23291912</v>
      </c>
      <c r="E15" s="23">
        <f t="shared" si="0"/>
        <v>3768833</v>
      </c>
      <c r="F15" s="24">
        <f t="shared" si="1"/>
        <v>0.19304501098417928</v>
      </c>
    </row>
    <row r="16" spans="1:8" ht="24" customHeight="1" x14ac:dyDescent="0.2">
      <c r="A16" s="21">
        <v>4</v>
      </c>
      <c r="B16" s="22" t="s">
        <v>19</v>
      </c>
      <c r="C16" s="23">
        <v>1168505</v>
      </c>
      <c r="D16" s="23">
        <v>1168505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1420160</v>
      </c>
      <c r="D19" s="23">
        <v>1599146</v>
      </c>
      <c r="E19" s="23">
        <f t="shared" si="0"/>
        <v>178986</v>
      </c>
      <c r="F19" s="24">
        <f t="shared" si="1"/>
        <v>0.1260322780531771</v>
      </c>
    </row>
    <row r="20" spans="1:11" ht="24" customHeight="1" x14ac:dyDescent="0.2">
      <c r="A20" s="21">
        <v>8</v>
      </c>
      <c r="B20" s="22" t="s">
        <v>23</v>
      </c>
      <c r="C20" s="23">
        <v>1064220</v>
      </c>
      <c r="D20" s="23">
        <v>1138539</v>
      </c>
      <c r="E20" s="23">
        <f t="shared" si="0"/>
        <v>74319</v>
      </c>
      <c r="F20" s="24">
        <f t="shared" si="1"/>
        <v>6.9834244799007725E-2</v>
      </c>
    </row>
    <row r="21" spans="1:11" ht="24" customHeight="1" x14ac:dyDescent="0.2">
      <c r="A21" s="21">
        <v>9</v>
      </c>
      <c r="B21" s="22" t="s">
        <v>24</v>
      </c>
      <c r="C21" s="23">
        <v>1198551</v>
      </c>
      <c r="D21" s="23">
        <v>1258006</v>
      </c>
      <c r="E21" s="23">
        <f t="shared" si="0"/>
        <v>59455</v>
      </c>
      <c r="F21" s="24">
        <f t="shared" si="1"/>
        <v>4.960573225503128E-2</v>
      </c>
    </row>
    <row r="22" spans="1:11" ht="24" customHeight="1" x14ac:dyDescent="0.25">
      <c r="A22" s="25"/>
      <c r="B22" s="26" t="s">
        <v>25</v>
      </c>
      <c r="C22" s="27">
        <f>SUM(C13:C21)</f>
        <v>65521020</v>
      </c>
      <c r="D22" s="27">
        <f>SUM(D13:D21)</f>
        <v>56637135</v>
      </c>
      <c r="E22" s="27">
        <f t="shared" si="0"/>
        <v>-8883885</v>
      </c>
      <c r="F22" s="28">
        <f t="shared" si="1"/>
        <v>-0.13558831959575721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12035862</v>
      </c>
      <c r="D25" s="23">
        <v>12195310</v>
      </c>
      <c r="E25" s="23">
        <f>D25-C25</f>
        <v>159448</v>
      </c>
      <c r="F25" s="24">
        <f>IF(C25=0,0,E25/C25)</f>
        <v>1.3247742455006546E-2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10167560</v>
      </c>
      <c r="D27" s="23">
        <v>0</v>
      </c>
      <c r="E27" s="23">
        <f>D27-C27</f>
        <v>-10167560</v>
      </c>
      <c r="F27" s="24">
        <f>IF(C27=0,0,E27/C27)</f>
        <v>-1</v>
      </c>
    </row>
    <row r="28" spans="1:11" ht="24" customHeight="1" x14ac:dyDescent="0.2">
      <c r="A28" s="21">
        <v>4</v>
      </c>
      <c r="B28" s="22" t="s">
        <v>31</v>
      </c>
      <c r="C28" s="23">
        <v>165433</v>
      </c>
      <c r="D28" s="23">
        <v>278277</v>
      </c>
      <c r="E28" s="23">
        <f>D28-C28</f>
        <v>112844</v>
      </c>
      <c r="F28" s="24">
        <f>IF(C28=0,0,E28/C28)</f>
        <v>0.68211300042917677</v>
      </c>
    </row>
    <row r="29" spans="1:11" ht="24" customHeight="1" x14ac:dyDescent="0.25">
      <c r="A29" s="25"/>
      <c r="B29" s="26" t="s">
        <v>32</v>
      </c>
      <c r="C29" s="27">
        <f>SUM(C25:C28)</f>
        <v>22368855</v>
      </c>
      <c r="D29" s="27">
        <f>SUM(D25:D28)</f>
        <v>12473587</v>
      </c>
      <c r="E29" s="27">
        <f>D29-C29</f>
        <v>-9895268</v>
      </c>
      <c r="F29" s="28">
        <f>IF(C29=0,0,E29/C29)</f>
        <v>-0.44236810511758423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11876168</v>
      </c>
      <c r="D32" s="23">
        <v>12946811</v>
      </c>
      <c r="E32" s="23">
        <f>D32-C32</f>
        <v>1070643</v>
      </c>
      <c r="F32" s="24">
        <f>IF(C32=0,0,E32/C32)</f>
        <v>9.0150543508646902E-2</v>
      </c>
    </row>
    <row r="33" spans="1:8" ht="24" customHeight="1" x14ac:dyDescent="0.2">
      <c r="A33" s="21">
        <v>7</v>
      </c>
      <c r="B33" s="22" t="s">
        <v>35</v>
      </c>
      <c r="C33" s="23">
        <v>10632628</v>
      </c>
      <c r="D33" s="23">
        <v>21708793</v>
      </c>
      <c r="E33" s="23">
        <f>D33-C33</f>
        <v>11076165</v>
      </c>
      <c r="F33" s="24">
        <f>IF(C33=0,0,E33/C33)</f>
        <v>1.0417147106058822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176407097</v>
      </c>
      <c r="D36" s="23">
        <v>231167762</v>
      </c>
      <c r="E36" s="23">
        <f>D36-C36</f>
        <v>54760665</v>
      </c>
      <c r="F36" s="24">
        <f>IF(C36=0,0,E36/C36)</f>
        <v>0.31042211980847911</v>
      </c>
    </row>
    <row r="37" spans="1:8" ht="24" customHeight="1" x14ac:dyDescent="0.2">
      <c r="A37" s="21">
        <v>2</v>
      </c>
      <c r="B37" s="22" t="s">
        <v>39</v>
      </c>
      <c r="C37" s="23">
        <v>89995490</v>
      </c>
      <c r="D37" s="23">
        <v>98568512</v>
      </c>
      <c r="E37" s="23">
        <f>D37-C37</f>
        <v>8573022</v>
      </c>
      <c r="F37" s="24">
        <f>IF(C37=0,0,E37/C37)</f>
        <v>9.5260573613188834E-2</v>
      </c>
    </row>
    <row r="38" spans="1:8" ht="24" customHeight="1" x14ac:dyDescent="0.25">
      <c r="A38" s="25"/>
      <c r="B38" s="26" t="s">
        <v>40</v>
      </c>
      <c r="C38" s="27">
        <f>C36-C37</f>
        <v>86411607</v>
      </c>
      <c r="D38" s="27">
        <f>D36-D37</f>
        <v>132599250</v>
      </c>
      <c r="E38" s="27">
        <f>D38-C38</f>
        <v>46187643</v>
      </c>
      <c r="F38" s="28">
        <f>IF(C38=0,0,E38/C38)</f>
        <v>0.53450739551690085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30689886</v>
      </c>
      <c r="D40" s="23">
        <v>1372133</v>
      </c>
      <c r="E40" s="23">
        <f>D40-C40</f>
        <v>-29317753</v>
      </c>
      <c r="F40" s="24">
        <f>IF(C40=0,0,E40/C40)</f>
        <v>-0.95529038459119719</v>
      </c>
    </row>
    <row r="41" spans="1:8" ht="24" customHeight="1" x14ac:dyDescent="0.25">
      <c r="A41" s="25"/>
      <c r="B41" s="26" t="s">
        <v>42</v>
      </c>
      <c r="C41" s="27">
        <f>+C38+C40</f>
        <v>117101493</v>
      </c>
      <c r="D41" s="27">
        <f>+D38+D40</f>
        <v>133971383</v>
      </c>
      <c r="E41" s="27">
        <f>D41-C41</f>
        <v>16869890</v>
      </c>
      <c r="F41" s="28">
        <f>IF(C41=0,0,E41/C41)</f>
        <v>0.14406212566393153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227500164</v>
      </c>
      <c r="D43" s="27">
        <f>D22+D29+D31+D32+D33+D41</f>
        <v>237737709</v>
      </c>
      <c r="E43" s="27">
        <f>D43-C43</f>
        <v>10237545</v>
      </c>
      <c r="F43" s="28">
        <f>IF(C43=0,0,E43/C43)</f>
        <v>4.5000165362518156E-2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8052494</v>
      </c>
      <c r="D49" s="23">
        <v>7161187</v>
      </c>
      <c r="E49" s="23">
        <f t="shared" ref="E49:E56" si="2">D49-C49</f>
        <v>-891307</v>
      </c>
      <c r="F49" s="24">
        <f t="shared" ref="F49:F56" si="3">IF(C49=0,0,E49/C49)</f>
        <v>-0.11068707409157957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9287548</v>
      </c>
      <c r="D50" s="23">
        <v>8443767</v>
      </c>
      <c r="E50" s="23">
        <f t="shared" si="2"/>
        <v>-843781</v>
      </c>
      <c r="F50" s="24">
        <f t="shared" si="3"/>
        <v>-9.0850782144006145E-2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885467</v>
      </c>
      <c r="D51" s="23">
        <v>942231</v>
      </c>
      <c r="E51" s="23">
        <f t="shared" si="2"/>
        <v>56764</v>
      </c>
      <c r="F51" s="24">
        <f t="shared" si="3"/>
        <v>6.4106285158001375E-2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2390000</v>
      </c>
      <c r="D53" s="23">
        <v>2335000</v>
      </c>
      <c r="E53" s="23">
        <f t="shared" si="2"/>
        <v>-55000</v>
      </c>
      <c r="F53" s="24">
        <f t="shared" si="3"/>
        <v>-2.3012552301255231E-2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6956870</v>
      </c>
      <c r="D55" s="23">
        <v>10442247</v>
      </c>
      <c r="E55" s="23">
        <f t="shared" si="2"/>
        <v>3485377</v>
      </c>
      <c r="F55" s="24">
        <f t="shared" si="3"/>
        <v>0.5009978625445064</v>
      </c>
    </row>
    <row r="56" spans="1:6" ht="24" customHeight="1" x14ac:dyDescent="0.25">
      <c r="A56" s="25"/>
      <c r="B56" s="26" t="s">
        <v>54</v>
      </c>
      <c r="C56" s="27">
        <f>SUM(C49:C55)</f>
        <v>27572379</v>
      </c>
      <c r="D56" s="27">
        <f>SUM(D49:D55)</f>
        <v>29324432</v>
      </c>
      <c r="E56" s="27">
        <f t="shared" si="2"/>
        <v>1752053</v>
      </c>
      <c r="F56" s="28">
        <f t="shared" si="3"/>
        <v>6.3543773281224666E-2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82915000</v>
      </c>
      <c r="D59" s="23">
        <v>80580000</v>
      </c>
      <c r="E59" s="23">
        <f>D59-C59</f>
        <v>-2335000</v>
      </c>
      <c r="F59" s="24">
        <f>IF(C59=0,0,E59/C59)</f>
        <v>-2.8161370077790508E-2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82915000</v>
      </c>
      <c r="D61" s="27">
        <f>SUM(D59:D60)</f>
        <v>80580000</v>
      </c>
      <c r="E61" s="27">
        <f>D61-C61</f>
        <v>-2335000</v>
      </c>
      <c r="F61" s="28">
        <f>IF(C61=0,0,E61/C61)</f>
        <v>-2.8161370077790508E-2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49059528</v>
      </c>
      <c r="D63" s="23">
        <v>52087773</v>
      </c>
      <c r="E63" s="23">
        <f>D63-C63</f>
        <v>3028245</v>
      </c>
      <c r="F63" s="24">
        <f>IF(C63=0,0,E63/C63)</f>
        <v>6.1725930180168059E-2</v>
      </c>
    </row>
    <row r="64" spans="1:6" ht="24" customHeight="1" x14ac:dyDescent="0.2">
      <c r="A64" s="21">
        <v>4</v>
      </c>
      <c r="B64" s="22" t="s">
        <v>60</v>
      </c>
      <c r="C64" s="23">
        <v>5021141</v>
      </c>
      <c r="D64" s="23">
        <v>2001497</v>
      </c>
      <c r="E64" s="23">
        <f>D64-C64</f>
        <v>-3019644</v>
      </c>
      <c r="F64" s="24">
        <f>IF(C64=0,0,E64/C64)</f>
        <v>-0.60138601963179283</v>
      </c>
    </row>
    <row r="65" spans="1:6" ht="24" customHeight="1" x14ac:dyDescent="0.25">
      <c r="A65" s="25"/>
      <c r="B65" s="26" t="s">
        <v>61</v>
      </c>
      <c r="C65" s="27">
        <f>SUM(C61:C64)</f>
        <v>136995669</v>
      </c>
      <c r="D65" s="27">
        <f>SUM(D61:D64)</f>
        <v>134669270</v>
      </c>
      <c r="E65" s="27">
        <f>D65-C65</f>
        <v>-2326399</v>
      </c>
      <c r="F65" s="28">
        <f>IF(C65=0,0,E65/C65)</f>
        <v>-1.6981551438680884E-2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48490546</v>
      </c>
      <c r="D70" s="23">
        <v>58808950</v>
      </c>
      <c r="E70" s="23">
        <f>D70-C70</f>
        <v>10318404</v>
      </c>
      <c r="F70" s="24">
        <f>IF(C70=0,0,E70/C70)</f>
        <v>0.21279207703703729</v>
      </c>
    </row>
    <row r="71" spans="1:6" ht="24" customHeight="1" x14ac:dyDescent="0.2">
      <c r="A71" s="21">
        <v>2</v>
      </c>
      <c r="B71" s="22" t="s">
        <v>65</v>
      </c>
      <c r="C71" s="23">
        <v>1630516</v>
      </c>
      <c r="D71" s="23">
        <v>1962184</v>
      </c>
      <c r="E71" s="23">
        <f>D71-C71</f>
        <v>331668</v>
      </c>
      <c r="F71" s="24">
        <f>IF(C71=0,0,E71/C71)</f>
        <v>0.20341290732504311</v>
      </c>
    </row>
    <row r="72" spans="1:6" ht="24" customHeight="1" x14ac:dyDescent="0.2">
      <c r="A72" s="21">
        <v>3</v>
      </c>
      <c r="B72" s="22" t="s">
        <v>66</v>
      </c>
      <c r="C72" s="23">
        <v>12811054</v>
      </c>
      <c r="D72" s="23">
        <v>12972873</v>
      </c>
      <c r="E72" s="23">
        <f>D72-C72</f>
        <v>161819</v>
      </c>
      <c r="F72" s="24">
        <f>IF(C72=0,0,E72/C72)</f>
        <v>1.2631201148633048E-2</v>
      </c>
    </row>
    <row r="73" spans="1:6" ht="24" customHeight="1" x14ac:dyDescent="0.25">
      <c r="A73" s="21"/>
      <c r="B73" s="26" t="s">
        <v>67</v>
      </c>
      <c r="C73" s="27">
        <f>SUM(C70:C72)</f>
        <v>62932116</v>
      </c>
      <c r="D73" s="27">
        <f>SUM(D70:D72)</f>
        <v>73744007</v>
      </c>
      <c r="E73" s="27">
        <f>D73-C73</f>
        <v>10811891</v>
      </c>
      <c r="F73" s="28">
        <f>IF(C73=0,0,E73/C73)</f>
        <v>0.17180243867852782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227500164</v>
      </c>
      <c r="D75" s="27">
        <f>D56+D65+D67+D73</f>
        <v>237737709</v>
      </c>
      <c r="E75" s="27">
        <f>D75-C75</f>
        <v>10237545</v>
      </c>
      <c r="F75" s="28">
        <f>IF(C75=0,0,E75/C75)</f>
        <v>4.5000165362518156E-2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172229520</v>
      </c>
      <c r="D11" s="51">
        <v>172470335</v>
      </c>
      <c r="E11" s="51">
        <v>182022152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15610124</v>
      </c>
      <c r="D12" s="49">
        <v>18721299</v>
      </c>
      <c r="E12" s="49">
        <v>31717287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187839644</v>
      </c>
      <c r="D13" s="51">
        <f>+D11+D12</f>
        <v>191191634</v>
      </c>
      <c r="E13" s="51">
        <f>+E11+E12</f>
        <v>213739439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183146626</v>
      </c>
      <c r="D14" s="49">
        <v>185252485</v>
      </c>
      <c r="E14" s="49">
        <v>203532336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4693018</v>
      </c>
      <c r="D15" s="51">
        <f>+D13-D14</f>
        <v>5939149</v>
      </c>
      <c r="E15" s="51">
        <f>+E13-E14</f>
        <v>10207103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-695599</v>
      </c>
      <c r="D16" s="49">
        <v>-1244067</v>
      </c>
      <c r="E16" s="49">
        <v>534112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3997419</v>
      </c>
      <c r="D17" s="51">
        <f>D15+D16</f>
        <v>4695082</v>
      </c>
      <c r="E17" s="51">
        <f>E15+E16</f>
        <v>10741215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2.507703624766687E-2</v>
      </c>
      <c r="D20" s="169">
        <f>IF(+D27=0,0,+D24/+D27)</f>
        <v>3.1267307572304941E-2</v>
      </c>
      <c r="E20" s="169">
        <f>IF(+E27=0,0,+E24/+E27)</f>
        <v>4.7635851239521389E-2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-3.7169176288777985E-3</v>
      </c>
      <c r="D21" s="169">
        <f>IF(+D27=0,0,+D26/+D27)</f>
        <v>-6.5495284811939707E-3</v>
      </c>
      <c r="E21" s="169">
        <f>IF(+E27=0,0,+E26/+E27)</f>
        <v>2.4926641552694482E-3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2.1360118618789073E-2</v>
      </c>
      <c r="D22" s="169">
        <f>IF(+D27=0,0,+D28/+D27)</f>
        <v>2.4717779091110968E-2</v>
      </c>
      <c r="E22" s="169">
        <f>IF(+E27=0,0,+E28/+E27)</f>
        <v>5.0128515394790837E-2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4693018</v>
      </c>
      <c r="D24" s="51">
        <f>+D15</f>
        <v>5939149</v>
      </c>
      <c r="E24" s="51">
        <f>+E15</f>
        <v>10207103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187839644</v>
      </c>
      <c r="D25" s="51">
        <f>+D13</f>
        <v>191191634</v>
      </c>
      <c r="E25" s="51">
        <f>+E13</f>
        <v>213739439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-695599</v>
      </c>
      <c r="D26" s="51">
        <f>+D16</f>
        <v>-1244067</v>
      </c>
      <c r="E26" s="51">
        <f>+E16</f>
        <v>534112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187144045</v>
      </c>
      <c r="D27" s="51">
        <f>SUM(D25:D26)</f>
        <v>189947567</v>
      </c>
      <c r="E27" s="51">
        <f>SUM(E25:E26)</f>
        <v>214273551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3997419</v>
      </c>
      <c r="D28" s="51">
        <f>+D17</f>
        <v>4695082</v>
      </c>
      <c r="E28" s="51">
        <f>+E17</f>
        <v>10741215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68408363</v>
      </c>
      <c r="D31" s="51">
        <v>50950947</v>
      </c>
      <c r="E31" s="52">
        <v>62140641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77163135</v>
      </c>
      <c r="D32" s="51">
        <v>65392517</v>
      </c>
      <c r="E32" s="51">
        <v>77075698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-4915735</v>
      </c>
      <c r="D33" s="51">
        <f>+D32-C32</f>
        <v>-11770618</v>
      </c>
      <c r="E33" s="51">
        <f>+E32-D32</f>
        <v>11683181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0.94010000000000005</v>
      </c>
      <c r="D34" s="171">
        <f>IF(C32=0,0,+D33/C32)</f>
        <v>-0.15254198782877343</v>
      </c>
      <c r="E34" s="171">
        <f>IF(D32=0,0,+E33/D32)</f>
        <v>0.17866235367572714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3.7973376192625983</v>
      </c>
      <c r="D38" s="269">
        <f>IF(+D40=0,0,+D39/+D40)</f>
        <v>2.4799191170726078</v>
      </c>
      <c r="E38" s="269">
        <f>IF(+E40=0,0,+E39/+E40)</f>
        <v>2.0728289007694873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71395142</v>
      </c>
      <c r="D39" s="270">
        <v>69929471</v>
      </c>
      <c r="E39" s="270">
        <v>62140637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18801368</v>
      </c>
      <c r="D40" s="270">
        <v>28198287</v>
      </c>
      <c r="E40" s="270">
        <v>29978662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95.599477172316298</v>
      </c>
      <c r="D42" s="271">
        <f>IF((D48/365)=0,0,+D45/(D48/365))</f>
        <v>87.57759667202248</v>
      </c>
      <c r="E42" s="271">
        <f>IF((E48/365)=0,0,+E45/(E48/365))</f>
        <v>56.177503123919266</v>
      </c>
    </row>
    <row r="43" spans="1:14" ht="24" customHeight="1" x14ac:dyDescent="0.2">
      <c r="A43" s="17">
        <v>5</v>
      </c>
      <c r="B43" s="188" t="s">
        <v>16</v>
      </c>
      <c r="C43" s="272">
        <v>45476555</v>
      </c>
      <c r="D43" s="272">
        <v>42246786</v>
      </c>
      <c r="E43" s="272">
        <v>29570490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45476555</v>
      </c>
      <c r="D45" s="270">
        <f>+D43+D44</f>
        <v>42246786</v>
      </c>
      <c r="E45" s="270">
        <f>+E43+E44</f>
        <v>29570490</v>
      </c>
    </row>
    <row r="46" spans="1:14" ht="24" customHeight="1" x14ac:dyDescent="0.2">
      <c r="A46" s="17">
        <v>8</v>
      </c>
      <c r="B46" s="45" t="s">
        <v>324</v>
      </c>
      <c r="C46" s="270">
        <f>+C14</f>
        <v>183146626</v>
      </c>
      <c r="D46" s="270">
        <f>+D14</f>
        <v>185252485</v>
      </c>
      <c r="E46" s="270">
        <f>+E14</f>
        <v>203532336</v>
      </c>
    </row>
    <row r="47" spans="1:14" ht="24" customHeight="1" x14ac:dyDescent="0.2">
      <c r="A47" s="17">
        <v>9</v>
      </c>
      <c r="B47" s="45" t="s">
        <v>347</v>
      </c>
      <c r="C47" s="270">
        <v>9516570</v>
      </c>
      <c r="D47" s="270">
        <v>9179180</v>
      </c>
      <c r="E47" s="270">
        <v>11405092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173630056</v>
      </c>
      <c r="D48" s="270">
        <f>+D46-D47</f>
        <v>176073305</v>
      </c>
      <c r="E48" s="270">
        <f>+E46-E47</f>
        <v>192127244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45.164288735171532</v>
      </c>
      <c r="D50" s="278">
        <f>IF((D55/365)=0,0,+D54/(D55/365))</f>
        <v>46.380269656228123</v>
      </c>
      <c r="E50" s="278">
        <f>IF((E55/365)=0,0,+E54/(E55/365))</f>
        <v>52.93565782586726</v>
      </c>
    </row>
    <row r="51" spans="1:5" ht="24" customHeight="1" x14ac:dyDescent="0.2">
      <c r="A51" s="17">
        <v>12</v>
      </c>
      <c r="B51" s="188" t="s">
        <v>350</v>
      </c>
      <c r="C51" s="279">
        <v>21803628</v>
      </c>
      <c r="D51" s="279">
        <v>22801140</v>
      </c>
      <c r="E51" s="279">
        <v>27340758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492330</v>
      </c>
      <c r="D53" s="270">
        <v>885467</v>
      </c>
      <c r="E53" s="270">
        <v>942231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21311298</v>
      </c>
      <c r="D54" s="280">
        <f>+D51+D52-D53</f>
        <v>21915673</v>
      </c>
      <c r="E54" s="280">
        <f>+E51+E52-E53</f>
        <v>26398527</v>
      </c>
    </row>
    <row r="55" spans="1:5" ht="24" customHeight="1" x14ac:dyDescent="0.2">
      <c r="A55" s="17">
        <v>16</v>
      </c>
      <c r="B55" s="45" t="s">
        <v>75</v>
      </c>
      <c r="C55" s="270">
        <f>+C11</f>
        <v>172229520</v>
      </c>
      <c r="D55" s="270">
        <f>+D11</f>
        <v>172470335</v>
      </c>
      <c r="E55" s="270">
        <f>+E11</f>
        <v>182022152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39.523683157713201</v>
      </c>
      <c r="D57" s="283">
        <f>IF((D61/365)=0,0,+D58/(D61/365))</f>
        <v>58.455055154442633</v>
      </c>
      <c r="E57" s="283">
        <f>IF((E61/365)=0,0,+E58/(E61/365))</f>
        <v>56.952941197657523</v>
      </c>
    </row>
    <row r="58" spans="1:5" ht="24" customHeight="1" x14ac:dyDescent="0.2">
      <c r="A58" s="17">
        <v>18</v>
      </c>
      <c r="B58" s="45" t="s">
        <v>54</v>
      </c>
      <c r="C58" s="281">
        <f>+C40</f>
        <v>18801368</v>
      </c>
      <c r="D58" s="281">
        <f>+D40</f>
        <v>28198287</v>
      </c>
      <c r="E58" s="281">
        <f>+E40</f>
        <v>29978662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183146626</v>
      </c>
      <c r="D59" s="281">
        <f t="shared" si="0"/>
        <v>185252485</v>
      </c>
      <c r="E59" s="281">
        <f t="shared" si="0"/>
        <v>203532336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9516570</v>
      </c>
      <c r="D60" s="176">
        <f t="shared" si="0"/>
        <v>9179180</v>
      </c>
      <c r="E60" s="176">
        <f t="shared" si="0"/>
        <v>11405092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173630056</v>
      </c>
      <c r="D61" s="281">
        <f>+D59-D60</f>
        <v>176073305</v>
      </c>
      <c r="E61" s="281">
        <f>+E59-E60</f>
        <v>192127244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35.825574980947543</v>
      </c>
      <c r="D65" s="284">
        <f>IF(D67=0,0,(D66/D67)*100)</f>
        <v>28.299198877443981</v>
      </c>
      <c r="E65" s="284">
        <f>IF(E67=0,0,(E66/E67)*100)</f>
        <v>31.824725229482993</v>
      </c>
    </row>
    <row r="66" spans="1:5" ht="24" customHeight="1" x14ac:dyDescent="0.2">
      <c r="A66" s="17">
        <v>2</v>
      </c>
      <c r="B66" s="45" t="s">
        <v>67</v>
      </c>
      <c r="C66" s="281">
        <f>+C32</f>
        <v>77163135</v>
      </c>
      <c r="D66" s="281">
        <f>+D32</f>
        <v>65392517</v>
      </c>
      <c r="E66" s="281">
        <f>+E32</f>
        <v>77075698</v>
      </c>
    </row>
    <row r="67" spans="1:5" ht="24" customHeight="1" x14ac:dyDescent="0.2">
      <c r="A67" s="17">
        <v>3</v>
      </c>
      <c r="B67" s="45" t="s">
        <v>43</v>
      </c>
      <c r="C67" s="281">
        <v>215385615</v>
      </c>
      <c r="D67" s="281">
        <v>231075506</v>
      </c>
      <c r="E67" s="281">
        <v>242188102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12.980943682522861</v>
      </c>
      <c r="D69" s="284">
        <f>IF(D75=0,0,(D72/D75)*100)</f>
        <v>12.486591275083061</v>
      </c>
      <c r="E69" s="284">
        <f>IF(E75=0,0,(E72/E75)*100)</f>
        <v>20.031272628823963</v>
      </c>
    </row>
    <row r="70" spans="1:5" ht="24" customHeight="1" x14ac:dyDescent="0.2">
      <c r="A70" s="17">
        <v>5</v>
      </c>
      <c r="B70" s="45" t="s">
        <v>358</v>
      </c>
      <c r="C70" s="281">
        <f>+C28</f>
        <v>3997419</v>
      </c>
      <c r="D70" s="281">
        <f>+D28</f>
        <v>4695082</v>
      </c>
      <c r="E70" s="281">
        <f>+E28</f>
        <v>10741215</v>
      </c>
    </row>
    <row r="71" spans="1:5" ht="24" customHeight="1" x14ac:dyDescent="0.2">
      <c r="A71" s="17">
        <v>6</v>
      </c>
      <c r="B71" s="45" t="s">
        <v>347</v>
      </c>
      <c r="C71" s="176">
        <f>+C47</f>
        <v>9516570</v>
      </c>
      <c r="D71" s="176">
        <f>+D47</f>
        <v>9179180</v>
      </c>
      <c r="E71" s="176">
        <f>+E47</f>
        <v>11405092</v>
      </c>
    </row>
    <row r="72" spans="1:5" ht="24" customHeight="1" x14ac:dyDescent="0.2">
      <c r="A72" s="17">
        <v>7</v>
      </c>
      <c r="B72" s="45" t="s">
        <v>359</v>
      </c>
      <c r="C72" s="281">
        <f>+C70+C71</f>
        <v>13513989</v>
      </c>
      <c r="D72" s="281">
        <f>+D70+D71</f>
        <v>13874262</v>
      </c>
      <c r="E72" s="281">
        <f>+E70+E71</f>
        <v>22146307</v>
      </c>
    </row>
    <row r="73" spans="1:5" ht="24" customHeight="1" x14ac:dyDescent="0.2">
      <c r="A73" s="17">
        <v>8</v>
      </c>
      <c r="B73" s="45" t="s">
        <v>54</v>
      </c>
      <c r="C73" s="270">
        <f>+C40</f>
        <v>18801368</v>
      </c>
      <c r="D73" s="270">
        <f>+D40</f>
        <v>28198287</v>
      </c>
      <c r="E73" s="270">
        <f>+E40</f>
        <v>29978662</v>
      </c>
    </row>
    <row r="74" spans="1:5" ht="24" customHeight="1" x14ac:dyDescent="0.2">
      <c r="A74" s="17">
        <v>9</v>
      </c>
      <c r="B74" s="45" t="s">
        <v>58</v>
      </c>
      <c r="C74" s="281">
        <v>85305000</v>
      </c>
      <c r="D74" s="281">
        <v>82915000</v>
      </c>
      <c r="E74" s="281">
        <v>80580000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104106368</v>
      </c>
      <c r="D75" s="270">
        <f>+D73+D74</f>
        <v>111113287</v>
      </c>
      <c r="E75" s="270">
        <f>+E73+E74</f>
        <v>110558662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52.505680575455614</v>
      </c>
      <c r="D77" s="286">
        <f>IF(D80=0,0,(D78/D80)*100)</f>
        <v>55.907483098108912</v>
      </c>
      <c r="E77" s="286">
        <f>IF(E80=0,0,(E78/E80)*100)</f>
        <v>51.111378162811469</v>
      </c>
    </row>
    <row r="78" spans="1:5" ht="24" customHeight="1" x14ac:dyDescent="0.2">
      <c r="A78" s="17">
        <v>12</v>
      </c>
      <c r="B78" s="45" t="s">
        <v>58</v>
      </c>
      <c r="C78" s="270">
        <f>+C74</f>
        <v>85305000</v>
      </c>
      <c r="D78" s="270">
        <f>+D74</f>
        <v>82915000</v>
      </c>
      <c r="E78" s="270">
        <f>+E74</f>
        <v>80580000</v>
      </c>
    </row>
    <row r="79" spans="1:5" ht="24" customHeight="1" x14ac:dyDescent="0.2">
      <c r="A79" s="17">
        <v>13</v>
      </c>
      <c r="B79" s="45" t="s">
        <v>67</v>
      </c>
      <c r="C79" s="270">
        <f>+C32</f>
        <v>77163135</v>
      </c>
      <c r="D79" s="270">
        <f>+D32</f>
        <v>65392517</v>
      </c>
      <c r="E79" s="270">
        <f>+E32</f>
        <v>77075698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162468135</v>
      </c>
      <c r="D80" s="270">
        <f>+D78+D79</f>
        <v>148307517</v>
      </c>
      <c r="E80" s="270">
        <f>+E78+E79</f>
        <v>157655698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FILING&amp;R&amp;8MIDSTATE MEDICAL CENTER AND SUBSIDIARIES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2" sqref="B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33593</v>
      </c>
      <c r="D11" s="297">
        <v>104</v>
      </c>
      <c r="E11" s="297">
        <v>114</v>
      </c>
      <c r="F11" s="298">
        <f>IF(D11=0,0,$C11/(D11*365))</f>
        <v>0.88495785036880925</v>
      </c>
      <c r="G11" s="298">
        <f>IF(E11=0,0,$C11/(E11*365))</f>
        <v>0.80732996875751017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2167</v>
      </c>
      <c r="D13" s="297">
        <v>7</v>
      </c>
      <c r="E13" s="297">
        <v>9</v>
      </c>
      <c r="F13" s="298">
        <f>IF(D13=0,0,$C13/(D13*365))</f>
        <v>0.84814090019569477</v>
      </c>
      <c r="G13" s="298">
        <f>IF(E13=0,0,$C13/(E13*365))</f>
        <v>0.65966514459665149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1840</v>
      </c>
      <c r="D16" s="297">
        <v>6</v>
      </c>
      <c r="E16" s="297">
        <v>8</v>
      </c>
      <c r="F16" s="298">
        <f t="shared" si="0"/>
        <v>0.84018264840182644</v>
      </c>
      <c r="G16" s="298">
        <f t="shared" si="0"/>
        <v>0.63013698630136983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1840</v>
      </c>
      <c r="D17" s="300">
        <f>SUM(D15:D16)</f>
        <v>6</v>
      </c>
      <c r="E17" s="300">
        <f>SUM(E15:E16)</f>
        <v>8</v>
      </c>
      <c r="F17" s="301">
        <f t="shared" si="0"/>
        <v>0.84018264840182644</v>
      </c>
      <c r="G17" s="301">
        <f t="shared" si="0"/>
        <v>0.63013698630136983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2430</v>
      </c>
      <c r="D21" s="297">
        <v>13</v>
      </c>
      <c r="E21" s="297">
        <v>13</v>
      </c>
      <c r="F21" s="298">
        <f>IF(D21=0,0,$C21/(D21*365))</f>
        <v>0.512118018967334</v>
      </c>
      <c r="G21" s="298">
        <f>IF(E21=0,0,$C21/(E21*365))</f>
        <v>0.512118018967334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2329</v>
      </c>
      <c r="D23" s="297">
        <v>12</v>
      </c>
      <c r="E23" s="297">
        <v>12</v>
      </c>
      <c r="F23" s="298">
        <f>IF(D23=0,0,$C23/(D23*365))</f>
        <v>0.53173515981735164</v>
      </c>
      <c r="G23" s="298">
        <f>IF(E23=0,0,$C23/(E23*365))</f>
        <v>0.53173515981735164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40030</v>
      </c>
      <c r="D31" s="300">
        <f>SUM(D10:D29)-D17-D23</f>
        <v>130</v>
      </c>
      <c r="E31" s="300">
        <f>SUM(E10:E29)-E17-E23</f>
        <v>144</v>
      </c>
      <c r="F31" s="301">
        <f>IF(D31=0,0,$C31/(D31*365))</f>
        <v>0.84362486828240257</v>
      </c>
      <c r="G31" s="301">
        <f>IF(E31=0,0,$C31/(E31*365))</f>
        <v>0.76160578386605782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42359</v>
      </c>
      <c r="D33" s="300">
        <f>SUM(D10:D29)-D17</f>
        <v>142</v>
      </c>
      <c r="E33" s="300">
        <f>SUM(E10:E29)-E17</f>
        <v>156</v>
      </c>
      <c r="F33" s="301">
        <f>IF(D33=0,0,$C33/(D33*365))</f>
        <v>0.81726799151070806</v>
      </c>
      <c r="G33" s="301">
        <f>IF(E33=0,0,$C33/(E33*365))</f>
        <v>0.74392342817000356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42359</v>
      </c>
      <c r="D36" s="300">
        <f>+D33</f>
        <v>142</v>
      </c>
      <c r="E36" s="300">
        <f>+E33</f>
        <v>156</v>
      </c>
      <c r="F36" s="301">
        <f>+F33</f>
        <v>0.81726799151070806</v>
      </c>
      <c r="G36" s="301">
        <f>+G33</f>
        <v>0.74392342817000356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42873</v>
      </c>
      <c r="D37" s="302">
        <v>140</v>
      </c>
      <c r="E37" s="302">
        <v>142</v>
      </c>
      <c r="F37" s="301">
        <f>IF(D37=0,0,$C37/(D37*365))</f>
        <v>0.8390019569471624</v>
      </c>
      <c r="G37" s="301">
        <f>IF(E37=0,0,$C37/(E37*365))</f>
        <v>0.82718502797607563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-514</v>
      </c>
      <c r="D38" s="300">
        <f>+D36-D37</f>
        <v>2</v>
      </c>
      <c r="E38" s="300">
        <f>+E36-E37</f>
        <v>14</v>
      </c>
      <c r="F38" s="301">
        <f>+F36-F37</f>
        <v>-2.1733965436454339E-2</v>
      </c>
      <c r="G38" s="301">
        <f>+G36-G37</f>
        <v>-8.3261599806072062E-2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-1.1988897441280059E-2</v>
      </c>
      <c r="D40" s="148">
        <f>IF(D37=0,0,D38/D37)</f>
        <v>1.4285714285714285E-2</v>
      </c>
      <c r="E40" s="148">
        <f>IF(E37=0,0,E38/E37)</f>
        <v>9.8591549295774641E-2</v>
      </c>
      <c r="F40" s="148">
        <f>IF(F37=0,0,F38/F37)</f>
        <v>-2.5904546773093014E-2</v>
      </c>
      <c r="G40" s="148">
        <f>IF(G37=0,0,G38/G37)</f>
        <v>-0.10065656049142152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156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FILING&amp;RMIDSTATE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2" sqref="A2:F2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6824</v>
      </c>
      <c r="D12" s="296">
        <v>6652</v>
      </c>
      <c r="E12" s="296">
        <f>+D12-C12</f>
        <v>-172</v>
      </c>
      <c r="F12" s="316">
        <f>IF(C12=0,0,+E12/C12)</f>
        <v>-2.5205158264947247E-2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6705</v>
      </c>
      <c r="D13" s="296">
        <v>6433</v>
      </c>
      <c r="E13" s="296">
        <f>+D13-C13</f>
        <v>-272</v>
      </c>
      <c r="F13" s="316">
        <f>IF(C13=0,0,+E13/C13)</f>
        <v>-4.0566741237882176E-2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8625</v>
      </c>
      <c r="D14" s="296">
        <v>7761</v>
      </c>
      <c r="E14" s="296">
        <f>+D14-C14</f>
        <v>-864</v>
      </c>
      <c r="F14" s="316">
        <f>IF(C14=0,0,+E14/C14)</f>
        <v>-0.10017391304347827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22154</v>
      </c>
      <c r="D16" s="300">
        <f>SUM(D12:D15)</f>
        <v>20846</v>
      </c>
      <c r="E16" s="300">
        <f>+D16-C16</f>
        <v>-1308</v>
      </c>
      <c r="F16" s="309">
        <f>IF(C16=0,0,+E16/C16)</f>
        <v>-5.9041256657939876E-2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1220</v>
      </c>
      <c r="D19" s="296">
        <v>1384</v>
      </c>
      <c r="E19" s="296">
        <f>+D19-C19</f>
        <v>164</v>
      </c>
      <c r="F19" s="316">
        <f>IF(C19=0,0,+E19/C19)</f>
        <v>0.13442622950819672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7194</v>
      </c>
      <c r="D20" s="296">
        <v>5319</v>
      </c>
      <c r="E20" s="296">
        <f>+D20-C20</f>
        <v>-1875</v>
      </c>
      <c r="F20" s="316">
        <f>IF(C20=0,0,+E20/C20)</f>
        <v>-0.26063386155129276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256</v>
      </c>
      <c r="D21" s="296">
        <v>239</v>
      </c>
      <c r="E21" s="296">
        <f>+D21-C21</f>
        <v>-17</v>
      </c>
      <c r="F21" s="316">
        <f>IF(C21=0,0,+E21/C21)</f>
        <v>-6.640625E-2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8670</v>
      </c>
      <c r="D23" s="300">
        <f>SUM(D19:D22)</f>
        <v>6942</v>
      </c>
      <c r="E23" s="300">
        <f>+D23-C23</f>
        <v>-1728</v>
      </c>
      <c r="F23" s="309">
        <f>IF(C23=0,0,+E23/C23)</f>
        <v>-0.19930795847750865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3</v>
      </c>
      <c r="D33" s="296">
        <v>3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420</v>
      </c>
      <c r="D34" s="296">
        <v>411</v>
      </c>
      <c r="E34" s="296">
        <f>+D34-C34</f>
        <v>-9</v>
      </c>
      <c r="F34" s="316">
        <f>IF(C34=0,0,+E34/C34)</f>
        <v>-2.1428571428571429E-2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423</v>
      </c>
      <c r="D37" s="300">
        <f>SUM(D33:D36)</f>
        <v>414</v>
      </c>
      <c r="E37" s="300">
        <f>+D37-C37</f>
        <v>-9</v>
      </c>
      <c r="F37" s="309">
        <f>IF(C37=0,0,+E37/C37)</f>
        <v>-2.1276595744680851E-2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134</v>
      </c>
      <c r="D43" s="296">
        <v>123</v>
      </c>
      <c r="E43" s="296">
        <f>+D43-C43</f>
        <v>-11</v>
      </c>
      <c r="F43" s="316">
        <f>IF(C43=0,0,+E43/C43)</f>
        <v>-8.2089552238805971E-2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5403</v>
      </c>
      <c r="D44" s="296">
        <v>6004</v>
      </c>
      <c r="E44" s="296">
        <f>+D44-C44</f>
        <v>601</v>
      </c>
      <c r="F44" s="316">
        <f>IF(C44=0,0,+E44/C44)</f>
        <v>0.11123449935221173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5537</v>
      </c>
      <c r="D45" s="300">
        <f>SUM(D43:D44)</f>
        <v>6127</v>
      </c>
      <c r="E45" s="300">
        <f>+D45-C45</f>
        <v>590</v>
      </c>
      <c r="F45" s="309">
        <f>IF(C45=0,0,+E45/C45)</f>
        <v>0.10655589669496117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2448</v>
      </c>
      <c r="D63" s="296">
        <v>2228</v>
      </c>
      <c r="E63" s="296">
        <f>+D63-C63</f>
        <v>-220</v>
      </c>
      <c r="F63" s="316">
        <f>IF(C63=0,0,+E63/C63)</f>
        <v>-8.9869281045751634E-2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5780</v>
      </c>
      <c r="D64" s="296">
        <v>5682</v>
      </c>
      <c r="E64" s="296">
        <f>+D64-C64</f>
        <v>-98</v>
      </c>
      <c r="F64" s="316">
        <f>IF(C64=0,0,+E64/C64)</f>
        <v>-1.6955017301038062E-2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8228</v>
      </c>
      <c r="D65" s="300">
        <f>SUM(D63:D64)</f>
        <v>7910</v>
      </c>
      <c r="E65" s="300">
        <f>+D65-C65</f>
        <v>-318</v>
      </c>
      <c r="F65" s="309">
        <f>IF(C65=0,0,+E65/C65)</f>
        <v>-3.8648517258142924E-2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1160</v>
      </c>
      <c r="D68" s="296">
        <v>1435</v>
      </c>
      <c r="E68" s="296">
        <f>+D68-C68</f>
        <v>275</v>
      </c>
      <c r="F68" s="316">
        <f>IF(C68=0,0,+E68/C68)</f>
        <v>0.23706896551724138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6379</v>
      </c>
      <c r="D69" s="296">
        <v>6662</v>
      </c>
      <c r="E69" s="296">
        <f>+D69-C69</f>
        <v>283</v>
      </c>
      <c r="F69" s="318">
        <f>IF(C69=0,0,+E69/C69)</f>
        <v>4.4364320426399123E-2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7539</v>
      </c>
      <c r="D70" s="300">
        <f>SUM(D68:D69)</f>
        <v>8097</v>
      </c>
      <c r="E70" s="300">
        <f>+D70-C70</f>
        <v>558</v>
      </c>
      <c r="F70" s="309">
        <f>IF(C70=0,0,+E70/C70)</f>
        <v>7.4015121368881817E-2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6415</v>
      </c>
      <c r="D73" s="319">
        <v>6380</v>
      </c>
      <c r="E73" s="296">
        <f>+D73-C73</f>
        <v>-35</v>
      </c>
      <c r="F73" s="316">
        <f>IF(C73=0,0,+E73/C73)</f>
        <v>-5.4559625876851132E-3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60480</v>
      </c>
      <c r="D74" s="319">
        <v>68942</v>
      </c>
      <c r="E74" s="296">
        <f>+D74-C74</f>
        <v>8462</v>
      </c>
      <c r="F74" s="316">
        <f>IF(C74=0,0,+E74/C74)</f>
        <v>0.13991402116402116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66895</v>
      </c>
      <c r="D75" s="300">
        <f>SUM(D73:D74)</f>
        <v>75322</v>
      </c>
      <c r="E75" s="300">
        <f>SUM(E73:E74)</f>
        <v>8427</v>
      </c>
      <c r="F75" s="309">
        <f>IF(C75=0,0,+E75/C75)</f>
        <v>0.12597354062336497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2192</v>
      </c>
      <c r="D83" s="319">
        <v>2459</v>
      </c>
      <c r="E83" s="296">
        <f t="shared" si="0"/>
        <v>267</v>
      </c>
      <c r="F83" s="316">
        <f t="shared" si="1"/>
        <v>0.12180656934306569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2192</v>
      </c>
      <c r="D84" s="320">
        <f>SUM(D79:D83)</f>
        <v>2459</v>
      </c>
      <c r="E84" s="300">
        <f t="shared" si="0"/>
        <v>267</v>
      </c>
      <c r="F84" s="309">
        <f t="shared" si="1"/>
        <v>0.12180656934306569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186</v>
      </c>
      <c r="D87" s="322">
        <v>214</v>
      </c>
      <c r="E87" s="323">
        <f t="shared" ref="E87:E92" si="2">+D87-C87</f>
        <v>28</v>
      </c>
      <c r="F87" s="318">
        <f t="shared" ref="F87:F92" si="3">IF(C87=0,0,+E87/C87)</f>
        <v>0.15053763440860216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2283</v>
      </c>
      <c r="D88" s="322">
        <v>2270</v>
      </c>
      <c r="E88" s="296">
        <f t="shared" si="2"/>
        <v>-13</v>
      </c>
      <c r="F88" s="316">
        <f t="shared" si="3"/>
        <v>-5.6942619360490585E-3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308</v>
      </c>
      <c r="D89" s="322">
        <v>439</v>
      </c>
      <c r="E89" s="296">
        <f t="shared" si="2"/>
        <v>131</v>
      </c>
      <c r="F89" s="316">
        <f t="shared" si="3"/>
        <v>0.42532467532467533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6379</v>
      </c>
      <c r="D90" s="322">
        <v>6662</v>
      </c>
      <c r="E90" s="296">
        <f t="shared" si="2"/>
        <v>283</v>
      </c>
      <c r="F90" s="316">
        <f t="shared" si="3"/>
        <v>4.4364320426399123E-2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79910</v>
      </c>
      <c r="D91" s="322">
        <v>80436</v>
      </c>
      <c r="E91" s="296">
        <f t="shared" si="2"/>
        <v>526</v>
      </c>
      <c r="F91" s="316">
        <f t="shared" si="3"/>
        <v>6.5824052058565891E-3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89066</v>
      </c>
      <c r="D92" s="320">
        <f>SUM(D87:D91)</f>
        <v>90021</v>
      </c>
      <c r="E92" s="300">
        <f t="shared" si="2"/>
        <v>955</v>
      </c>
      <c r="F92" s="309">
        <f t="shared" si="3"/>
        <v>1.0722385646599152E-2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304.2</v>
      </c>
      <c r="D96" s="325">
        <v>308</v>
      </c>
      <c r="E96" s="326">
        <f>+D96-C96</f>
        <v>3.8000000000000114</v>
      </c>
      <c r="F96" s="316">
        <f>IF(C96=0,0,+E96/C96)</f>
        <v>1.2491781722550992E-2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47.6</v>
      </c>
      <c r="D97" s="325">
        <v>51.4</v>
      </c>
      <c r="E97" s="326">
        <f>+D97-C97</f>
        <v>3.7999999999999972</v>
      </c>
      <c r="F97" s="316">
        <f>IF(C97=0,0,+E97/C97)</f>
        <v>7.9831932773109182E-2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598.70000000000005</v>
      </c>
      <c r="D98" s="325">
        <v>626.4</v>
      </c>
      <c r="E98" s="326">
        <f>+D98-C98</f>
        <v>27.699999999999932</v>
      </c>
      <c r="F98" s="316">
        <f>IF(C98=0,0,+E98/C98)</f>
        <v>4.6266911641890646E-2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950.5</v>
      </c>
      <c r="D99" s="327">
        <f>SUM(D96:D98)</f>
        <v>985.8</v>
      </c>
      <c r="E99" s="327">
        <f>+D99-C99</f>
        <v>35.299999999999955</v>
      </c>
      <c r="F99" s="309">
        <f>IF(C99=0,0,+E99/C99)</f>
        <v>3.7138348237769549E-2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FILING&amp;RMIDSTATE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5780</v>
      </c>
      <c r="D12" s="296">
        <v>5682</v>
      </c>
      <c r="E12" s="296">
        <f>+D12-C12</f>
        <v>-98</v>
      </c>
      <c r="F12" s="316">
        <f>IF(C12=0,0,+E12/C12)</f>
        <v>-1.6955017301038062E-2</v>
      </c>
    </row>
    <row r="13" spans="1:16" ht="15.75" customHeight="1" x14ac:dyDescent="0.25">
      <c r="A13" s="294"/>
      <c r="B13" s="135" t="s">
        <v>584</v>
      </c>
      <c r="C13" s="300">
        <f>SUM(C11:C12)</f>
        <v>5780</v>
      </c>
      <c r="D13" s="300">
        <f>SUM(D11:D12)</f>
        <v>5682</v>
      </c>
      <c r="E13" s="300">
        <f>+D13-C13</f>
        <v>-98</v>
      </c>
      <c r="F13" s="309">
        <f>IF(C13=0,0,+E13/C13)</f>
        <v>-1.6955017301038062E-2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6379</v>
      </c>
      <c r="D16" s="296">
        <v>6662</v>
      </c>
      <c r="E16" s="296">
        <f>+D16-C16</f>
        <v>283</v>
      </c>
      <c r="F16" s="316">
        <f>IF(C16=0,0,+E16/C16)</f>
        <v>4.4364320426399123E-2</v>
      </c>
    </row>
    <row r="17" spans="1:6" ht="15.75" customHeight="1" x14ac:dyDescent="0.25">
      <c r="A17" s="294"/>
      <c r="B17" s="135" t="s">
        <v>585</v>
      </c>
      <c r="C17" s="300">
        <f>SUM(C15:C16)</f>
        <v>6379</v>
      </c>
      <c r="D17" s="300">
        <f>SUM(D15:D16)</f>
        <v>6662</v>
      </c>
      <c r="E17" s="300">
        <f>+D17-C17</f>
        <v>283</v>
      </c>
      <c r="F17" s="309">
        <f>IF(C17=0,0,+E17/C17)</f>
        <v>4.4364320426399123E-2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587</v>
      </c>
      <c r="C20" s="296">
        <v>6381</v>
      </c>
      <c r="D20" s="296">
        <v>22655</v>
      </c>
      <c r="E20" s="296">
        <f>+D20-C20</f>
        <v>16274</v>
      </c>
      <c r="F20" s="316">
        <f>IF(C20=0,0,+E20/C20)</f>
        <v>2.5503839523585645</v>
      </c>
    </row>
    <row r="21" spans="1:6" ht="15.75" customHeight="1" x14ac:dyDescent="0.2">
      <c r="A21" s="294">
        <v>2</v>
      </c>
      <c r="B21" s="295" t="s">
        <v>588</v>
      </c>
      <c r="C21" s="296">
        <v>11712</v>
      </c>
      <c r="D21" s="296">
        <v>0</v>
      </c>
      <c r="E21" s="296">
        <f>+D21-C21</f>
        <v>-11712</v>
      </c>
      <c r="F21" s="316">
        <f>IF(C21=0,0,+E21/C21)</f>
        <v>-1</v>
      </c>
    </row>
    <row r="22" spans="1:6" ht="15.75" customHeight="1" x14ac:dyDescent="0.2">
      <c r="A22" s="294">
        <v>3</v>
      </c>
      <c r="B22" s="295" t="s">
        <v>583</v>
      </c>
      <c r="C22" s="296">
        <v>42387</v>
      </c>
      <c r="D22" s="296">
        <v>46287</v>
      </c>
      <c r="E22" s="296">
        <f>+D22-C22</f>
        <v>3900</v>
      </c>
      <c r="F22" s="316">
        <f>IF(C22=0,0,+E22/C22)</f>
        <v>9.2009342487083298E-2</v>
      </c>
    </row>
    <row r="23" spans="1:6" ht="15.75" customHeight="1" x14ac:dyDescent="0.25">
      <c r="A23" s="294"/>
      <c r="B23" s="135" t="s">
        <v>589</v>
      </c>
      <c r="C23" s="300">
        <f>SUM(C19:C22)</f>
        <v>60480</v>
      </c>
      <c r="D23" s="300">
        <f>SUM(D19:D22)</f>
        <v>68942</v>
      </c>
      <c r="E23" s="300">
        <f>+D23-C23</f>
        <v>8462</v>
      </c>
      <c r="F23" s="309">
        <f>IF(C23=0,0,+E23/C23)</f>
        <v>0.13991402116402116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590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591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592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FILING&amp;RMIDSTATE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A3" sqref="A3:F3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593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594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595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596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597</v>
      </c>
      <c r="D7" s="341" t="s">
        <v>597</v>
      </c>
      <c r="E7" s="341" t="s">
        <v>598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599</v>
      </c>
      <c r="D8" s="344" t="s">
        <v>600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601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602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603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604</v>
      </c>
      <c r="C15" s="361">
        <v>102801789</v>
      </c>
      <c r="D15" s="361">
        <v>105242796</v>
      </c>
      <c r="E15" s="361">
        <f t="shared" ref="E15:E24" si="0">D15-C15</f>
        <v>2441007</v>
      </c>
      <c r="F15" s="362">
        <f t="shared" ref="F15:F24" si="1">IF(C15=0,0,E15/C15)</f>
        <v>2.3744791056116737E-2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605</v>
      </c>
      <c r="C16" s="361">
        <v>43847082</v>
      </c>
      <c r="D16" s="361">
        <v>43924410</v>
      </c>
      <c r="E16" s="361">
        <f t="shared" si="0"/>
        <v>77328</v>
      </c>
      <c r="F16" s="362">
        <f t="shared" si="1"/>
        <v>1.7635837203488251E-3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606</v>
      </c>
      <c r="C17" s="366">
        <f>IF(C15=0,0,C16/C15)</f>
        <v>0.42652061239907019</v>
      </c>
      <c r="D17" s="366">
        <f>IF(LN_IA1=0,0,LN_IA2/LN_IA1)</f>
        <v>0.41736262879218833</v>
      </c>
      <c r="E17" s="367">
        <f t="shared" si="0"/>
        <v>-9.1579836068818588E-3</v>
      </c>
      <c r="F17" s="362">
        <f t="shared" si="1"/>
        <v>-2.1471374045372686E-2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4708</v>
      </c>
      <c r="D18" s="369">
        <v>4619</v>
      </c>
      <c r="E18" s="369">
        <f t="shared" si="0"/>
        <v>-89</v>
      </c>
      <c r="F18" s="362">
        <f t="shared" si="1"/>
        <v>-1.8903993203058623E-2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607</v>
      </c>
      <c r="C19" s="372">
        <v>1.4451700000000001</v>
      </c>
      <c r="D19" s="372">
        <v>1.4248700000000001</v>
      </c>
      <c r="E19" s="373">
        <f t="shared" si="0"/>
        <v>-2.0299999999999985E-2</v>
      </c>
      <c r="F19" s="362">
        <f t="shared" si="1"/>
        <v>-1.4046790343004618E-2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608</v>
      </c>
      <c r="C20" s="376">
        <f>C18*C19</f>
        <v>6803.8603600000006</v>
      </c>
      <c r="D20" s="376">
        <f>LN_IA4*LN_IA5</f>
        <v>6581.4745300000004</v>
      </c>
      <c r="E20" s="376">
        <f t="shared" si="0"/>
        <v>-222.38583000000017</v>
      </c>
      <c r="F20" s="362">
        <f t="shared" si="1"/>
        <v>-3.2685243116894323E-2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609</v>
      </c>
      <c r="C21" s="378">
        <f>IF(C20=0,0,C16/C20)</f>
        <v>6444.4417845165763</v>
      </c>
      <c r="D21" s="378">
        <f>IF(LN_IA6=0,0,LN_IA2/LN_IA6)</f>
        <v>6673.9466664774891</v>
      </c>
      <c r="E21" s="378">
        <f t="shared" si="0"/>
        <v>229.50488196091283</v>
      </c>
      <c r="F21" s="362">
        <f t="shared" si="1"/>
        <v>3.5612841210284733E-2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24457</v>
      </c>
      <c r="D22" s="369">
        <v>23725</v>
      </c>
      <c r="E22" s="369">
        <f t="shared" si="0"/>
        <v>-732</v>
      </c>
      <c r="F22" s="362">
        <f t="shared" si="1"/>
        <v>-2.9930081367297707E-2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610</v>
      </c>
      <c r="C23" s="378">
        <f>IF(C22=0,0,C16/C22)</f>
        <v>1792.8234043423151</v>
      </c>
      <c r="D23" s="378">
        <f>IF(LN_IA8=0,0,LN_IA2/LN_IA8)</f>
        <v>1851.3976817702844</v>
      </c>
      <c r="E23" s="378">
        <f t="shared" si="0"/>
        <v>58.574277427969264</v>
      </c>
      <c r="F23" s="362">
        <f t="shared" si="1"/>
        <v>3.2671526535240004E-2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611</v>
      </c>
      <c r="C24" s="379">
        <f>IF(C18=0,0,C22/C18)</f>
        <v>5.1947748513169074</v>
      </c>
      <c r="D24" s="379">
        <f>IF(LN_IA4=0,0,LN_IA8/LN_IA4)</f>
        <v>5.1363931586923579</v>
      </c>
      <c r="E24" s="379">
        <f t="shared" si="0"/>
        <v>-5.8381692624549508E-2</v>
      </c>
      <c r="F24" s="362">
        <f t="shared" si="1"/>
        <v>-1.1238541475911971E-2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612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613</v>
      </c>
      <c r="C27" s="361">
        <v>57089777</v>
      </c>
      <c r="D27" s="361">
        <v>61316189</v>
      </c>
      <c r="E27" s="361">
        <f t="shared" ref="E27:E32" si="2">D27-C27</f>
        <v>4226412</v>
      </c>
      <c r="F27" s="362">
        <f t="shared" ref="F27:F32" si="3">IF(C27=0,0,E27/C27)</f>
        <v>7.4030977560133049E-2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614</v>
      </c>
      <c r="C28" s="361">
        <v>18546533</v>
      </c>
      <c r="D28" s="361">
        <v>19233905</v>
      </c>
      <c r="E28" s="361">
        <f t="shared" si="2"/>
        <v>687372</v>
      </c>
      <c r="F28" s="362">
        <f t="shared" si="3"/>
        <v>3.7062021241382422E-2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615</v>
      </c>
      <c r="C29" s="366">
        <f>IF(C27=0,0,C28/C27)</f>
        <v>0.32486609642913827</v>
      </c>
      <c r="D29" s="366">
        <f>IF(LN_IA11=0,0,LN_IA12/LN_IA11)</f>
        <v>0.31368396036485569</v>
      </c>
      <c r="E29" s="367">
        <f t="shared" si="2"/>
        <v>-1.1182136064282588E-2</v>
      </c>
      <c r="F29" s="362">
        <f t="shared" si="3"/>
        <v>-3.4420754234419482E-2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616</v>
      </c>
      <c r="C30" s="366">
        <f>IF(C15=0,0,C27/C15)</f>
        <v>0.55533836089175448</v>
      </c>
      <c r="D30" s="366">
        <f>IF(LN_IA1=0,0,LN_IA11/LN_IA1)</f>
        <v>0.58261649566968932</v>
      </c>
      <c r="E30" s="367">
        <f t="shared" si="2"/>
        <v>2.7278134777934837E-2</v>
      </c>
      <c r="F30" s="362">
        <f t="shared" si="3"/>
        <v>4.9119846023480164E-2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617</v>
      </c>
      <c r="C31" s="376">
        <f>C30*C18</f>
        <v>2614.5330030783803</v>
      </c>
      <c r="D31" s="376">
        <f>LN_IA14*LN_IA4</f>
        <v>2691.1055934982951</v>
      </c>
      <c r="E31" s="376">
        <f t="shared" si="2"/>
        <v>76.572590419914832</v>
      </c>
      <c r="F31" s="362">
        <f t="shared" si="3"/>
        <v>2.928729158505837E-2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618</v>
      </c>
      <c r="C32" s="378">
        <f>IF(C31=0,0,C28/C31)</f>
        <v>7093.6312443419556</v>
      </c>
      <c r="D32" s="378">
        <f>IF(LN_IA15=0,0,LN_IA12/LN_IA15)</f>
        <v>7147.2130437650121</v>
      </c>
      <c r="E32" s="378">
        <f t="shared" si="2"/>
        <v>53.581799423056509</v>
      </c>
      <c r="F32" s="362">
        <f t="shared" si="3"/>
        <v>7.5535078688780998E-3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619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620</v>
      </c>
      <c r="C35" s="361">
        <f>C15+C27</f>
        <v>159891566</v>
      </c>
      <c r="D35" s="361">
        <f>LN_IA1+LN_IA11</f>
        <v>166558985</v>
      </c>
      <c r="E35" s="361">
        <f>D35-C35</f>
        <v>6667419</v>
      </c>
      <c r="F35" s="362">
        <f>IF(C35=0,0,E35/C35)</f>
        <v>4.1699629109893138E-2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621</v>
      </c>
      <c r="C36" s="361">
        <f>C16+C28</f>
        <v>62393615</v>
      </c>
      <c r="D36" s="361">
        <f>LN_IA2+LN_IA12</f>
        <v>63158315</v>
      </c>
      <c r="E36" s="361">
        <f>D36-C36</f>
        <v>764700</v>
      </c>
      <c r="F36" s="362">
        <f>IF(C36=0,0,E36/C36)</f>
        <v>1.2256061778116238E-2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622</v>
      </c>
      <c r="C37" s="361">
        <f>C35-C36</f>
        <v>97497951</v>
      </c>
      <c r="D37" s="361">
        <f>LN_IA17-LN_IA18</f>
        <v>103400670</v>
      </c>
      <c r="E37" s="361">
        <f>D37-C37</f>
        <v>5902719</v>
      </c>
      <c r="F37" s="362">
        <f>IF(C37=0,0,E37/C37)</f>
        <v>6.0541980005302878E-2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623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624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604</v>
      </c>
      <c r="C42" s="361">
        <v>48350269</v>
      </c>
      <c r="D42" s="361">
        <v>52683600</v>
      </c>
      <c r="E42" s="361">
        <f t="shared" ref="E42:E53" si="4">D42-C42</f>
        <v>4333331</v>
      </c>
      <c r="F42" s="362">
        <f t="shared" ref="F42:F53" si="5">IF(C42=0,0,E42/C42)</f>
        <v>8.9623720604325899E-2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605</v>
      </c>
      <c r="C43" s="361">
        <v>30533277</v>
      </c>
      <c r="D43" s="361">
        <v>32669798</v>
      </c>
      <c r="E43" s="361">
        <f t="shared" si="4"/>
        <v>2136521</v>
      </c>
      <c r="F43" s="362">
        <f t="shared" si="5"/>
        <v>6.9973524296131073E-2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606</v>
      </c>
      <c r="C44" s="366">
        <f>IF(C42=0,0,C43/C42)</f>
        <v>0.63150169857379701</v>
      </c>
      <c r="D44" s="366">
        <f>IF(LN_IB1=0,0,LN_IB2/LN_IB1)</f>
        <v>0.62011324207153651</v>
      </c>
      <c r="E44" s="367">
        <f t="shared" si="4"/>
        <v>-1.1388456502260502E-2</v>
      </c>
      <c r="F44" s="362">
        <f t="shared" si="5"/>
        <v>-1.8033928535711851E-2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3390</v>
      </c>
      <c r="D45" s="369">
        <v>3270</v>
      </c>
      <c r="E45" s="369">
        <f t="shared" si="4"/>
        <v>-120</v>
      </c>
      <c r="F45" s="362">
        <f t="shared" si="5"/>
        <v>-3.5398230088495575E-2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607</v>
      </c>
      <c r="C46" s="372">
        <v>1.0083500000000001</v>
      </c>
      <c r="D46" s="372">
        <v>1.03484</v>
      </c>
      <c r="E46" s="373">
        <f t="shared" si="4"/>
        <v>2.6489999999999903E-2</v>
      </c>
      <c r="F46" s="362">
        <f t="shared" si="5"/>
        <v>2.6270640154708088E-2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608</v>
      </c>
      <c r="C47" s="376">
        <f>C45*C46</f>
        <v>3418.3065000000001</v>
      </c>
      <c r="D47" s="376">
        <f>LN_IB4*LN_IB5</f>
        <v>3383.9267999999997</v>
      </c>
      <c r="E47" s="376">
        <f t="shared" si="4"/>
        <v>-34.379700000000412</v>
      </c>
      <c r="F47" s="362">
        <f t="shared" si="5"/>
        <v>-1.0057524098555939E-2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609</v>
      </c>
      <c r="C48" s="378">
        <f>IF(C47=0,0,C43/C47)</f>
        <v>8932.2818184969656</v>
      </c>
      <c r="D48" s="378">
        <f>IF(LN_IB6=0,0,LN_IB2/LN_IB6)</f>
        <v>9654.4044628861357</v>
      </c>
      <c r="E48" s="378">
        <f t="shared" si="4"/>
        <v>722.12264438917009</v>
      </c>
      <c r="F48" s="362">
        <f t="shared" si="5"/>
        <v>8.0844140283818505E-2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625</v>
      </c>
      <c r="C49" s="378">
        <f>C21-C48</f>
        <v>-2487.8400339803893</v>
      </c>
      <c r="D49" s="378">
        <f>LN_IA7-LN_IB7</f>
        <v>-2980.4577964086466</v>
      </c>
      <c r="E49" s="378">
        <f t="shared" si="4"/>
        <v>-492.61776242825727</v>
      </c>
      <c r="F49" s="362">
        <f t="shared" si="5"/>
        <v>0.1980102240094993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626</v>
      </c>
      <c r="C50" s="391">
        <f>C49*C47</f>
        <v>-8504199.7591153868</v>
      </c>
      <c r="D50" s="391">
        <f>LN_IB8*LN_IB6</f>
        <v>-10085651.013536163</v>
      </c>
      <c r="E50" s="391">
        <f t="shared" si="4"/>
        <v>-1581451.2544207759</v>
      </c>
      <c r="F50" s="362">
        <f t="shared" si="5"/>
        <v>0.18596120731120733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11767</v>
      </c>
      <c r="D51" s="369">
        <v>11526</v>
      </c>
      <c r="E51" s="369">
        <f t="shared" si="4"/>
        <v>-241</v>
      </c>
      <c r="F51" s="362">
        <f t="shared" si="5"/>
        <v>-2.0481006203790262E-2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610</v>
      </c>
      <c r="C52" s="378">
        <f>IF(C51=0,0,C43/C51)</f>
        <v>2594.8225546018525</v>
      </c>
      <c r="D52" s="378">
        <f>IF(LN_IB10=0,0,LN_IB2/LN_IB10)</f>
        <v>2834.4436925212563</v>
      </c>
      <c r="E52" s="378">
        <f t="shared" si="4"/>
        <v>239.62113791940374</v>
      </c>
      <c r="F52" s="362">
        <f t="shared" si="5"/>
        <v>9.2345866770134885E-2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611</v>
      </c>
      <c r="C53" s="379">
        <f>IF(C45=0,0,C51/C45)</f>
        <v>3.4710914454277284</v>
      </c>
      <c r="D53" s="379">
        <f>IF(LN_IB4=0,0,LN_IB10/LN_IB4)</f>
        <v>3.524770642201835</v>
      </c>
      <c r="E53" s="379">
        <f t="shared" si="4"/>
        <v>5.3679196774106597E-2</v>
      </c>
      <c r="F53" s="362">
        <f t="shared" si="5"/>
        <v>1.5464644944694602E-2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627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613</v>
      </c>
      <c r="C56" s="361">
        <v>91041509</v>
      </c>
      <c r="D56" s="361">
        <v>97810217</v>
      </c>
      <c r="E56" s="361">
        <f t="shared" ref="E56:E63" si="6">D56-C56</f>
        <v>6768708</v>
      </c>
      <c r="F56" s="362">
        <f t="shared" ref="F56:F63" si="7">IF(C56=0,0,E56/C56)</f>
        <v>7.4347493515293114E-2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614</v>
      </c>
      <c r="C57" s="361">
        <v>57435337</v>
      </c>
      <c r="D57" s="361">
        <v>61788697</v>
      </c>
      <c r="E57" s="361">
        <f t="shared" si="6"/>
        <v>4353360</v>
      </c>
      <c r="F57" s="362">
        <f t="shared" si="7"/>
        <v>7.5795846727599078E-2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615</v>
      </c>
      <c r="C58" s="366">
        <f>IF(C56=0,0,C57/C56)</f>
        <v>0.63086978270538108</v>
      </c>
      <c r="D58" s="366">
        <f>IF(LN_IB13=0,0,LN_IB14/LN_IB13)</f>
        <v>0.63172027314896972</v>
      </c>
      <c r="E58" s="367">
        <f t="shared" si="6"/>
        <v>8.5049044358864734E-4</v>
      </c>
      <c r="F58" s="362">
        <f t="shared" si="7"/>
        <v>1.348123601579805E-3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616</v>
      </c>
      <c r="C59" s="366">
        <f>IF(C42=0,0,C56/C42)</f>
        <v>1.8829576522107871</v>
      </c>
      <c r="D59" s="366">
        <f>IF(LN_IB1=0,0,LN_IB13/LN_IB1)</f>
        <v>1.8565590999855743</v>
      </c>
      <c r="E59" s="367">
        <f t="shared" si="6"/>
        <v>-2.6398552225212812E-2</v>
      </c>
      <c r="F59" s="362">
        <f t="shared" si="7"/>
        <v>-1.4019726993975769E-2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617</v>
      </c>
      <c r="C60" s="376">
        <f>C59*C45</f>
        <v>6383.2264409945683</v>
      </c>
      <c r="D60" s="376">
        <f>LN_IB16*LN_IB4</f>
        <v>6070.9482569528282</v>
      </c>
      <c r="E60" s="376">
        <f t="shared" si="6"/>
        <v>-312.27818404174013</v>
      </c>
      <c r="F60" s="362">
        <f t="shared" si="7"/>
        <v>-4.8921683560560668E-2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618</v>
      </c>
      <c r="C61" s="378">
        <f>IF(C60=0,0,C57/C60)</f>
        <v>8997.8535981642253</v>
      </c>
      <c r="D61" s="378">
        <f>IF(LN_IB17=0,0,LN_IB14/LN_IB17)</f>
        <v>10177.767028278611</v>
      </c>
      <c r="E61" s="378">
        <f t="shared" si="6"/>
        <v>1179.9134301143858</v>
      </c>
      <c r="F61" s="362">
        <f t="shared" si="7"/>
        <v>0.13113276596933252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628</v>
      </c>
      <c r="C62" s="378">
        <f>C32-C61</f>
        <v>-1904.2223538222697</v>
      </c>
      <c r="D62" s="378">
        <f>LN_IA16-LN_IB18</f>
        <v>-3030.5539845135991</v>
      </c>
      <c r="E62" s="378">
        <f t="shared" si="6"/>
        <v>-1126.3316306913293</v>
      </c>
      <c r="F62" s="362">
        <f t="shared" si="7"/>
        <v>0.59149165454889696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629</v>
      </c>
      <c r="C63" s="361">
        <f>C62*C60</f>
        <v>-12155082.478451226</v>
      </c>
      <c r="D63" s="361">
        <f>LN_IB19*LN_IB17</f>
        <v>-18398336.429884281</v>
      </c>
      <c r="E63" s="361">
        <f t="shared" si="6"/>
        <v>-6243253.9514330551</v>
      </c>
      <c r="F63" s="362">
        <f t="shared" si="7"/>
        <v>0.51363320343578256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630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620</v>
      </c>
      <c r="C66" s="361">
        <f>C42+C56</f>
        <v>139391778</v>
      </c>
      <c r="D66" s="361">
        <f>LN_IB1+LN_IB13</f>
        <v>150493817</v>
      </c>
      <c r="E66" s="361">
        <f>D66-C66</f>
        <v>11102039</v>
      </c>
      <c r="F66" s="362">
        <f>IF(C66=0,0,E66/C66)</f>
        <v>7.9646297359088139E-2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621</v>
      </c>
      <c r="C67" s="361">
        <f>C43+C57</f>
        <v>87968614</v>
      </c>
      <c r="D67" s="361">
        <f>LN_IB2+LN_IB14</f>
        <v>94458495</v>
      </c>
      <c r="E67" s="361">
        <f>D67-C67</f>
        <v>6489881</v>
      </c>
      <c r="F67" s="362">
        <f>IF(C67=0,0,E67/C67)</f>
        <v>7.3774960237522891E-2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622</v>
      </c>
      <c r="C68" s="361">
        <f>C66-C67</f>
        <v>51423164</v>
      </c>
      <c r="D68" s="361">
        <f>LN_IB21-LN_IB22</f>
        <v>56035322</v>
      </c>
      <c r="E68" s="361">
        <f>D68-C68</f>
        <v>4612158</v>
      </c>
      <c r="F68" s="362">
        <f>IF(C68=0,0,E68/C68)</f>
        <v>8.9690280434708378E-2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631</v>
      </c>
      <c r="C70" s="353">
        <f>C50+C63</f>
        <v>-20659282.237566613</v>
      </c>
      <c r="D70" s="353">
        <f>LN_IB9+LN_IB20</f>
        <v>-28483987.443420444</v>
      </c>
      <c r="E70" s="361">
        <f>D70-C70</f>
        <v>-7824705.205853831</v>
      </c>
      <c r="F70" s="362">
        <f>IF(C70=0,0,E70/C70)</f>
        <v>0.37875009963441386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632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633</v>
      </c>
      <c r="C73" s="400">
        <v>123130052</v>
      </c>
      <c r="D73" s="400">
        <v>132260378</v>
      </c>
      <c r="E73" s="400">
        <f>D73-C73</f>
        <v>9130326</v>
      </c>
      <c r="F73" s="401">
        <f>IF(C73=0,0,E73/C73)</f>
        <v>7.4151889418514985E-2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634</v>
      </c>
      <c r="C74" s="400">
        <v>87350337</v>
      </c>
      <c r="D74" s="400">
        <v>93181255</v>
      </c>
      <c r="E74" s="400">
        <f>D74-C74</f>
        <v>5830918</v>
      </c>
      <c r="F74" s="401">
        <f>IF(C74=0,0,E74/C74)</f>
        <v>6.6753239887328661E-2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635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636</v>
      </c>
      <c r="C76" s="353">
        <f>C73-C74</f>
        <v>35779715</v>
      </c>
      <c r="D76" s="353">
        <f>LN_IB32-LN_IB33</f>
        <v>39079123</v>
      </c>
      <c r="E76" s="400">
        <f>D76-C76</f>
        <v>3299408</v>
      </c>
      <c r="F76" s="401">
        <f>IF(C76=0,0,E76/C76)</f>
        <v>9.2214485218789471E-2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637</v>
      </c>
      <c r="C77" s="366">
        <f>IF(C73=0,0,C76/C73)</f>
        <v>0.29058474693083053</v>
      </c>
      <c r="D77" s="366">
        <f>IF(LN_IB1=0,0,LN_IB34/LN_IB32)</f>
        <v>0.29547112741504489</v>
      </c>
      <c r="E77" s="405">
        <f>D77-C77</f>
        <v>4.8863804842143588E-3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638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639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604</v>
      </c>
      <c r="C83" s="361">
        <v>4002999</v>
      </c>
      <c r="D83" s="361">
        <v>3934556</v>
      </c>
      <c r="E83" s="361">
        <f t="shared" ref="E83:E95" si="8">D83-C83</f>
        <v>-68443</v>
      </c>
      <c r="F83" s="362">
        <f t="shared" ref="F83:F95" si="9">IF(C83=0,0,E83/C83)</f>
        <v>-1.7097930826362934E-2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605</v>
      </c>
      <c r="C84" s="361">
        <v>125703</v>
      </c>
      <c r="D84" s="361">
        <v>102665</v>
      </c>
      <c r="E84" s="361">
        <f t="shared" si="8"/>
        <v>-23038</v>
      </c>
      <c r="F84" s="362">
        <f t="shared" si="9"/>
        <v>-0.1832732711232031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606</v>
      </c>
      <c r="C85" s="366">
        <f>IF(C83=0,0,C84/C83)</f>
        <v>3.1402206195904621E-2</v>
      </c>
      <c r="D85" s="366">
        <f>IF(LN_IC1=0,0,LN_IC2/LN_IC1)</f>
        <v>2.6093160193932936E-2</v>
      </c>
      <c r="E85" s="367">
        <f t="shared" si="8"/>
        <v>-5.3090460019716845E-3</v>
      </c>
      <c r="F85" s="362">
        <f t="shared" si="9"/>
        <v>-0.16906601940165827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302</v>
      </c>
      <c r="D86" s="369">
        <v>234</v>
      </c>
      <c r="E86" s="369">
        <f t="shared" si="8"/>
        <v>-68</v>
      </c>
      <c r="F86" s="362">
        <f t="shared" si="9"/>
        <v>-0.2251655629139073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607</v>
      </c>
      <c r="C87" s="372">
        <v>0.88553000000000004</v>
      </c>
      <c r="D87" s="372">
        <v>1.07494</v>
      </c>
      <c r="E87" s="373">
        <f t="shared" si="8"/>
        <v>0.18940999999999997</v>
      </c>
      <c r="F87" s="362">
        <f t="shared" si="9"/>
        <v>0.21389450385644751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608</v>
      </c>
      <c r="C88" s="376">
        <f>C86*C87</f>
        <v>267.43006000000003</v>
      </c>
      <c r="D88" s="376">
        <f>LN_IC4*LN_IC5</f>
        <v>251.53595999999999</v>
      </c>
      <c r="E88" s="376">
        <f t="shared" si="8"/>
        <v>-15.894100000000037</v>
      </c>
      <c r="F88" s="362">
        <f t="shared" si="9"/>
        <v>-5.9432735422487795E-2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609</v>
      </c>
      <c r="C89" s="378">
        <f>IF(C88=0,0,C84/C88)</f>
        <v>470.04065287200694</v>
      </c>
      <c r="D89" s="378">
        <f>IF(LN_IC6=0,0,LN_IC2/LN_IC6)</f>
        <v>408.15237709948116</v>
      </c>
      <c r="E89" s="378">
        <f t="shared" si="8"/>
        <v>-61.888275772525787</v>
      </c>
      <c r="F89" s="362">
        <f t="shared" si="9"/>
        <v>-0.13166579399969069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640</v>
      </c>
      <c r="C90" s="378">
        <f>C48-C89</f>
        <v>8462.2411656249587</v>
      </c>
      <c r="D90" s="378">
        <f>LN_IB7-LN_IC7</f>
        <v>9246.2520857866548</v>
      </c>
      <c r="E90" s="378">
        <f t="shared" si="8"/>
        <v>784.01092016169605</v>
      </c>
      <c r="F90" s="362">
        <f t="shared" si="9"/>
        <v>9.2648141883084081E-2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641</v>
      </c>
      <c r="C91" s="378">
        <f>C21-C89</f>
        <v>5974.4011316445694</v>
      </c>
      <c r="D91" s="378">
        <f>LN_IA7-LN_IC7</f>
        <v>6265.7942893780082</v>
      </c>
      <c r="E91" s="378">
        <f t="shared" si="8"/>
        <v>291.39315773343878</v>
      </c>
      <c r="F91" s="362">
        <f t="shared" si="9"/>
        <v>4.8773617859373161E-2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626</v>
      </c>
      <c r="C92" s="353">
        <f>C91*C88</f>
        <v>1597734.4530997754</v>
      </c>
      <c r="D92" s="353">
        <f>LN_IC9*LN_IC6</f>
        <v>1576072.581741215</v>
      </c>
      <c r="E92" s="353">
        <f t="shared" si="8"/>
        <v>-21661.871358560398</v>
      </c>
      <c r="F92" s="362">
        <f t="shared" si="9"/>
        <v>-1.355786708894839E-2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1077</v>
      </c>
      <c r="D93" s="369">
        <v>969</v>
      </c>
      <c r="E93" s="369">
        <f t="shared" si="8"/>
        <v>-108</v>
      </c>
      <c r="F93" s="362">
        <f t="shared" si="9"/>
        <v>-0.10027855153203342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610</v>
      </c>
      <c r="C94" s="411">
        <f>IF(C93=0,0,C84/C93)</f>
        <v>116.7158774373259</v>
      </c>
      <c r="D94" s="411">
        <f>IF(LN_IC11=0,0,LN_IC2/LN_IC11)</f>
        <v>105.94943240454076</v>
      </c>
      <c r="E94" s="411">
        <f t="shared" si="8"/>
        <v>-10.766445032785143</v>
      </c>
      <c r="F94" s="362">
        <f t="shared" si="9"/>
        <v>-9.2244905056439383E-2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611</v>
      </c>
      <c r="C95" s="379">
        <f>IF(C86=0,0,C93/C86)</f>
        <v>3.5662251655629138</v>
      </c>
      <c r="D95" s="379">
        <f>IF(LN_IC4=0,0,LN_IC11/LN_IC4)</f>
        <v>4.1410256410256414</v>
      </c>
      <c r="E95" s="379">
        <f t="shared" si="8"/>
        <v>0.57480047546272761</v>
      </c>
      <c r="F95" s="362">
        <f t="shared" si="9"/>
        <v>0.16117896340737581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642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613</v>
      </c>
      <c r="C98" s="361">
        <v>6982432</v>
      </c>
      <c r="D98" s="361">
        <v>7741172</v>
      </c>
      <c r="E98" s="361">
        <f t="shared" ref="E98:E106" si="10">D98-C98</f>
        <v>758740</v>
      </c>
      <c r="F98" s="362">
        <f t="shared" ref="F98:F106" si="11">IF(C98=0,0,E98/C98)</f>
        <v>0.10866414452729364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614</v>
      </c>
      <c r="C99" s="361">
        <v>369633</v>
      </c>
      <c r="D99" s="361">
        <v>540733</v>
      </c>
      <c r="E99" s="361">
        <f t="shared" si="10"/>
        <v>171100</v>
      </c>
      <c r="F99" s="362">
        <f t="shared" si="11"/>
        <v>0.46289157082836219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615</v>
      </c>
      <c r="C100" s="366">
        <f>IF(C98=0,0,C99/C98)</f>
        <v>5.2937572467587228E-2</v>
      </c>
      <c r="D100" s="366">
        <f>IF(LN_IC14=0,0,LN_IC15/LN_IC14)</f>
        <v>6.9851567695434227E-2</v>
      </c>
      <c r="E100" s="367">
        <f t="shared" si="10"/>
        <v>1.6913995227846999E-2</v>
      </c>
      <c r="F100" s="362">
        <f t="shared" si="11"/>
        <v>0.31950832725099265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616</v>
      </c>
      <c r="C101" s="366">
        <f>IF(C83=0,0,C98/C83)</f>
        <v>1.744300210916865</v>
      </c>
      <c r="D101" s="366">
        <f>IF(LN_IC1=0,0,LN_IC14/LN_IC1)</f>
        <v>1.9674829891860734</v>
      </c>
      <c r="E101" s="367">
        <f t="shared" si="10"/>
        <v>0.2231827782692084</v>
      </c>
      <c r="F101" s="362">
        <f t="shared" si="11"/>
        <v>0.12794975135151521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617</v>
      </c>
      <c r="C102" s="376">
        <f>C101*C86</f>
        <v>526.7786636968932</v>
      </c>
      <c r="D102" s="376">
        <f>LN_IC17*LN_IC4</f>
        <v>460.39101946954116</v>
      </c>
      <c r="E102" s="376">
        <f t="shared" si="10"/>
        <v>-66.387644227352041</v>
      </c>
      <c r="F102" s="362">
        <f t="shared" si="11"/>
        <v>-0.12602568935015046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618</v>
      </c>
      <c r="C103" s="378">
        <f>IF(C102=0,0,C99/C102)</f>
        <v>701.68559486814308</v>
      </c>
      <c r="D103" s="378">
        <f>IF(LN_IC18=0,0,LN_IC15/LN_IC18)</f>
        <v>1174.5081401088758</v>
      </c>
      <c r="E103" s="378">
        <f t="shared" si="10"/>
        <v>472.82254524073267</v>
      </c>
      <c r="F103" s="362">
        <f t="shared" si="11"/>
        <v>0.67383818151430475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643</v>
      </c>
      <c r="C104" s="378">
        <f>C61-C103</f>
        <v>8296.168003296083</v>
      </c>
      <c r="D104" s="378">
        <f>LN_IB18-LN_IC19</f>
        <v>9003.2588881697357</v>
      </c>
      <c r="E104" s="378">
        <f t="shared" si="10"/>
        <v>707.09088487365261</v>
      </c>
      <c r="F104" s="362">
        <f t="shared" si="11"/>
        <v>8.523102287619104E-2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644</v>
      </c>
      <c r="C105" s="378">
        <f>C32-C103</f>
        <v>6391.9456494738124</v>
      </c>
      <c r="D105" s="378">
        <f>LN_IA16-LN_IC19</f>
        <v>5972.7049036561366</v>
      </c>
      <c r="E105" s="378">
        <f t="shared" si="10"/>
        <v>-419.24074581767582</v>
      </c>
      <c r="F105" s="362">
        <f t="shared" si="11"/>
        <v>-6.5588909669810458E-2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629</v>
      </c>
      <c r="C106" s="361">
        <f>C105*C102</f>
        <v>3367140.587652985</v>
      </c>
      <c r="D106" s="361">
        <f>LN_IC21*LN_IC18</f>
        <v>2749779.6995849763</v>
      </c>
      <c r="E106" s="361">
        <f t="shared" si="10"/>
        <v>-617360.8880680087</v>
      </c>
      <c r="F106" s="362">
        <f t="shared" si="11"/>
        <v>-0.18334871146509832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645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620</v>
      </c>
      <c r="C109" s="361">
        <f>C83+C98</f>
        <v>10985431</v>
      </c>
      <c r="D109" s="361">
        <f>LN_IC1+LN_IC14</f>
        <v>11675728</v>
      </c>
      <c r="E109" s="361">
        <f>D109-C109</f>
        <v>690297</v>
      </c>
      <c r="F109" s="362">
        <f>IF(C109=0,0,E109/C109)</f>
        <v>6.2837498137305672E-2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621</v>
      </c>
      <c r="C110" s="361">
        <f>C84+C99</f>
        <v>495336</v>
      </c>
      <c r="D110" s="361">
        <f>LN_IC2+LN_IC15</f>
        <v>643398</v>
      </c>
      <c r="E110" s="361">
        <f>D110-C110</f>
        <v>148062</v>
      </c>
      <c r="F110" s="362">
        <f>IF(C110=0,0,E110/C110)</f>
        <v>0.29891225350065409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622</v>
      </c>
      <c r="C111" s="361">
        <f>C109-C110</f>
        <v>10490095</v>
      </c>
      <c r="D111" s="361">
        <f>LN_IC23-LN_IC24</f>
        <v>11032330</v>
      </c>
      <c r="E111" s="361">
        <f>D111-C111</f>
        <v>542235</v>
      </c>
      <c r="F111" s="362">
        <f>IF(C111=0,0,E111/C111)</f>
        <v>5.169018965033205E-2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631</v>
      </c>
      <c r="C113" s="361">
        <f>C92+C106</f>
        <v>4964875.0407527601</v>
      </c>
      <c r="D113" s="361">
        <f>LN_IC10+LN_IC22</f>
        <v>4325852.2813261915</v>
      </c>
      <c r="E113" s="361">
        <f>D113-C113</f>
        <v>-639022.75942656863</v>
      </c>
      <c r="F113" s="362">
        <f>IF(C113=0,0,E113/C113)</f>
        <v>-0.12870872966214308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646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647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604</v>
      </c>
      <c r="C118" s="361">
        <v>15799960</v>
      </c>
      <c r="D118" s="361">
        <v>20416489</v>
      </c>
      <c r="E118" s="361">
        <f t="shared" ref="E118:E130" si="12">D118-C118</f>
        <v>4616529</v>
      </c>
      <c r="F118" s="362">
        <f t="shared" ref="F118:F130" si="13">IF(C118=0,0,E118/C118)</f>
        <v>0.29218611945853029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605</v>
      </c>
      <c r="C119" s="361">
        <v>6699224</v>
      </c>
      <c r="D119" s="361">
        <v>7724989</v>
      </c>
      <c r="E119" s="361">
        <f t="shared" si="12"/>
        <v>1025765</v>
      </c>
      <c r="F119" s="362">
        <f t="shared" si="13"/>
        <v>0.15311698787799902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606</v>
      </c>
      <c r="C120" s="366">
        <f>IF(C118=0,0,C119/C118)</f>
        <v>0.42400259241162636</v>
      </c>
      <c r="D120" s="366">
        <f>IF(LN_ID1=0,0,LN_1D2/LN_ID1)</f>
        <v>0.37837010075532573</v>
      </c>
      <c r="E120" s="367">
        <f t="shared" si="12"/>
        <v>-4.5632491656300622E-2</v>
      </c>
      <c r="F120" s="362">
        <f t="shared" si="13"/>
        <v>-0.10762314304908802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1542</v>
      </c>
      <c r="D121" s="369">
        <v>1741</v>
      </c>
      <c r="E121" s="369">
        <f t="shared" si="12"/>
        <v>199</v>
      </c>
      <c r="F121" s="362">
        <f t="shared" si="13"/>
        <v>0.12905317769131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607</v>
      </c>
      <c r="C122" s="372">
        <v>0.75641999999999998</v>
      </c>
      <c r="D122" s="372">
        <v>0.81113000000000002</v>
      </c>
      <c r="E122" s="373">
        <f t="shared" si="12"/>
        <v>5.4710000000000036E-2</v>
      </c>
      <c r="F122" s="362">
        <f t="shared" si="13"/>
        <v>7.2327542899447442E-2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608</v>
      </c>
      <c r="C123" s="376">
        <f>C121*C122</f>
        <v>1166.3996399999999</v>
      </c>
      <c r="D123" s="376">
        <f>LN_ID4*LN_ID5</f>
        <v>1412.17733</v>
      </c>
      <c r="E123" s="376">
        <f t="shared" si="12"/>
        <v>245.77769000000012</v>
      </c>
      <c r="F123" s="362">
        <f t="shared" si="13"/>
        <v>0.21071481983653575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609</v>
      </c>
      <c r="C124" s="378">
        <f>IF(C123=0,0,C119/C123)</f>
        <v>5743.5065737846089</v>
      </c>
      <c r="D124" s="378">
        <f>IF(LN_ID6=0,0,LN_1D2/LN_ID6)</f>
        <v>5470.2683833623078</v>
      </c>
      <c r="E124" s="378">
        <f t="shared" si="12"/>
        <v>-273.23819042230116</v>
      </c>
      <c r="F124" s="362">
        <f t="shared" si="13"/>
        <v>-4.7573409538600807E-2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648</v>
      </c>
      <c r="C125" s="378">
        <f>C48-C124</f>
        <v>3188.7752447123567</v>
      </c>
      <c r="D125" s="378">
        <f>LN_IB7-LN_ID7</f>
        <v>4184.1360795238279</v>
      </c>
      <c r="E125" s="378">
        <f t="shared" si="12"/>
        <v>995.36083481147125</v>
      </c>
      <c r="F125" s="362">
        <f t="shared" si="13"/>
        <v>0.31214518378552508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649</v>
      </c>
      <c r="C126" s="378">
        <f>C21-C124</f>
        <v>700.93521073196735</v>
      </c>
      <c r="D126" s="378">
        <f>LN_IA7-LN_ID7</f>
        <v>1203.6782831151813</v>
      </c>
      <c r="E126" s="378">
        <f t="shared" si="12"/>
        <v>502.74307238321398</v>
      </c>
      <c r="F126" s="362">
        <f t="shared" si="13"/>
        <v>0.7172461372830925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626</v>
      </c>
      <c r="C127" s="391">
        <f>C126*C123</f>
        <v>817570.57746109075</v>
      </c>
      <c r="D127" s="391">
        <f>LN_ID9*LN_ID6</f>
        <v>1699807.1840285808</v>
      </c>
      <c r="E127" s="391">
        <f t="shared" si="12"/>
        <v>882236.60656749003</v>
      </c>
      <c r="F127" s="362">
        <f t="shared" si="13"/>
        <v>1.0790953477156862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5160</v>
      </c>
      <c r="D128" s="369">
        <v>6201</v>
      </c>
      <c r="E128" s="369">
        <f t="shared" si="12"/>
        <v>1041</v>
      </c>
      <c r="F128" s="362">
        <f t="shared" si="13"/>
        <v>0.20174418604651162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610</v>
      </c>
      <c r="C129" s="378">
        <f>IF(C128=0,0,C119/C128)</f>
        <v>1298.2992248062014</v>
      </c>
      <c r="D129" s="378">
        <f>IF(LN_ID11=0,0,LN_1D2/LN_ID11)</f>
        <v>1245.7650378971134</v>
      </c>
      <c r="E129" s="378">
        <f t="shared" si="12"/>
        <v>-52.534186909088021</v>
      </c>
      <c r="F129" s="362">
        <f t="shared" si="13"/>
        <v>-4.0463851402922815E-2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611</v>
      </c>
      <c r="C130" s="379">
        <f>IF(C121=0,0,C128/C121)</f>
        <v>3.3463035019455254</v>
      </c>
      <c r="D130" s="379">
        <f>IF(LN_ID4=0,0,LN_ID11/LN_ID4)</f>
        <v>3.5617461229178633</v>
      </c>
      <c r="E130" s="379">
        <f t="shared" si="12"/>
        <v>0.21544262097233791</v>
      </c>
      <c r="F130" s="362">
        <f t="shared" si="13"/>
        <v>6.4382271616152134E-2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650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613</v>
      </c>
      <c r="C133" s="361">
        <v>21605580</v>
      </c>
      <c r="D133" s="361">
        <v>29370249</v>
      </c>
      <c r="E133" s="361">
        <f t="shared" ref="E133:E141" si="14">D133-C133</f>
        <v>7764669</v>
      </c>
      <c r="F133" s="362">
        <f t="shared" ref="F133:F141" si="15">IF(C133=0,0,E133/C133)</f>
        <v>0.35938257616782332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614</v>
      </c>
      <c r="C134" s="361">
        <v>7003135</v>
      </c>
      <c r="D134" s="361">
        <v>8696383</v>
      </c>
      <c r="E134" s="361">
        <f t="shared" si="14"/>
        <v>1693248</v>
      </c>
      <c r="F134" s="362">
        <f t="shared" si="15"/>
        <v>0.24178428660878307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615</v>
      </c>
      <c r="C135" s="366">
        <f>IF(C133=0,0,C134/C133)</f>
        <v>0.32413547796448883</v>
      </c>
      <c r="D135" s="366">
        <f>IF(LN_ID14=0,0,LN_ID15/LN_ID14)</f>
        <v>0.29609497011754993</v>
      </c>
      <c r="E135" s="367">
        <f t="shared" si="14"/>
        <v>-2.80405078469389E-2</v>
      </c>
      <c r="F135" s="362">
        <f t="shared" si="15"/>
        <v>-8.6508604436108416E-2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616</v>
      </c>
      <c r="C136" s="366">
        <f>IF(C118=0,0,C133/C118)</f>
        <v>1.3674452340385672</v>
      </c>
      <c r="D136" s="366">
        <f>IF(LN_ID1=0,0,LN_ID14/LN_ID1)</f>
        <v>1.4385553265304334</v>
      </c>
      <c r="E136" s="367">
        <f t="shared" si="14"/>
        <v>7.1110092491866173E-2</v>
      </c>
      <c r="F136" s="362">
        <f t="shared" si="15"/>
        <v>5.2002150230069537E-2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617</v>
      </c>
      <c r="C137" s="376">
        <f>C136*C121</f>
        <v>2108.6005508874705</v>
      </c>
      <c r="D137" s="376">
        <f>LN_ID17*LN_ID4</f>
        <v>2504.5248234894843</v>
      </c>
      <c r="E137" s="376">
        <f t="shared" si="14"/>
        <v>395.92427260201384</v>
      </c>
      <c r="F137" s="362">
        <f t="shared" si="15"/>
        <v>0.18776637065535087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618</v>
      </c>
      <c r="C138" s="378">
        <f>IF(C137=0,0,C134/C137)</f>
        <v>3321.2241157067474</v>
      </c>
      <c r="D138" s="378">
        <f>IF(LN_ID18=0,0,LN_ID15/LN_ID18)</f>
        <v>3472.2686389203254</v>
      </c>
      <c r="E138" s="378">
        <f t="shared" si="14"/>
        <v>151.04452321357803</v>
      </c>
      <c r="F138" s="362">
        <f t="shared" si="15"/>
        <v>4.547856993427743E-2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651</v>
      </c>
      <c r="C139" s="378">
        <f>C61-C138</f>
        <v>5676.6294824574779</v>
      </c>
      <c r="D139" s="378">
        <f>LN_IB18-LN_ID19</f>
        <v>6705.4983893582857</v>
      </c>
      <c r="E139" s="378">
        <f t="shared" si="14"/>
        <v>1028.8689069008078</v>
      </c>
      <c r="F139" s="362">
        <f t="shared" si="15"/>
        <v>0.18124644387665736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652</v>
      </c>
      <c r="C140" s="378">
        <f>C32-C138</f>
        <v>3772.4071286352082</v>
      </c>
      <c r="D140" s="378">
        <f>LN_IA16-LN_ID19</f>
        <v>3674.9444048446867</v>
      </c>
      <c r="E140" s="378">
        <f t="shared" si="14"/>
        <v>-97.462723790521522</v>
      </c>
      <c r="F140" s="362">
        <f t="shared" si="15"/>
        <v>-2.5835685403813202E-2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629</v>
      </c>
      <c r="C141" s="353">
        <f>C140*C137</f>
        <v>7954499.7496120203</v>
      </c>
      <c r="D141" s="353">
        <f>LN_ID21*LN_ID18</f>
        <v>9203989.4868773073</v>
      </c>
      <c r="E141" s="353">
        <f t="shared" si="14"/>
        <v>1249489.737265287</v>
      </c>
      <c r="F141" s="362">
        <f t="shared" si="15"/>
        <v>0.15707961236987036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653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620</v>
      </c>
      <c r="C144" s="361">
        <f>C118+C133</f>
        <v>37405540</v>
      </c>
      <c r="D144" s="361">
        <f>LN_ID1+LN_ID14</f>
        <v>49786738</v>
      </c>
      <c r="E144" s="361">
        <f>D144-C144</f>
        <v>12381198</v>
      </c>
      <c r="F144" s="362">
        <f>IF(C144=0,0,E144/C144)</f>
        <v>0.33099904452655943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621</v>
      </c>
      <c r="C145" s="361">
        <f>C119+C134</f>
        <v>13702359</v>
      </c>
      <c r="D145" s="361">
        <f>LN_1D2+LN_ID15</f>
        <v>16421372</v>
      </c>
      <c r="E145" s="361">
        <f>D145-C145</f>
        <v>2719013</v>
      </c>
      <c r="F145" s="362">
        <f>IF(C145=0,0,E145/C145)</f>
        <v>0.19843393389415648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622</v>
      </c>
      <c r="C146" s="361">
        <f>C144-C145</f>
        <v>23703181</v>
      </c>
      <c r="D146" s="361">
        <f>LN_ID23-LN_ID24</f>
        <v>33365366</v>
      </c>
      <c r="E146" s="361">
        <f>D146-C146</f>
        <v>9662185</v>
      </c>
      <c r="F146" s="362">
        <f>IF(C146=0,0,E146/C146)</f>
        <v>0.4076324186192562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631</v>
      </c>
      <c r="C148" s="361">
        <f>C127+C141</f>
        <v>8772070.3270731103</v>
      </c>
      <c r="D148" s="361">
        <f>LN_ID10+LN_ID22</f>
        <v>10903796.670905888</v>
      </c>
      <c r="E148" s="361">
        <f>D148-C148</f>
        <v>2131726.3438327778</v>
      </c>
      <c r="F148" s="415">
        <f>IF(C148=0,0,E148/C148)</f>
        <v>0.24301291078956155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654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655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604</v>
      </c>
      <c r="C153" s="361">
        <v>4651402</v>
      </c>
      <c r="D153" s="361">
        <v>2586617</v>
      </c>
      <c r="E153" s="361">
        <f t="shared" ref="E153:E165" si="16">D153-C153</f>
        <v>-2064785</v>
      </c>
      <c r="F153" s="362">
        <f t="shared" ref="F153:F165" si="17">IF(C153=0,0,E153/C153)</f>
        <v>-0.44390594491725288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605</v>
      </c>
      <c r="C154" s="361">
        <v>888557</v>
      </c>
      <c r="D154" s="361">
        <v>392213</v>
      </c>
      <c r="E154" s="361">
        <f t="shared" si="16"/>
        <v>-496344</v>
      </c>
      <c r="F154" s="362">
        <f t="shared" si="17"/>
        <v>-0.55859556561931312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606</v>
      </c>
      <c r="C155" s="366">
        <f>IF(C153=0,0,C154/C153)</f>
        <v>0.19102993033068311</v>
      </c>
      <c r="D155" s="366">
        <f>IF(LN_IE1=0,0,LN_IE2/LN_IE1)</f>
        <v>0.15163164859737641</v>
      </c>
      <c r="E155" s="367">
        <f t="shared" si="16"/>
        <v>-3.93982817333067E-2</v>
      </c>
      <c r="F155" s="362">
        <f t="shared" si="17"/>
        <v>-0.20624140764280316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305</v>
      </c>
      <c r="D156" s="419">
        <v>168</v>
      </c>
      <c r="E156" s="419">
        <f t="shared" si="16"/>
        <v>-137</v>
      </c>
      <c r="F156" s="362">
        <f t="shared" si="17"/>
        <v>-0.44918032786885248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607</v>
      </c>
      <c r="C157" s="372">
        <v>1.05223</v>
      </c>
      <c r="D157" s="372">
        <v>1.13961</v>
      </c>
      <c r="E157" s="373">
        <f t="shared" si="16"/>
        <v>8.7380000000000013E-2</v>
      </c>
      <c r="F157" s="362">
        <f t="shared" si="17"/>
        <v>8.304268078271862E-2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608</v>
      </c>
      <c r="C158" s="376">
        <f>C156*C157</f>
        <v>320.93015000000003</v>
      </c>
      <c r="D158" s="376">
        <f>LN_IE4*LN_IE5</f>
        <v>191.45447999999999</v>
      </c>
      <c r="E158" s="376">
        <f t="shared" si="16"/>
        <v>-129.47567000000004</v>
      </c>
      <c r="F158" s="362">
        <f t="shared" si="17"/>
        <v>-0.40343878566722391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609</v>
      </c>
      <c r="C159" s="378">
        <f>IF(C158=0,0,C154/C158)</f>
        <v>2768.6928136854699</v>
      </c>
      <c r="D159" s="378">
        <f>IF(LN_IE6=0,0,LN_IE2/LN_IE6)</f>
        <v>2048.5966168041614</v>
      </c>
      <c r="E159" s="378">
        <f t="shared" si="16"/>
        <v>-720.09619688130852</v>
      </c>
      <c r="F159" s="362">
        <f t="shared" si="17"/>
        <v>-0.26008526237433038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656</v>
      </c>
      <c r="C160" s="378">
        <f>C48-C159</f>
        <v>6163.5890048114961</v>
      </c>
      <c r="D160" s="378">
        <f>LN_IB7-LN_IE7</f>
        <v>7605.8078460819743</v>
      </c>
      <c r="E160" s="378">
        <f t="shared" si="16"/>
        <v>1442.2188412704782</v>
      </c>
      <c r="F160" s="362">
        <f t="shared" si="17"/>
        <v>0.23399010546365692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657</v>
      </c>
      <c r="C161" s="378">
        <f>C21-C159</f>
        <v>3675.7489708311064</v>
      </c>
      <c r="D161" s="378">
        <f>LN_IA7-LN_IE7</f>
        <v>4625.3500496733277</v>
      </c>
      <c r="E161" s="378">
        <f t="shared" si="16"/>
        <v>949.60107884222134</v>
      </c>
      <c r="F161" s="362">
        <f t="shared" si="17"/>
        <v>0.25834220083519782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626</v>
      </c>
      <c r="C162" s="391">
        <f>C161*C158</f>
        <v>1179658.6685711727</v>
      </c>
      <c r="D162" s="391">
        <f>LN_IE9*LN_IE6</f>
        <v>885543.98857818113</v>
      </c>
      <c r="E162" s="391">
        <f t="shared" si="16"/>
        <v>-294114.67999299162</v>
      </c>
      <c r="F162" s="362">
        <f t="shared" si="17"/>
        <v>-0.2493218486235764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1432</v>
      </c>
      <c r="D163" s="369">
        <v>849</v>
      </c>
      <c r="E163" s="419">
        <f t="shared" si="16"/>
        <v>-583</v>
      </c>
      <c r="F163" s="362">
        <f t="shared" si="17"/>
        <v>-0.40712290502793297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610</v>
      </c>
      <c r="C164" s="378">
        <f>IF(C163=0,0,C154/C163)</f>
        <v>620.50069832402232</v>
      </c>
      <c r="D164" s="378">
        <f>IF(LN_IE11=0,0,LN_IE2/LN_IE11)</f>
        <v>461.97055359246173</v>
      </c>
      <c r="E164" s="378">
        <f t="shared" si="16"/>
        <v>-158.5301447315606</v>
      </c>
      <c r="F164" s="362">
        <f t="shared" si="17"/>
        <v>-0.25548745579135024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611</v>
      </c>
      <c r="C165" s="379">
        <f>IF(C156=0,0,C163/C156)</f>
        <v>4.695081967213115</v>
      </c>
      <c r="D165" s="379">
        <f>IF(LN_IE4=0,0,LN_IE11/LN_IE4)</f>
        <v>5.0535714285714288</v>
      </c>
      <c r="E165" s="379">
        <f t="shared" si="16"/>
        <v>0.35848946135831383</v>
      </c>
      <c r="F165" s="362">
        <f t="shared" si="17"/>
        <v>7.6354249800478849E-2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658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613</v>
      </c>
      <c r="C168" s="424">
        <v>5739806</v>
      </c>
      <c r="D168" s="424">
        <v>4783917</v>
      </c>
      <c r="E168" s="424">
        <f t="shared" ref="E168:E176" si="18">D168-C168</f>
        <v>-955889</v>
      </c>
      <c r="F168" s="362">
        <f t="shared" ref="F168:F176" si="19">IF(C168=0,0,E168/C168)</f>
        <v>-0.16653681326511732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614</v>
      </c>
      <c r="C169" s="424">
        <v>691793</v>
      </c>
      <c r="D169" s="424">
        <v>370710</v>
      </c>
      <c r="E169" s="424">
        <f t="shared" si="18"/>
        <v>-321083</v>
      </c>
      <c r="F169" s="362">
        <f t="shared" si="19"/>
        <v>-0.46413161162370825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615</v>
      </c>
      <c r="C170" s="366">
        <f>IF(C168=0,0,C169/C168)</f>
        <v>0.12052550208142923</v>
      </c>
      <c r="D170" s="366">
        <f>IF(LN_IE14=0,0,LN_IE15/LN_IE14)</f>
        <v>7.7490892923100463E-2</v>
      </c>
      <c r="E170" s="367">
        <f t="shared" si="18"/>
        <v>-4.3034609158328768E-2</v>
      </c>
      <c r="F170" s="362">
        <f t="shared" si="19"/>
        <v>-0.35705811977662455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616</v>
      </c>
      <c r="C171" s="366">
        <f>IF(C153=0,0,C168/C153)</f>
        <v>1.2339948256461171</v>
      </c>
      <c r="D171" s="366">
        <f>IF(LN_IE1=0,0,LN_IE14/LN_IE1)</f>
        <v>1.849487960529139</v>
      </c>
      <c r="E171" s="367">
        <f t="shared" si="18"/>
        <v>0.61549313488302193</v>
      </c>
      <c r="F171" s="362">
        <f t="shared" si="19"/>
        <v>0.49878096900507751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617</v>
      </c>
      <c r="C172" s="376">
        <f>C171*C156</f>
        <v>376.36842182206573</v>
      </c>
      <c r="D172" s="376">
        <f>LN_IE17*LN_IE4</f>
        <v>310.71397736889537</v>
      </c>
      <c r="E172" s="376">
        <f t="shared" si="18"/>
        <v>-65.654444453170356</v>
      </c>
      <c r="F172" s="362">
        <f t="shared" si="19"/>
        <v>-0.17444195805621959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618</v>
      </c>
      <c r="C173" s="378">
        <f>IF(C172=0,0,C169/C172)</f>
        <v>1838.0739719100461</v>
      </c>
      <c r="D173" s="378">
        <f>IF(LN_IE18=0,0,LN_IE15/LN_IE18)</f>
        <v>1193.0908391670914</v>
      </c>
      <c r="E173" s="378">
        <f t="shared" si="18"/>
        <v>-644.98313274295469</v>
      </c>
      <c r="F173" s="362">
        <f t="shared" si="19"/>
        <v>-0.35090161908593726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659</v>
      </c>
      <c r="C174" s="378">
        <f>C61-C173</f>
        <v>7159.7796262541797</v>
      </c>
      <c r="D174" s="378">
        <f>LN_IB18-LN_IE19</f>
        <v>8984.6761891115202</v>
      </c>
      <c r="E174" s="378">
        <f t="shared" si="18"/>
        <v>1824.8965628573405</v>
      </c>
      <c r="F174" s="362">
        <f t="shared" si="19"/>
        <v>0.25488166649230815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660</v>
      </c>
      <c r="C175" s="378">
        <f>C32-C173</f>
        <v>5255.55727243191</v>
      </c>
      <c r="D175" s="378">
        <f>LN_IA16-LN_IE19</f>
        <v>5954.1222045979212</v>
      </c>
      <c r="E175" s="378">
        <f t="shared" si="18"/>
        <v>698.5649321660112</v>
      </c>
      <c r="F175" s="362">
        <f t="shared" si="19"/>
        <v>0.13291928827992078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629</v>
      </c>
      <c r="C176" s="353">
        <f>C175*C172</f>
        <v>1978025.7964206783</v>
      </c>
      <c r="D176" s="353">
        <f>LN_IE21*LN_IE18</f>
        <v>1850028.9919310759</v>
      </c>
      <c r="E176" s="353">
        <f t="shared" si="18"/>
        <v>-127996.80448960233</v>
      </c>
      <c r="F176" s="362">
        <f t="shared" si="19"/>
        <v>-6.4709370687287285E-2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661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620</v>
      </c>
      <c r="C179" s="361">
        <f>C153+C168</f>
        <v>10391208</v>
      </c>
      <c r="D179" s="361">
        <f>LN_IE1+LN_IE14</f>
        <v>7370534</v>
      </c>
      <c r="E179" s="361">
        <f>D179-C179</f>
        <v>-3020674</v>
      </c>
      <c r="F179" s="362">
        <f>IF(C179=0,0,E179/C179)</f>
        <v>-0.2906951723033549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621</v>
      </c>
      <c r="C180" s="361">
        <f>C154+C169</f>
        <v>1580350</v>
      </c>
      <c r="D180" s="361">
        <f>LN_IE15+LN_IE2</f>
        <v>762923</v>
      </c>
      <c r="E180" s="361">
        <f>D180-C180</f>
        <v>-817427</v>
      </c>
      <c r="F180" s="362">
        <f>IF(C180=0,0,E180/C180)</f>
        <v>-0.51724428133008515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622</v>
      </c>
      <c r="C181" s="361">
        <f>C179-C180</f>
        <v>8810858</v>
      </c>
      <c r="D181" s="361">
        <f>LN_IE23-LN_IE24</f>
        <v>6607611</v>
      </c>
      <c r="E181" s="361">
        <f>D181-C181</f>
        <v>-2203247</v>
      </c>
      <c r="F181" s="362">
        <f>IF(C181=0,0,E181/C181)</f>
        <v>-0.25006043679287532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662</v>
      </c>
      <c r="C183" s="361">
        <f>C162+C176</f>
        <v>3157684.4649918508</v>
      </c>
      <c r="D183" s="361">
        <f>LN_IE10+LN_IE22</f>
        <v>2735572.9805092569</v>
      </c>
      <c r="E183" s="353">
        <f>D183-C183</f>
        <v>-422111.48448259383</v>
      </c>
      <c r="F183" s="362">
        <f>IF(C183=0,0,E183/C183)</f>
        <v>-0.13367753781683922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663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664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604</v>
      </c>
      <c r="C188" s="361">
        <f>C118+C153</f>
        <v>20451362</v>
      </c>
      <c r="D188" s="361">
        <f>LN_ID1+LN_IE1</f>
        <v>23003106</v>
      </c>
      <c r="E188" s="361">
        <f t="shared" ref="E188:E200" si="20">D188-C188</f>
        <v>2551744</v>
      </c>
      <c r="F188" s="362">
        <f t="shared" ref="F188:F200" si="21">IF(C188=0,0,E188/C188)</f>
        <v>0.1247713477469129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605</v>
      </c>
      <c r="C189" s="361">
        <f>C119+C154</f>
        <v>7587781</v>
      </c>
      <c r="D189" s="361">
        <f>LN_1D2+LN_IE2</f>
        <v>8117202</v>
      </c>
      <c r="E189" s="361">
        <f t="shared" si="20"/>
        <v>529421</v>
      </c>
      <c r="F189" s="362">
        <f t="shared" si="21"/>
        <v>6.9772836090024215E-2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606</v>
      </c>
      <c r="C190" s="366">
        <f>IF(C188=0,0,C189/C188)</f>
        <v>0.3710159254919061</v>
      </c>
      <c r="D190" s="366">
        <f>IF(LN_IF1=0,0,LN_IF2/LN_IF1)</f>
        <v>0.35287417273128246</v>
      </c>
      <c r="E190" s="367">
        <f t="shared" si="20"/>
        <v>-1.8141752760623631E-2</v>
      </c>
      <c r="F190" s="362">
        <f t="shared" si="21"/>
        <v>-4.8897504161231488E-2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1847</v>
      </c>
      <c r="D191" s="369">
        <f>LN_ID4+LN_IE4</f>
        <v>1909</v>
      </c>
      <c r="E191" s="369">
        <f t="shared" si="20"/>
        <v>62</v>
      </c>
      <c r="F191" s="362">
        <f t="shared" si="21"/>
        <v>3.3567948023822416E-2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607</v>
      </c>
      <c r="C192" s="372">
        <f>IF((C121+C156)=0,0,(C123+C158)/(C121+C156))</f>
        <v>0.80526788846778552</v>
      </c>
      <c r="D192" s="372">
        <f>IF((LN_ID4+LN_IE4)=0,0,(LN_ID6+LN_IE6)/(LN_ID4+LN_IE4))</f>
        <v>0.84003761655316911</v>
      </c>
      <c r="E192" s="373">
        <f t="shared" si="20"/>
        <v>3.4769728085383589E-2</v>
      </c>
      <c r="F192" s="362">
        <f t="shared" si="21"/>
        <v>4.3177840049652673E-2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608</v>
      </c>
      <c r="C193" s="376">
        <f>C123+C158</f>
        <v>1487.3297899999998</v>
      </c>
      <c r="D193" s="376">
        <f>LN_IF4*LN_IF5</f>
        <v>1603.6318099999999</v>
      </c>
      <c r="E193" s="376">
        <f t="shared" si="20"/>
        <v>116.30202000000008</v>
      </c>
      <c r="F193" s="362">
        <f t="shared" si="21"/>
        <v>7.8195179564042816E-2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609</v>
      </c>
      <c r="C194" s="378">
        <f>IF(C193=0,0,C189/C193)</f>
        <v>5101.613005411531</v>
      </c>
      <c r="D194" s="378">
        <f>IF(LN_IF6=0,0,LN_IF2/LN_IF6)</f>
        <v>5061.7616521338532</v>
      </c>
      <c r="E194" s="378">
        <f t="shared" si="20"/>
        <v>-39.851353277677845</v>
      </c>
      <c r="F194" s="362">
        <f t="shared" si="21"/>
        <v>-7.8115202457351351E-3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665</v>
      </c>
      <c r="C195" s="378">
        <f>C48-C194</f>
        <v>3830.6688130854345</v>
      </c>
      <c r="D195" s="378">
        <f>LN_IB7-LN_IF7</f>
        <v>4592.6428107522825</v>
      </c>
      <c r="E195" s="378">
        <f t="shared" si="20"/>
        <v>761.97399766684794</v>
      </c>
      <c r="F195" s="362">
        <f t="shared" si="21"/>
        <v>0.19891408911779862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666</v>
      </c>
      <c r="C196" s="378">
        <f>C21-C194</f>
        <v>1342.8287791050452</v>
      </c>
      <c r="D196" s="378">
        <f>LN_IA7-LN_IF7</f>
        <v>1612.1850143436359</v>
      </c>
      <c r="E196" s="378">
        <f t="shared" si="20"/>
        <v>269.35623523859067</v>
      </c>
      <c r="F196" s="362">
        <f t="shared" si="21"/>
        <v>0.20058866731923072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626</v>
      </c>
      <c r="C197" s="391">
        <f>C127+C162</f>
        <v>1997229.2460322636</v>
      </c>
      <c r="D197" s="391">
        <f>LN_IF9*LN_IF6</f>
        <v>2585351.1726067606</v>
      </c>
      <c r="E197" s="391">
        <f t="shared" si="20"/>
        <v>588121.92657449702</v>
      </c>
      <c r="F197" s="362">
        <f t="shared" si="21"/>
        <v>0.29446891374281248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6592</v>
      </c>
      <c r="D198" s="369">
        <f>LN_ID11+LN_IE11</f>
        <v>7050</v>
      </c>
      <c r="E198" s="369">
        <f t="shared" si="20"/>
        <v>458</v>
      </c>
      <c r="F198" s="362">
        <f t="shared" si="21"/>
        <v>6.9478155339805822E-2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610</v>
      </c>
      <c r="C199" s="432">
        <f>IF(C198=0,0,C189/C198)</f>
        <v>1151.0590109223301</v>
      </c>
      <c r="D199" s="432">
        <f>IF(LN_IF11=0,0,LN_IF2/LN_IF11)</f>
        <v>1151.3761702127661</v>
      </c>
      <c r="E199" s="432">
        <f t="shared" si="20"/>
        <v>0.3171592904359386</v>
      </c>
      <c r="F199" s="362">
        <f t="shared" si="21"/>
        <v>2.7553695112625246E-4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611</v>
      </c>
      <c r="C200" s="379">
        <f>IF(C191=0,0,C198/C191)</f>
        <v>3.5690308608554413</v>
      </c>
      <c r="D200" s="379">
        <f>IF(LN_IF4=0,0,LN_IF11/LN_IF4)</f>
        <v>3.6930330015715036</v>
      </c>
      <c r="E200" s="379">
        <f t="shared" si="20"/>
        <v>0.1240021407160623</v>
      </c>
      <c r="F200" s="362">
        <f t="shared" si="21"/>
        <v>3.4743925045899134E-2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667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613</v>
      </c>
      <c r="C203" s="361">
        <f>C133+C168</f>
        <v>27345386</v>
      </c>
      <c r="D203" s="361">
        <f>LN_ID14+LN_IE14</f>
        <v>34154166</v>
      </c>
      <c r="E203" s="361">
        <f t="shared" ref="E203:E211" si="22">D203-C203</f>
        <v>6808780</v>
      </c>
      <c r="F203" s="362">
        <f t="shared" ref="F203:F211" si="23">IF(C203=0,0,E203/C203)</f>
        <v>0.24899191402893345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614</v>
      </c>
      <c r="C204" s="361">
        <f>C134+C169</f>
        <v>7694928</v>
      </c>
      <c r="D204" s="361">
        <f>LN_ID15+LN_IE15</f>
        <v>9067093</v>
      </c>
      <c r="E204" s="361">
        <f t="shared" si="22"/>
        <v>1372165</v>
      </c>
      <c r="F204" s="362">
        <f t="shared" si="23"/>
        <v>0.17832070683442391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615</v>
      </c>
      <c r="C205" s="366">
        <f>IF(C203=0,0,C204/C203)</f>
        <v>0.28139767345028516</v>
      </c>
      <c r="D205" s="366">
        <f>IF(LN_IF14=0,0,LN_IF15/LN_IF14)</f>
        <v>0.26547546205637113</v>
      </c>
      <c r="E205" s="367">
        <f t="shared" si="22"/>
        <v>-1.5922211393914032E-2</v>
      </c>
      <c r="F205" s="362">
        <f t="shared" si="23"/>
        <v>-5.6582597854090033E-2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616</v>
      </c>
      <c r="C206" s="366">
        <f>IF(C188=0,0,C203/C188)</f>
        <v>1.3370936370888158</v>
      </c>
      <c r="D206" s="366">
        <f>IF(LN_IF1=0,0,LN_IF14/LN_IF1)</f>
        <v>1.4847632315392538</v>
      </c>
      <c r="E206" s="367">
        <f t="shared" si="22"/>
        <v>0.14766959445043804</v>
      </c>
      <c r="F206" s="362">
        <f t="shared" si="23"/>
        <v>0.11044072782512925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617</v>
      </c>
      <c r="C207" s="376">
        <f>C137+C172</f>
        <v>2484.968972709536</v>
      </c>
      <c r="D207" s="376">
        <f>LN_ID18+LN_IE18</f>
        <v>2815.2388008583798</v>
      </c>
      <c r="E207" s="376">
        <f t="shared" si="22"/>
        <v>330.26982814884377</v>
      </c>
      <c r="F207" s="362">
        <f t="shared" si="23"/>
        <v>0.13290702289482809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618</v>
      </c>
      <c r="C208" s="378">
        <f>IF(C207=0,0,C204/C207)</f>
        <v>3096.5891665076524</v>
      </c>
      <c r="D208" s="378">
        <f>IF(LN_IF18=0,0,LN_IF15/LN_IF18)</f>
        <v>3220.7189660910472</v>
      </c>
      <c r="E208" s="378">
        <f t="shared" si="22"/>
        <v>124.12979958339474</v>
      </c>
      <c r="F208" s="362">
        <f t="shared" si="23"/>
        <v>4.0085976185012917E-2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668</v>
      </c>
      <c r="C209" s="378">
        <f>C61-C208</f>
        <v>5901.2644316565729</v>
      </c>
      <c r="D209" s="378">
        <f>LN_IB18-LN_IF19</f>
        <v>6957.048062187564</v>
      </c>
      <c r="E209" s="378">
        <f t="shared" si="22"/>
        <v>1055.7836305309911</v>
      </c>
      <c r="F209" s="362">
        <f t="shared" si="23"/>
        <v>0.17890803619430706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669</v>
      </c>
      <c r="C210" s="378">
        <f>C32-C208</f>
        <v>3997.0420778343032</v>
      </c>
      <c r="D210" s="378">
        <f>LN_IA16-LN_IF19</f>
        <v>3926.494077673965</v>
      </c>
      <c r="E210" s="378">
        <f t="shared" si="22"/>
        <v>-70.548000160338233</v>
      </c>
      <c r="F210" s="362">
        <f t="shared" si="23"/>
        <v>-1.7650051910027151E-2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629</v>
      </c>
      <c r="C211" s="391">
        <f>C141+C176</f>
        <v>9932525.5460326988</v>
      </c>
      <c r="D211" s="353">
        <f>LN_IF21*LN_IF18</f>
        <v>11054018.478808383</v>
      </c>
      <c r="E211" s="353">
        <f t="shared" si="22"/>
        <v>1121492.9327756837</v>
      </c>
      <c r="F211" s="362">
        <f t="shared" si="23"/>
        <v>0.11291115513149989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670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620</v>
      </c>
      <c r="C214" s="361">
        <f>C188+C203</f>
        <v>47796748</v>
      </c>
      <c r="D214" s="361">
        <f>LN_IF1+LN_IF14</f>
        <v>57157272</v>
      </c>
      <c r="E214" s="361">
        <f>D214-C214</f>
        <v>9360524</v>
      </c>
      <c r="F214" s="362">
        <f>IF(C214=0,0,E214/C214)</f>
        <v>0.19584018561262787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621</v>
      </c>
      <c r="C215" s="361">
        <f>C189+C204</f>
        <v>15282709</v>
      </c>
      <c r="D215" s="361">
        <f>LN_IF2+LN_IF15</f>
        <v>17184295</v>
      </c>
      <c r="E215" s="361">
        <f>D215-C215</f>
        <v>1901586</v>
      </c>
      <c r="F215" s="362">
        <f>IF(C215=0,0,E215/C215)</f>
        <v>0.12442728576458532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622</v>
      </c>
      <c r="C216" s="361">
        <f>C214-C215</f>
        <v>32514039</v>
      </c>
      <c r="D216" s="361">
        <f>LN_IF23-LN_IF24</f>
        <v>39972977</v>
      </c>
      <c r="E216" s="361">
        <f>D216-C216</f>
        <v>7458938</v>
      </c>
      <c r="F216" s="362">
        <f>IF(C216=0,0,E216/C216)</f>
        <v>0.22940668798484248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671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672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604</v>
      </c>
      <c r="C221" s="361">
        <v>267316</v>
      </c>
      <c r="D221" s="361">
        <v>251124</v>
      </c>
      <c r="E221" s="361">
        <f t="shared" ref="E221:E230" si="24">D221-C221</f>
        <v>-16192</v>
      </c>
      <c r="F221" s="362">
        <f t="shared" ref="F221:F230" si="25">IF(C221=0,0,E221/C221)</f>
        <v>-6.0572505948016581E-2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605</v>
      </c>
      <c r="C222" s="361">
        <v>86070</v>
      </c>
      <c r="D222" s="361">
        <v>103021</v>
      </c>
      <c r="E222" s="361">
        <f t="shared" si="24"/>
        <v>16951</v>
      </c>
      <c r="F222" s="362">
        <f t="shared" si="25"/>
        <v>0.19694434762402696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606</v>
      </c>
      <c r="C223" s="366">
        <f>IF(C221=0,0,C222/C221)</f>
        <v>0.3219784823953673</v>
      </c>
      <c r="D223" s="366">
        <f>IF(LN_IG1=0,0,LN_IG2/LN_IG1)</f>
        <v>0.41023956292508879</v>
      </c>
      <c r="E223" s="367">
        <f t="shared" si="24"/>
        <v>8.8261080529721481E-2</v>
      </c>
      <c r="F223" s="362">
        <f t="shared" si="25"/>
        <v>0.27412105266507525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10</v>
      </c>
      <c r="D224" s="369">
        <v>20</v>
      </c>
      <c r="E224" s="369">
        <f t="shared" si="24"/>
        <v>10</v>
      </c>
      <c r="F224" s="362">
        <f t="shared" si="25"/>
        <v>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607</v>
      </c>
      <c r="C225" s="372">
        <v>1.91412</v>
      </c>
      <c r="D225" s="372">
        <v>1.12174</v>
      </c>
      <c r="E225" s="373">
        <f t="shared" si="24"/>
        <v>-0.79238000000000008</v>
      </c>
      <c r="F225" s="362">
        <f t="shared" si="25"/>
        <v>-0.41396568658182353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608</v>
      </c>
      <c r="C226" s="376">
        <f>C224*C225</f>
        <v>19.141200000000001</v>
      </c>
      <c r="D226" s="376">
        <f>LN_IG3*LN_IG4</f>
        <v>22.434799999999999</v>
      </c>
      <c r="E226" s="376">
        <f t="shared" si="24"/>
        <v>3.2935999999999979</v>
      </c>
      <c r="F226" s="362">
        <f t="shared" si="25"/>
        <v>0.17206862683635288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609</v>
      </c>
      <c r="C227" s="378">
        <f>IF(C226=0,0,C222/C226)</f>
        <v>4496.5832863143378</v>
      </c>
      <c r="D227" s="378">
        <f>IF(LN_IG5=0,0,LN_IG2/LN_IG5)</f>
        <v>4592.0177581257694</v>
      </c>
      <c r="E227" s="378">
        <f t="shared" si="24"/>
        <v>95.434471811431649</v>
      </c>
      <c r="F227" s="362">
        <f t="shared" si="25"/>
        <v>2.1223774971964395E-2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57</v>
      </c>
      <c r="D228" s="369">
        <v>58</v>
      </c>
      <c r="E228" s="369">
        <f t="shared" si="24"/>
        <v>1</v>
      </c>
      <c r="F228" s="362">
        <f t="shared" si="25"/>
        <v>1.7543859649122806E-2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610</v>
      </c>
      <c r="C229" s="378">
        <f>IF(C228=0,0,C222/C228)</f>
        <v>1510</v>
      </c>
      <c r="D229" s="378">
        <f>IF(LN_IG6=0,0,LN_IG2/LN_IG6)</f>
        <v>1776.2241379310344</v>
      </c>
      <c r="E229" s="378">
        <f t="shared" si="24"/>
        <v>266.22413793103442</v>
      </c>
      <c r="F229" s="362">
        <f t="shared" si="25"/>
        <v>0.17630737611326783</v>
      </c>
      <c r="Q229" s="330"/>
      <c r="U229" s="375"/>
    </row>
    <row r="230" spans="1:21" ht="11.25" customHeight="1" x14ac:dyDescent="0.2">
      <c r="A230" s="364">
        <v>10</v>
      </c>
      <c r="B230" s="360" t="s">
        <v>611</v>
      </c>
      <c r="C230" s="379">
        <f>IF(C224=0,0,C228/C224)</f>
        <v>5.7</v>
      </c>
      <c r="D230" s="379">
        <f>IF(LN_IG3=0,0,LN_IG6/LN_IG3)</f>
        <v>2.9</v>
      </c>
      <c r="E230" s="379">
        <f t="shared" si="24"/>
        <v>-2.8000000000000003</v>
      </c>
      <c r="F230" s="362">
        <f t="shared" si="25"/>
        <v>-0.49122807017543862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673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613</v>
      </c>
      <c r="C233" s="361">
        <v>279643</v>
      </c>
      <c r="D233" s="361">
        <v>409664</v>
      </c>
      <c r="E233" s="361">
        <f>D233-C233</f>
        <v>130021</v>
      </c>
      <c r="F233" s="362">
        <f>IF(C233=0,0,E233/C233)</f>
        <v>0.46495353003651085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614</v>
      </c>
      <c r="C234" s="361">
        <v>90039</v>
      </c>
      <c r="D234" s="361">
        <v>168060</v>
      </c>
      <c r="E234" s="361">
        <f>D234-C234</f>
        <v>78021</v>
      </c>
      <c r="F234" s="362">
        <f>IF(C234=0,0,E234/C234)</f>
        <v>0.86652450604737952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674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620</v>
      </c>
      <c r="C237" s="361">
        <f>C221+C233</f>
        <v>546959</v>
      </c>
      <c r="D237" s="361">
        <f>LN_IG1+LN_IG9</f>
        <v>660788</v>
      </c>
      <c r="E237" s="361">
        <f>D237-C237</f>
        <v>113829</v>
      </c>
      <c r="F237" s="362">
        <f>IF(C237=0,0,E237/C237)</f>
        <v>0.20811249106422969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621</v>
      </c>
      <c r="C238" s="361">
        <f>C222+C234</f>
        <v>176109</v>
      </c>
      <c r="D238" s="361">
        <f>LN_IG2+LN_IG10</f>
        <v>271081</v>
      </c>
      <c r="E238" s="361">
        <f>D238-C238</f>
        <v>94972</v>
      </c>
      <c r="F238" s="362">
        <f>IF(C238=0,0,E238/C238)</f>
        <v>0.53927965067089134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622</v>
      </c>
      <c r="C239" s="361">
        <f>C237-C238</f>
        <v>370850</v>
      </c>
      <c r="D239" s="361">
        <f>LN_IG13-LN_IG14</f>
        <v>389707</v>
      </c>
      <c r="E239" s="361">
        <f>D239-C239</f>
        <v>18857</v>
      </c>
      <c r="F239" s="362">
        <f>IF(C239=0,0,E239/C239)</f>
        <v>5.0848051772954025E-2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675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676</v>
      </c>
      <c r="C243" s="361">
        <v>6541587</v>
      </c>
      <c r="D243" s="361">
        <v>18695433</v>
      </c>
      <c r="E243" s="353">
        <f>D243-C243</f>
        <v>12153846</v>
      </c>
      <c r="F243" s="415">
        <f>IF(C243=0,0,E243/C243)</f>
        <v>1.8579353909074359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677</v>
      </c>
      <c r="C244" s="361">
        <v>173269841</v>
      </c>
      <c r="D244" s="361">
        <v>190181772</v>
      </c>
      <c r="E244" s="353">
        <f>D244-C244</f>
        <v>16911931</v>
      </c>
      <c r="F244" s="415">
        <f>IF(C244=0,0,E244/C244)</f>
        <v>9.7604585439655361E-2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678</v>
      </c>
      <c r="C245" s="400">
        <v>1261662</v>
      </c>
      <c r="D245" s="400">
        <v>1215043</v>
      </c>
      <c r="E245" s="400">
        <f>D245-C245</f>
        <v>-46619</v>
      </c>
      <c r="F245" s="401">
        <f>IF(C245=0,0,E245/C245)</f>
        <v>-3.6950466923787832E-2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679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680</v>
      </c>
      <c r="C248" s="353">
        <v>3370587</v>
      </c>
      <c r="D248" s="353">
        <v>3637983</v>
      </c>
      <c r="E248" s="353">
        <f>D248-C248</f>
        <v>267396</v>
      </c>
      <c r="F248" s="362">
        <f>IF(C248=0,0,E248/C248)</f>
        <v>7.9332175671477989E-2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681</v>
      </c>
      <c r="C249" s="353">
        <v>9717615</v>
      </c>
      <c r="D249" s="353">
        <v>10465542</v>
      </c>
      <c r="E249" s="353">
        <f>D249-C249</f>
        <v>747927</v>
      </c>
      <c r="F249" s="362">
        <f>IF(C249=0,0,E249/C249)</f>
        <v>7.6966107424506935E-2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682</v>
      </c>
      <c r="C250" s="353">
        <f>C248+C249</f>
        <v>13088202</v>
      </c>
      <c r="D250" s="353">
        <f>LN_IH4+LN_IH5</f>
        <v>14103525</v>
      </c>
      <c r="E250" s="353">
        <f>D250-C250</f>
        <v>1015323</v>
      </c>
      <c r="F250" s="362">
        <f>IF(C250=0,0,E250/C250)</f>
        <v>7.757543778740579E-2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683</v>
      </c>
      <c r="C251" s="353">
        <f>C250*C313</f>
        <v>6290684.9159423383</v>
      </c>
      <c r="D251" s="353">
        <f>LN_IH6*LN_III10</f>
        <v>6632340.7258260716</v>
      </c>
      <c r="E251" s="353">
        <f>D251-C251</f>
        <v>341655.80988373328</v>
      </c>
      <c r="F251" s="362">
        <f>IF(C251=0,0,E251/C251)</f>
        <v>5.4311384920564504E-2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684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620</v>
      </c>
      <c r="C254" s="353">
        <f>C188+C203</f>
        <v>47796748</v>
      </c>
      <c r="D254" s="353">
        <f>LN_IF23</f>
        <v>57157272</v>
      </c>
      <c r="E254" s="353">
        <f>D254-C254</f>
        <v>9360524</v>
      </c>
      <c r="F254" s="362">
        <f>IF(C254=0,0,E254/C254)</f>
        <v>0.19584018561262787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621</v>
      </c>
      <c r="C255" s="353">
        <f>C189+C204</f>
        <v>15282709</v>
      </c>
      <c r="D255" s="353">
        <f>LN_IF24</f>
        <v>17184295</v>
      </c>
      <c r="E255" s="353">
        <f>D255-C255</f>
        <v>1901586</v>
      </c>
      <c r="F255" s="362">
        <f>IF(C255=0,0,E255/C255)</f>
        <v>0.12442728576458532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685</v>
      </c>
      <c r="C256" s="353">
        <f>C254*C313</f>
        <v>22972924.904024031</v>
      </c>
      <c r="D256" s="353">
        <f>LN_IH8*LN_III10</f>
        <v>26878847.866949446</v>
      </c>
      <c r="E256" s="353">
        <f>D256-C256</f>
        <v>3905922.9629254155</v>
      </c>
      <c r="F256" s="362">
        <f>IF(C256=0,0,E256/C256)</f>
        <v>0.17002288473250693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686</v>
      </c>
      <c r="C257" s="353">
        <f>C256-C255</f>
        <v>7690215.904024031</v>
      </c>
      <c r="D257" s="353">
        <f>LN_IH10-LN_IH9</f>
        <v>9694552.8669494465</v>
      </c>
      <c r="E257" s="353">
        <f>D257-C257</f>
        <v>2004336.9629254155</v>
      </c>
      <c r="F257" s="362">
        <f>IF(C257=0,0,E257/C257)</f>
        <v>0.26063468021445452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687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688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689</v>
      </c>
      <c r="C261" s="361">
        <f>C15+C42+C188+C221</f>
        <v>171870736</v>
      </c>
      <c r="D261" s="361">
        <f>LN_IA1+LN_IB1+LN_IF1+LN_IG1</f>
        <v>181180626</v>
      </c>
      <c r="E261" s="361">
        <f t="shared" ref="E261:E274" si="26">D261-C261</f>
        <v>9309890</v>
      </c>
      <c r="F261" s="415">
        <f t="shared" ref="F261:F274" si="27">IF(C261=0,0,E261/C261)</f>
        <v>5.4167976565830264E-2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690</v>
      </c>
      <c r="C262" s="361">
        <f>C16+C43+C189+C222</f>
        <v>82054210</v>
      </c>
      <c r="D262" s="361">
        <f>+LN_IA2+LN_IB2+LN_IF2+LN_IG2</f>
        <v>84814431</v>
      </c>
      <c r="E262" s="361">
        <f t="shared" si="26"/>
        <v>2760221</v>
      </c>
      <c r="F262" s="415">
        <f t="shared" si="27"/>
        <v>3.3638993051057345E-2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691</v>
      </c>
      <c r="C263" s="366">
        <f>IF(C261=0,0,C262/C261)</f>
        <v>0.47741815686412142</v>
      </c>
      <c r="D263" s="366">
        <f>IF(LN_IIA1=0,0,LN_IIA2/LN_IIA1)</f>
        <v>0.46812086298896</v>
      </c>
      <c r="E263" s="367">
        <f t="shared" si="26"/>
        <v>-9.2972938751614276E-3</v>
      </c>
      <c r="F263" s="371">
        <f t="shared" si="27"/>
        <v>-1.9474110361092829E-2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692</v>
      </c>
      <c r="C264" s="369">
        <f>C18+C45+C191+C224</f>
        <v>9955</v>
      </c>
      <c r="D264" s="369">
        <f>LN_IA4+LN_IB4+LN_IF4+LN_IG3</f>
        <v>9818</v>
      </c>
      <c r="E264" s="369">
        <f t="shared" si="26"/>
        <v>-137</v>
      </c>
      <c r="F264" s="415">
        <f t="shared" si="27"/>
        <v>-1.3761928679055751E-2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693</v>
      </c>
      <c r="C265" s="439">
        <f>IF(C264=0,0,C266/C264)</f>
        <v>1.1781655298844802</v>
      </c>
      <c r="D265" s="439">
        <f>IF(LN_IIA4=0,0,LN_IIA6/LN_IIA4)</f>
        <v>1.1806343389692402</v>
      </c>
      <c r="E265" s="439">
        <f t="shared" si="26"/>
        <v>2.4688090847599931E-3</v>
      </c>
      <c r="F265" s="415">
        <f t="shared" si="27"/>
        <v>2.0954687793336316E-3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694</v>
      </c>
      <c r="C266" s="376">
        <f>C20+C47+C193+C226</f>
        <v>11728.637850000001</v>
      </c>
      <c r="D266" s="376">
        <f>LN_IA6+LN_IB6+LN_IF6+LN_IG5</f>
        <v>11591.46794</v>
      </c>
      <c r="E266" s="376">
        <f t="shared" si="26"/>
        <v>-137.16991000000053</v>
      </c>
      <c r="F266" s="415">
        <f t="shared" si="27"/>
        <v>-1.1695297591612527E-2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695</v>
      </c>
      <c r="C267" s="361">
        <f>C27+C56+C203+C233</f>
        <v>175756315</v>
      </c>
      <c r="D267" s="361">
        <f>LN_IA11+LN_IB13+LN_IF14+LN_IG9</f>
        <v>193690236</v>
      </c>
      <c r="E267" s="361">
        <f t="shared" si="26"/>
        <v>17933921</v>
      </c>
      <c r="F267" s="415">
        <f t="shared" si="27"/>
        <v>0.10203855833003782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616</v>
      </c>
      <c r="C268" s="366">
        <f>IF(C261=0,0,C267/C261)</f>
        <v>1.0226075659558471</v>
      </c>
      <c r="D268" s="366">
        <f>IF(LN_IIA1=0,0,LN_IIA7/LN_IIA1)</f>
        <v>1.0690449651057061</v>
      </c>
      <c r="E268" s="367">
        <f t="shared" si="26"/>
        <v>4.6437399149859004E-2</v>
      </c>
      <c r="F268" s="371">
        <f t="shared" si="27"/>
        <v>4.5410772123960622E-2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696</v>
      </c>
      <c r="C269" s="361">
        <f>C28+C57+C204+C234</f>
        <v>83766837</v>
      </c>
      <c r="D269" s="361">
        <f>LN_IA12+LN_IB14+LN_IF15+LN_IG10</f>
        <v>90257755</v>
      </c>
      <c r="E269" s="361">
        <f t="shared" si="26"/>
        <v>6490918</v>
      </c>
      <c r="F269" s="415">
        <f t="shared" si="27"/>
        <v>7.7487920428462642E-2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615</v>
      </c>
      <c r="C270" s="366">
        <f>IF(C267=0,0,C269/C267)</f>
        <v>0.47660783625328057</v>
      </c>
      <c r="D270" s="366">
        <f>IF(LN_IIA7=0,0,LN_IIA9/LN_IIA7)</f>
        <v>0.46599021646088551</v>
      </c>
      <c r="E270" s="367">
        <f t="shared" si="26"/>
        <v>-1.0617619792395061E-2</v>
      </c>
      <c r="F270" s="371">
        <f t="shared" si="27"/>
        <v>-2.2277476333294296E-2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697</v>
      </c>
      <c r="C271" s="353">
        <f>C261+C267</f>
        <v>347627051</v>
      </c>
      <c r="D271" s="353">
        <f>LN_IIA1+LN_IIA7</f>
        <v>374870862</v>
      </c>
      <c r="E271" s="353">
        <f t="shared" si="26"/>
        <v>27243811</v>
      </c>
      <c r="F271" s="415">
        <f t="shared" si="27"/>
        <v>7.8370802622031846E-2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698</v>
      </c>
      <c r="C272" s="353">
        <f>C262+C269</f>
        <v>165821047</v>
      </c>
      <c r="D272" s="353">
        <f>LN_IIA2+LN_IIA9</f>
        <v>175072186</v>
      </c>
      <c r="E272" s="353">
        <f t="shared" si="26"/>
        <v>9251139</v>
      </c>
      <c r="F272" s="415">
        <f t="shared" si="27"/>
        <v>5.5789896200570968E-2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699</v>
      </c>
      <c r="C273" s="366">
        <f>IF(C271=0,0,C272/C271)</f>
        <v>0.47700846790545076</v>
      </c>
      <c r="D273" s="366">
        <f>IF(LN_IIA11=0,0,LN_IIA12/LN_IIA11)</f>
        <v>0.46701998940637857</v>
      </c>
      <c r="E273" s="367">
        <f t="shared" si="26"/>
        <v>-9.9884784990721953E-3</v>
      </c>
      <c r="F273" s="371">
        <f t="shared" si="27"/>
        <v>-2.0939834764216472E-2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42873</v>
      </c>
      <c r="D274" s="421">
        <f>LN_IA8+LN_IB10+LN_IF11+LN_IG6</f>
        <v>42359</v>
      </c>
      <c r="E274" s="442">
        <f t="shared" si="26"/>
        <v>-514</v>
      </c>
      <c r="F274" s="371">
        <f t="shared" si="27"/>
        <v>-1.1988897441280059E-2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700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701</v>
      </c>
      <c r="C277" s="361">
        <f>C15+C188+C221</f>
        <v>123520467</v>
      </c>
      <c r="D277" s="361">
        <f>LN_IA1+LN_IF1+LN_IG1</f>
        <v>128497026</v>
      </c>
      <c r="E277" s="361">
        <f t="shared" ref="E277:E291" si="28">D277-C277</f>
        <v>4976559</v>
      </c>
      <c r="F277" s="415">
        <f t="shared" ref="F277:F291" si="29">IF(C277=0,0,E277/C277)</f>
        <v>4.0289347351641733E-2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702</v>
      </c>
      <c r="C278" s="361">
        <f>C16+C189+C222</f>
        <v>51520933</v>
      </c>
      <c r="D278" s="361">
        <f>LN_IA2+LN_IF2+LN_IG2</f>
        <v>52144633</v>
      </c>
      <c r="E278" s="361">
        <f t="shared" si="28"/>
        <v>623700</v>
      </c>
      <c r="F278" s="415">
        <f t="shared" si="29"/>
        <v>1.2105759031964735E-2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703</v>
      </c>
      <c r="C279" s="366">
        <f>IF(C277=0,0,C278/C277)</f>
        <v>0.41710442205501053</v>
      </c>
      <c r="D279" s="366">
        <f>IF(D277=0,0,LN_IIB2/D277)</f>
        <v>0.40580420125832328</v>
      </c>
      <c r="E279" s="367">
        <f t="shared" si="28"/>
        <v>-1.1300220796687244E-2</v>
      </c>
      <c r="F279" s="371">
        <f t="shared" si="29"/>
        <v>-2.7092066636485803E-2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704</v>
      </c>
      <c r="C280" s="369">
        <f>C18+C191+C224</f>
        <v>6565</v>
      </c>
      <c r="D280" s="369">
        <f>LN_IA4+LN_IF4+LN_IG3</f>
        <v>6548</v>
      </c>
      <c r="E280" s="369">
        <f t="shared" si="28"/>
        <v>-17</v>
      </c>
      <c r="F280" s="415">
        <f t="shared" si="29"/>
        <v>-2.5894897182025894E-3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705</v>
      </c>
      <c r="C281" s="439">
        <f>IF(C280=0,0,C282/C280)</f>
        <v>1.265853975628332</v>
      </c>
      <c r="D281" s="439">
        <f>IF(LN_IIB4=0,0,LN_IIB6/LN_IIB4)</f>
        <v>1.2534424465485647</v>
      </c>
      <c r="E281" s="439">
        <f t="shared" si="28"/>
        <v>-1.2411529079767281E-2</v>
      </c>
      <c r="F281" s="415">
        <f t="shared" si="29"/>
        <v>-9.8048663737905235E-3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706</v>
      </c>
      <c r="C282" s="376">
        <f>C20+C193+C226</f>
        <v>8310.3313500000004</v>
      </c>
      <c r="D282" s="376">
        <f>LN_IA6+LN_IF6+LN_IG5</f>
        <v>8207.5411400000012</v>
      </c>
      <c r="E282" s="376">
        <f t="shared" si="28"/>
        <v>-102.79020999999921</v>
      </c>
      <c r="F282" s="415">
        <f t="shared" si="29"/>
        <v>-1.236896649133E-2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707</v>
      </c>
      <c r="C283" s="361">
        <f>C27+C203+C233</f>
        <v>84714806</v>
      </c>
      <c r="D283" s="361">
        <f>LN_IA11+LN_IF14+LN_IG9</f>
        <v>95880019</v>
      </c>
      <c r="E283" s="361">
        <f t="shared" si="28"/>
        <v>11165213</v>
      </c>
      <c r="F283" s="415">
        <f t="shared" si="29"/>
        <v>0.13179765766092882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708</v>
      </c>
      <c r="C284" s="366">
        <f>IF(C277=0,0,C283/C277)</f>
        <v>0.68583618616014463</v>
      </c>
      <c r="D284" s="366">
        <f>IF(D277=0,0,LN_IIB7/D277)</f>
        <v>0.74616527700804536</v>
      </c>
      <c r="E284" s="367">
        <f t="shared" si="28"/>
        <v>6.0329090847900724E-2</v>
      </c>
      <c r="F284" s="371">
        <f t="shared" si="29"/>
        <v>8.796428661145872E-2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709</v>
      </c>
      <c r="C285" s="361">
        <f>C28+C204+C234</f>
        <v>26331500</v>
      </c>
      <c r="D285" s="361">
        <f>LN_IA12+LN_IF15+LN_IG10</f>
        <v>28469058</v>
      </c>
      <c r="E285" s="361">
        <f t="shared" si="28"/>
        <v>2137558</v>
      </c>
      <c r="F285" s="415">
        <f t="shared" si="29"/>
        <v>8.1178740292045651E-2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710</v>
      </c>
      <c r="C286" s="366">
        <f>IF(C283=0,0,C285/C283)</f>
        <v>0.31082524110366255</v>
      </c>
      <c r="D286" s="366">
        <f>IF(LN_IIB7=0,0,LN_IIB9/LN_IIB7)</f>
        <v>0.2969237834631635</v>
      </c>
      <c r="E286" s="367">
        <f t="shared" si="28"/>
        <v>-1.3901457640499049E-2</v>
      </c>
      <c r="F286" s="371">
        <f t="shared" si="29"/>
        <v>-4.4724352472593459E-2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711</v>
      </c>
      <c r="C287" s="353">
        <f>C277+C283</f>
        <v>208235273</v>
      </c>
      <c r="D287" s="353">
        <f>D277+LN_IIB7</f>
        <v>224377045</v>
      </c>
      <c r="E287" s="353">
        <f t="shared" si="28"/>
        <v>16141772</v>
      </c>
      <c r="F287" s="415">
        <f t="shared" si="29"/>
        <v>7.7516992041977442E-2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712</v>
      </c>
      <c r="C288" s="353">
        <f>C278+C285</f>
        <v>77852433</v>
      </c>
      <c r="D288" s="353">
        <f>LN_IIB2+LN_IIB9</f>
        <v>80613691</v>
      </c>
      <c r="E288" s="353">
        <f t="shared" si="28"/>
        <v>2761258</v>
      </c>
      <c r="F288" s="415">
        <f t="shared" si="29"/>
        <v>3.546784465939555E-2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713</v>
      </c>
      <c r="C289" s="366">
        <f>IF(C287=0,0,C288/C287)</f>
        <v>0.373867654016522</v>
      </c>
      <c r="D289" s="366">
        <f>IF(LN_IIB11=0,0,LN_IIB12/LN_IIB11)</f>
        <v>0.35927779956278505</v>
      </c>
      <c r="E289" s="367">
        <f t="shared" si="28"/>
        <v>-1.458985445373695E-2</v>
      </c>
      <c r="F289" s="371">
        <f t="shared" si="29"/>
        <v>-3.9024115344014738E-2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31106</v>
      </c>
      <c r="D290" s="421">
        <f>LN_IA8+LN_IF11+LN_IG6</f>
        <v>30833</v>
      </c>
      <c r="E290" s="442">
        <f t="shared" si="28"/>
        <v>-273</v>
      </c>
      <c r="F290" s="371">
        <f t="shared" si="29"/>
        <v>-8.7764418440172322E-3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714</v>
      </c>
      <c r="C291" s="361">
        <f>C287-C288</f>
        <v>130382840</v>
      </c>
      <c r="D291" s="429">
        <f>LN_IIB11-LN_IIB12</f>
        <v>143763354</v>
      </c>
      <c r="E291" s="353">
        <f t="shared" si="28"/>
        <v>13380514</v>
      </c>
      <c r="F291" s="415">
        <f t="shared" si="29"/>
        <v>0.10262480860211359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611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602</v>
      </c>
      <c r="C294" s="379">
        <f>IF(C18=0,0,C22/C18)</f>
        <v>5.1947748513169074</v>
      </c>
      <c r="D294" s="379">
        <f>IF(LN_IA4=0,0,LN_IA8/LN_IA4)</f>
        <v>5.1363931586923579</v>
      </c>
      <c r="E294" s="379">
        <f t="shared" ref="E294:E300" si="30">D294-C294</f>
        <v>-5.8381692624549508E-2</v>
      </c>
      <c r="F294" s="415">
        <f t="shared" ref="F294:F300" si="31">IF(C294=0,0,E294/C294)</f>
        <v>-1.1238541475911971E-2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623</v>
      </c>
      <c r="C295" s="379">
        <f>IF(C45=0,0,C51/C45)</f>
        <v>3.4710914454277284</v>
      </c>
      <c r="D295" s="379">
        <f>IF(LN_IB4=0,0,(LN_IB10)/(LN_IB4))</f>
        <v>3.524770642201835</v>
      </c>
      <c r="E295" s="379">
        <f t="shared" si="30"/>
        <v>5.3679196774106597E-2</v>
      </c>
      <c r="F295" s="415">
        <f t="shared" si="31"/>
        <v>1.5464644944694602E-2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638</v>
      </c>
      <c r="C296" s="379">
        <f>IF(C86=0,0,C93/C86)</f>
        <v>3.5662251655629138</v>
      </c>
      <c r="D296" s="379">
        <f>IF(LN_IC4=0,0,LN_IC11/LN_IC4)</f>
        <v>4.1410256410256414</v>
      </c>
      <c r="E296" s="379">
        <f t="shared" si="30"/>
        <v>0.57480047546272761</v>
      </c>
      <c r="F296" s="415">
        <f t="shared" si="31"/>
        <v>0.16117896340737581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3.3463035019455254</v>
      </c>
      <c r="D297" s="379">
        <f>IF(LN_ID4=0,0,LN_ID11/LN_ID4)</f>
        <v>3.5617461229178633</v>
      </c>
      <c r="E297" s="379">
        <f t="shared" si="30"/>
        <v>0.21544262097233791</v>
      </c>
      <c r="F297" s="415">
        <f t="shared" si="31"/>
        <v>6.4382271616152134E-2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715</v>
      </c>
      <c r="C298" s="379">
        <f>IF(C156=0,0,C163/C156)</f>
        <v>4.695081967213115</v>
      </c>
      <c r="D298" s="379">
        <f>IF(LN_IE4=0,0,LN_IE11/LN_IE4)</f>
        <v>5.0535714285714288</v>
      </c>
      <c r="E298" s="379">
        <f t="shared" si="30"/>
        <v>0.35848946135831383</v>
      </c>
      <c r="F298" s="415">
        <f t="shared" si="31"/>
        <v>7.6354249800478849E-2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5.7</v>
      </c>
      <c r="D299" s="379">
        <f>IF(LN_IG3=0,0,LN_IG6/LN_IG3)</f>
        <v>2.9</v>
      </c>
      <c r="E299" s="379">
        <f t="shared" si="30"/>
        <v>-2.8000000000000003</v>
      </c>
      <c r="F299" s="415">
        <f t="shared" si="31"/>
        <v>-0.49122807017543862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716</v>
      </c>
      <c r="C300" s="379">
        <f>IF(C264=0,0,C274/C264)</f>
        <v>4.3066800602712201</v>
      </c>
      <c r="D300" s="379">
        <f>IF(LN_IIA4=0,0,LN_IIA14/LN_IIA4)</f>
        <v>4.3144224893053575</v>
      </c>
      <c r="E300" s="379">
        <f t="shared" si="30"/>
        <v>7.7424290341374657E-3</v>
      </c>
      <c r="F300" s="415">
        <f t="shared" si="31"/>
        <v>1.7977720484882904E-3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717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711</v>
      </c>
      <c r="C304" s="353">
        <f>C35+C66+C214+C221+C233</f>
        <v>347627051</v>
      </c>
      <c r="D304" s="353">
        <f>LN_IIA11</f>
        <v>374870862</v>
      </c>
      <c r="E304" s="353">
        <f t="shared" ref="E304:E316" si="32">D304-C304</f>
        <v>27243811</v>
      </c>
      <c r="F304" s="362">
        <f>IF(C304=0,0,E304/C304)</f>
        <v>7.8370802622031846E-2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714</v>
      </c>
      <c r="C305" s="353">
        <f>C291</f>
        <v>130382840</v>
      </c>
      <c r="D305" s="353">
        <f>LN_IIB14</f>
        <v>143763354</v>
      </c>
      <c r="E305" s="353">
        <f t="shared" si="32"/>
        <v>13380514</v>
      </c>
      <c r="F305" s="362">
        <f>IF(C305=0,0,E305/C305)</f>
        <v>0.10262480860211359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718</v>
      </c>
      <c r="C306" s="353">
        <f>C250</f>
        <v>13088202</v>
      </c>
      <c r="D306" s="353">
        <f>LN_IH6</f>
        <v>14103525</v>
      </c>
      <c r="E306" s="353">
        <f t="shared" si="32"/>
        <v>1015323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719</v>
      </c>
      <c r="C307" s="353">
        <f>C73-C74</f>
        <v>35779715</v>
      </c>
      <c r="D307" s="353">
        <f>LN_IB32-LN_IB33</f>
        <v>39079123</v>
      </c>
      <c r="E307" s="353">
        <f t="shared" si="32"/>
        <v>3299408</v>
      </c>
      <c r="F307" s="362">
        <f t="shared" ref="F307:F316" si="33">IF(C307=0,0,E307/C307)</f>
        <v>9.2214485218789471E-2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720</v>
      </c>
      <c r="C308" s="353">
        <v>2555247</v>
      </c>
      <c r="D308" s="353">
        <v>2852678</v>
      </c>
      <c r="E308" s="353">
        <f t="shared" si="32"/>
        <v>297431</v>
      </c>
      <c r="F308" s="362">
        <f t="shared" si="33"/>
        <v>0.11640009752481854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721</v>
      </c>
      <c r="C309" s="353">
        <f>C305+C307+C308+C306</f>
        <v>181806004</v>
      </c>
      <c r="D309" s="353">
        <f>LN_III2+LN_III3+LN_III4+LN_III5</f>
        <v>199798680</v>
      </c>
      <c r="E309" s="353">
        <f t="shared" si="32"/>
        <v>17992676</v>
      </c>
      <c r="F309" s="362">
        <f t="shared" si="33"/>
        <v>9.8966346567960425E-2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722</v>
      </c>
      <c r="C310" s="353">
        <f>C304-C309</f>
        <v>165821047</v>
      </c>
      <c r="D310" s="353">
        <f>LN_III1-LN_III6</f>
        <v>175072182</v>
      </c>
      <c r="E310" s="353">
        <f t="shared" si="32"/>
        <v>9251135</v>
      </c>
      <c r="F310" s="362">
        <f t="shared" si="33"/>
        <v>5.5789872078180765E-2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723</v>
      </c>
      <c r="C311" s="353">
        <f>C245</f>
        <v>1261662</v>
      </c>
      <c r="D311" s="353">
        <f>LN_IH3</f>
        <v>1215043</v>
      </c>
      <c r="E311" s="353">
        <f t="shared" si="32"/>
        <v>-46619</v>
      </c>
      <c r="F311" s="362">
        <f t="shared" si="33"/>
        <v>-3.6950466923787832E-2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724</v>
      </c>
      <c r="C312" s="353">
        <f>C310+C311</f>
        <v>167082709</v>
      </c>
      <c r="D312" s="353">
        <f>LN_III7+LN_III8</f>
        <v>176287225</v>
      </c>
      <c r="E312" s="353">
        <f t="shared" si="32"/>
        <v>9204516</v>
      </c>
      <c r="F312" s="362">
        <f t="shared" si="33"/>
        <v>5.5089578419511981E-2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725</v>
      </c>
      <c r="C313" s="448">
        <f>IF(C304=0,0,C312/C304)</f>
        <v>0.48063782297540475</v>
      </c>
      <c r="D313" s="448">
        <f>IF(LN_III1=0,0,LN_III9/LN_III1)</f>
        <v>0.47026120957888695</v>
      </c>
      <c r="E313" s="448">
        <f t="shared" si="32"/>
        <v>-1.0376613396517798E-2</v>
      </c>
      <c r="F313" s="362">
        <f t="shared" si="33"/>
        <v>-2.1589256817703236E-2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683</v>
      </c>
      <c r="C314" s="353">
        <f>C306*C313</f>
        <v>6290684.9159423383</v>
      </c>
      <c r="D314" s="353">
        <f>D313*LN_III5</f>
        <v>6632340.7258260716</v>
      </c>
      <c r="E314" s="353">
        <f t="shared" si="32"/>
        <v>341655.80988373328</v>
      </c>
      <c r="F314" s="362">
        <f t="shared" si="33"/>
        <v>5.4311384920564504E-2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686</v>
      </c>
      <c r="C315" s="353">
        <f>(C214*C313)-C215</f>
        <v>7690215.904024031</v>
      </c>
      <c r="D315" s="353">
        <f>D313*LN_IH8-LN_IH9</f>
        <v>9694552.8669494465</v>
      </c>
      <c r="E315" s="353">
        <f t="shared" si="32"/>
        <v>2004336.9629254155</v>
      </c>
      <c r="F315" s="362">
        <f t="shared" si="33"/>
        <v>0.26063468021445452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726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727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728</v>
      </c>
      <c r="C318" s="353">
        <f>C314+C315+C316</f>
        <v>13980900.819966368</v>
      </c>
      <c r="D318" s="353">
        <f>D314+D315+D316</f>
        <v>16326893.592775518</v>
      </c>
      <c r="E318" s="353">
        <f>D318-C318</f>
        <v>2345992.7728091497</v>
      </c>
      <c r="F318" s="362">
        <f>IF(C318=0,0,E318/C318)</f>
        <v>0.16779982942578325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729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7954499.7496120203</v>
      </c>
      <c r="D322" s="353">
        <f>LN_ID22</f>
        <v>9203989.4868773073</v>
      </c>
      <c r="E322" s="353">
        <f>LN_IV2-C322</f>
        <v>1249489.737265287</v>
      </c>
      <c r="F322" s="362">
        <f>IF(C322=0,0,E322/C322)</f>
        <v>0.15707961236987036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715</v>
      </c>
      <c r="C323" s="353">
        <f>C162+C176</f>
        <v>3157684.4649918508</v>
      </c>
      <c r="D323" s="353">
        <f>LN_IE10+LN_IE22</f>
        <v>2735572.9805092569</v>
      </c>
      <c r="E323" s="353">
        <f>LN_IV3-C323</f>
        <v>-422111.48448259383</v>
      </c>
      <c r="F323" s="362">
        <f>IF(C323=0,0,E323/C323)</f>
        <v>-0.13367753781683922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730</v>
      </c>
      <c r="C324" s="353">
        <f>C92+C106</f>
        <v>4964875.0407527601</v>
      </c>
      <c r="D324" s="353">
        <f>LN_IC10+LN_IC22</f>
        <v>4325852.2813261915</v>
      </c>
      <c r="E324" s="353">
        <f>LN_IV1-C324</f>
        <v>-639022.75942656863</v>
      </c>
      <c r="F324" s="362">
        <f>IF(C324=0,0,E324/C324)</f>
        <v>-0.12870872966214308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731</v>
      </c>
      <c r="C325" s="429">
        <f>C324+C322+C323</f>
        <v>16077059.25535663</v>
      </c>
      <c r="D325" s="429">
        <f>LN_IV1+LN_IV2+LN_IV3</f>
        <v>16265414.748712756</v>
      </c>
      <c r="E325" s="353">
        <f>LN_IV4-C325</f>
        <v>188355.49335612543</v>
      </c>
      <c r="F325" s="362">
        <f>IF(C325=0,0,E325/C325)</f>
        <v>1.1715792693453454E-2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732</v>
      </c>
      <c r="B327" s="446" t="s">
        <v>733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734</v>
      </c>
      <c r="C329" s="431">
        <v>4660665</v>
      </c>
      <c r="D329" s="431">
        <v>5000636</v>
      </c>
      <c r="E329" s="431">
        <f t="shared" ref="E329:E335" si="34">D329-C329</f>
        <v>339971</v>
      </c>
      <c r="F329" s="462">
        <f t="shared" ref="F329:F335" si="35">IF(C329=0,0,E329/C329)</f>
        <v>7.2944740718330972E-2</v>
      </c>
    </row>
    <row r="330" spans="1:22" s="333" customFormat="1" ht="11.25" customHeight="1" x14ac:dyDescent="0.2">
      <c r="A330" s="364">
        <v>2</v>
      </c>
      <c r="B330" s="360" t="s">
        <v>735</v>
      </c>
      <c r="C330" s="429">
        <v>5387626</v>
      </c>
      <c r="D330" s="429">
        <v>5734923</v>
      </c>
      <c r="E330" s="431">
        <f t="shared" si="34"/>
        <v>347297</v>
      </c>
      <c r="F330" s="463">
        <f t="shared" si="35"/>
        <v>6.4461972675905865E-2</v>
      </c>
    </row>
    <row r="331" spans="1:22" s="333" customFormat="1" ht="11.25" customHeight="1" x14ac:dyDescent="0.2">
      <c r="A331" s="339">
        <v>3</v>
      </c>
      <c r="B331" s="360" t="s">
        <v>736</v>
      </c>
      <c r="C331" s="429">
        <v>172470335</v>
      </c>
      <c r="D331" s="429">
        <v>182022152</v>
      </c>
      <c r="E331" s="431">
        <f t="shared" si="34"/>
        <v>9551817</v>
      </c>
      <c r="F331" s="462">
        <f t="shared" si="35"/>
        <v>5.5382376337356799E-2</v>
      </c>
    </row>
    <row r="332" spans="1:22" s="333" customFormat="1" ht="11.25" customHeight="1" x14ac:dyDescent="0.2">
      <c r="A332" s="364">
        <v>4</v>
      </c>
      <c r="B332" s="360" t="s">
        <v>737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738</v>
      </c>
      <c r="C333" s="429">
        <v>347627051</v>
      </c>
      <c r="D333" s="429">
        <v>374870862</v>
      </c>
      <c r="E333" s="431">
        <f t="shared" si="34"/>
        <v>27243811</v>
      </c>
      <c r="F333" s="462">
        <f t="shared" si="35"/>
        <v>7.8370802622031846E-2</v>
      </c>
    </row>
    <row r="334" spans="1:22" s="333" customFormat="1" ht="11.25" customHeight="1" x14ac:dyDescent="0.2">
      <c r="A334" s="339">
        <v>6</v>
      </c>
      <c r="B334" s="360" t="s">
        <v>739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740</v>
      </c>
      <c r="C335" s="429">
        <v>13088202</v>
      </c>
      <c r="D335" s="429">
        <v>14103525</v>
      </c>
      <c r="E335" s="429">
        <f t="shared" si="34"/>
        <v>1015323</v>
      </c>
      <c r="F335" s="462">
        <f t="shared" si="35"/>
        <v>7.757543778740579E-2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FILING&amp;RMIDSTATE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3" sqref="A3:E3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593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741</v>
      </c>
      <c r="B5" s="710"/>
      <c r="C5" s="710"/>
      <c r="D5" s="710"/>
      <c r="E5" s="710"/>
    </row>
    <row r="6" spans="1:5" s="338" customFormat="1" ht="15.75" customHeight="1" x14ac:dyDescent="0.25">
      <c r="A6" s="710" t="s">
        <v>742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743</v>
      </c>
      <c r="D9" s="494" t="s">
        <v>744</v>
      </c>
      <c r="E9" s="495" t="s">
        <v>745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746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747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623</v>
      </c>
      <c r="C14" s="513">
        <v>48350269</v>
      </c>
      <c r="D14" s="513">
        <v>52683600</v>
      </c>
      <c r="E14" s="514">
        <f t="shared" ref="E14:E22" si="0">D14-C14</f>
        <v>4333331</v>
      </c>
    </row>
    <row r="15" spans="1:5" s="506" customFormat="1" x14ac:dyDescent="0.2">
      <c r="A15" s="512">
        <v>2</v>
      </c>
      <c r="B15" s="511" t="s">
        <v>602</v>
      </c>
      <c r="C15" s="513">
        <v>102801789</v>
      </c>
      <c r="D15" s="515">
        <v>105242796</v>
      </c>
      <c r="E15" s="514">
        <f t="shared" si="0"/>
        <v>2441007</v>
      </c>
    </row>
    <row r="16" spans="1:5" s="506" customFormat="1" x14ac:dyDescent="0.2">
      <c r="A16" s="512">
        <v>3</v>
      </c>
      <c r="B16" s="511" t="s">
        <v>748</v>
      </c>
      <c r="C16" s="513">
        <v>20451362</v>
      </c>
      <c r="D16" s="515">
        <v>23003106</v>
      </c>
      <c r="E16" s="514">
        <f t="shared" si="0"/>
        <v>2551744</v>
      </c>
    </row>
    <row r="17" spans="1:5" s="506" customFormat="1" x14ac:dyDescent="0.2">
      <c r="A17" s="512">
        <v>4</v>
      </c>
      <c r="B17" s="511" t="s">
        <v>114</v>
      </c>
      <c r="C17" s="513">
        <v>15799960</v>
      </c>
      <c r="D17" s="515">
        <v>20416489</v>
      </c>
      <c r="E17" s="514">
        <f t="shared" si="0"/>
        <v>4616529</v>
      </c>
    </row>
    <row r="18" spans="1:5" s="506" customFormat="1" x14ac:dyDescent="0.2">
      <c r="A18" s="512">
        <v>5</v>
      </c>
      <c r="B18" s="511" t="s">
        <v>715</v>
      </c>
      <c r="C18" s="513">
        <v>4651402</v>
      </c>
      <c r="D18" s="515">
        <v>2586617</v>
      </c>
      <c r="E18" s="514">
        <f t="shared" si="0"/>
        <v>-2064785</v>
      </c>
    </row>
    <row r="19" spans="1:5" s="506" customFormat="1" x14ac:dyDescent="0.2">
      <c r="A19" s="512">
        <v>6</v>
      </c>
      <c r="B19" s="511" t="s">
        <v>418</v>
      </c>
      <c r="C19" s="513">
        <v>267316</v>
      </c>
      <c r="D19" s="515">
        <v>251124</v>
      </c>
      <c r="E19" s="514">
        <f t="shared" si="0"/>
        <v>-16192</v>
      </c>
    </row>
    <row r="20" spans="1:5" s="506" customFormat="1" x14ac:dyDescent="0.2">
      <c r="A20" s="512">
        <v>7</v>
      </c>
      <c r="B20" s="511" t="s">
        <v>730</v>
      </c>
      <c r="C20" s="513">
        <v>4002999</v>
      </c>
      <c r="D20" s="515">
        <v>3934556</v>
      </c>
      <c r="E20" s="514">
        <f t="shared" si="0"/>
        <v>-68443</v>
      </c>
    </row>
    <row r="21" spans="1:5" s="506" customFormat="1" x14ac:dyDescent="0.2">
      <c r="A21" s="512"/>
      <c r="B21" s="516" t="s">
        <v>749</v>
      </c>
      <c r="C21" s="517">
        <f>SUM(C15+C16+C19)</f>
        <v>123520467</v>
      </c>
      <c r="D21" s="517">
        <f>SUM(D15+D16+D19)</f>
        <v>128497026</v>
      </c>
      <c r="E21" s="517">
        <f t="shared" si="0"/>
        <v>4976559</v>
      </c>
    </row>
    <row r="22" spans="1:5" s="506" customFormat="1" x14ac:dyDescent="0.2">
      <c r="A22" s="512"/>
      <c r="B22" s="516" t="s">
        <v>689</v>
      </c>
      <c r="C22" s="517">
        <f>SUM(C14+C21)</f>
        <v>171870736</v>
      </c>
      <c r="D22" s="517">
        <f>SUM(D14+D21)</f>
        <v>181180626</v>
      </c>
      <c r="E22" s="517">
        <f t="shared" si="0"/>
        <v>9309890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750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623</v>
      </c>
      <c r="C25" s="513">
        <v>91041509</v>
      </c>
      <c r="D25" s="513">
        <v>97810217</v>
      </c>
      <c r="E25" s="514">
        <f t="shared" ref="E25:E33" si="1">D25-C25</f>
        <v>6768708</v>
      </c>
    </row>
    <row r="26" spans="1:5" s="506" customFormat="1" x14ac:dyDescent="0.2">
      <c r="A26" s="512">
        <v>2</v>
      </c>
      <c r="B26" s="511" t="s">
        <v>602</v>
      </c>
      <c r="C26" s="513">
        <v>57089777</v>
      </c>
      <c r="D26" s="515">
        <v>61316189</v>
      </c>
      <c r="E26" s="514">
        <f t="shared" si="1"/>
        <v>4226412</v>
      </c>
    </row>
    <row r="27" spans="1:5" s="506" customFormat="1" x14ac:dyDescent="0.2">
      <c r="A27" s="512">
        <v>3</v>
      </c>
      <c r="B27" s="511" t="s">
        <v>748</v>
      </c>
      <c r="C27" s="513">
        <v>27345386</v>
      </c>
      <c r="D27" s="515">
        <v>34154166</v>
      </c>
      <c r="E27" s="514">
        <f t="shared" si="1"/>
        <v>6808780</v>
      </c>
    </row>
    <row r="28" spans="1:5" s="506" customFormat="1" x14ac:dyDescent="0.2">
      <c r="A28" s="512">
        <v>4</v>
      </c>
      <c r="B28" s="511" t="s">
        <v>114</v>
      </c>
      <c r="C28" s="513">
        <v>21605580</v>
      </c>
      <c r="D28" s="515">
        <v>29370249</v>
      </c>
      <c r="E28" s="514">
        <f t="shared" si="1"/>
        <v>7764669</v>
      </c>
    </row>
    <row r="29" spans="1:5" s="506" customFormat="1" x14ac:dyDescent="0.2">
      <c r="A29" s="512">
        <v>5</v>
      </c>
      <c r="B29" s="511" t="s">
        <v>715</v>
      </c>
      <c r="C29" s="513">
        <v>5739806</v>
      </c>
      <c r="D29" s="515">
        <v>4783917</v>
      </c>
      <c r="E29" s="514">
        <f t="shared" si="1"/>
        <v>-955889</v>
      </c>
    </row>
    <row r="30" spans="1:5" s="506" customFormat="1" x14ac:dyDescent="0.2">
      <c r="A30" s="512">
        <v>6</v>
      </c>
      <c r="B30" s="511" t="s">
        <v>418</v>
      </c>
      <c r="C30" s="513">
        <v>279643</v>
      </c>
      <c r="D30" s="515">
        <v>409664</v>
      </c>
      <c r="E30" s="514">
        <f t="shared" si="1"/>
        <v>130021</v>
      </c>
    </row>
    <row r="31" spans="1:5" s="506" customFormat="1" x14ac:dyDescent="0.2">
      <c r="A31" s="512">
        <v>7</v>
      </c>
      <c r="B31" s="511" t="s">
        <v>730</v>
      </c>
      <c r="C31" s="514">
        <v>6982432</v>
      </c>
      <c r="D31" s="518">
        <v>7741172</v>
      </c>
      <c r="E31" s="514">
        <f t="shared" si="1"/>
        <v>758740</v>
      </c>
    </row>
    <row r="32" spans="1:5" s="506" customFormat="1" x14ac:dyDescent="0.2">
      <c r="A32" s="512"/>
      <c r="B32" s="516" t="s">
        <v>751</v>
      </c>
      <c r="C32" s="517">
        <f>SUM(C26+C27+C30)</f>
        <v>84714806</v>
      </c>
      <c r="D32" s="517">
        <f>SUM(D26+D27+D30)</f>
        <v>95880019</v>
      </c>
      <c r="E32" s="517">
        <f t="shared" si="1"/>
        <v>11165213</v>
      </c>
    </row>
    <row r="33" spans="1:5" s="506" customFormat="1" x14ac:dyDescent="0.2">
      <c r="A33" s="512"/>
      <c r="B33" s="516" t="s">
        <v>695</v>
      </c>
      <c r="C33" s="517">
        <f>SUM(C25+C32)</f>
        <v>175756315</v>
      </c>
      <c r="D33" s="517">
        <f>SUM(D25+D32)</f>
        <v>193690236</v>
      </c>
      <c r="E33" s="517">
        <f t="shared" si="1"/>
        <v>17933921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620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752</v>
      </c>
      <c r="C36" s="514">
        <f t="shared" ref="C36:D42" si="2">C14+C25</f>
        <v>139391778</v>
      </c>
      <c r="D36" s="514">
        <f t="shared" si="2"/>
        <v>150493817</v>
      </c>
      <c r="E36" s="514">
        <f t="shared" ref="E36:E44" si="3">D36-C36</f>
        <v>11102039</v>
      </c>
    </row>
    <row r="37" spans="1:5" s="506" customFormat="1" x14ac:dyDescent="0.2">
      <c r="A37" s="512">
        <v>2</v>
      </c>
      <c r="B37" s="511" t="s">
        <v>753</v>
      </c>
      <c r="C37" s="514">
        <f t="shared" si="2"/>
        <v>159891566</v>
      </c>
      <c r="D37" s="514">
        <f t="shared" si="2"/>
        <v>166558985</v>
      </c>
      <c r="E37" s="514">
        <f t="shared" si="3"/>
        <v>6667419</v>
      </c>
    </row>
    <row r="38" spans="1:5" s="506" customFormat="1" x14ac:dyDescent="0.2">
      <c r="A38" s="512">
        <v>3</v>
      </c>
      <c r="B38" s="511" t="s">
        <v>754</v>
      </c>
      <c r="C38" s="514">
        <f t="shared" si="2"/>
        <v>47796748</v>
      </c>
      <c r="D38" s="514">
        <f t="shared" si="2"/>
        <v>57157272</v>
      </c>
      <c r="E38" s="514">
        <f t="shared" si="3"/>
        <v>9360524</v>
      </c>
    </row>
    <row r="39" spans="1:5" s="506" customFormat="1" x14ac:dyDescent="0.2">
      <c r="A39" s="512">
        <v>4</v>
      </c>
      <c r="B39" s="511" t="s">
        <v>755</v>
      </c>
      <c r="C39" s="514">
        <f t="shared" si="2"/>
        <v>37405540</v>
      </c>
      <c r="D39" s="514">
        <f t="shared" si="2"/>
        <v>49786738</v>
      </c>
      <c r="E39" s="514">
        <f t="shared" si="3"/>
        <v>12381198</v>
      </c>
    </row>
    <row r="40" spans="1:5" s="506" customFormat="1" x14ac:dyDescent="0.2">
      <c r="A40" s="512">
        <v>5</v>
      </c>
      <c r="B40" s="511" t="s">
        <v>756</v>
      </c>
      <c r="C40" s="514">
        <f t="shared" si="2"/>
        <v>10391208</v>
      </c>
      <c r="D40" s="514">
        <f t="shared" si="2"/>
        <v>7370534</v>
      </c>
      <c r="E40" s="514">
        <f t="shared" si="3"/>
        <v>-3020674</v>
      </c>
    </row>
    <row r="41" spans="1:5" s="506" customFormat="1" x14ac:dyDescent="0.2">
      <c r="A41" s="512">
        <v>6</v>
      </c>
      <c r="B41" s="511" t="s">
        <v>757</v>
      </c>
      <c r="C41" s="514">
        <f t="shared" si="2"/>
        <v>546959</v>
      </c>
      <c r="D41" s="514">
        <f t="shared" si="2"/>
        <v>660788</v>
      </c>
      <c r="E41" s="514">
        <f t="shared" si="3"/>
        <v>113829</v>
      </c>
    </row>
    <row r="42" spans="1:5" s="506" customFormat="1" x14ac:dyDescent="0.2">
      <c r="A42" s="512">
        <v>7</v>
      </c>
      <c r="B42" s="511" t="s">
        <v>758</v>
      </c>
      <c r="C42" s="514">
        <f t="shared" si="2"/>
        <v>10985431</v>
      </c>
      <c r="D42" s="514">
        <f t="shared" si="2"/>
        <v>11675728</v>
      </c>
      <c r="E42" s="514">
        <f t="shared" si="3"/>
        <v>690297</v>
      </c>
    </row>
    <row r="43" spans="1:5" s="506" customFormat="1" x14ac:dyDescent="0.2">
      <c r="A43" s="512"/>
      <c r="B43" s="516" t="s">
        <v>759</v>
      </c>
      <c r="C43" s="517">
        <f>SUM(C37+C38+C41)</f>
        <v>208235273</v>
      </c>
      <c r="D43" s="517">
        <f>SUM(D37+D38+D41)</f>
        <v>224377045</v>
      </c>
      <c r="E43" s="517">
        <f t="shared" si="3"/>
        <v>16141772</v>
      </c>
    </row>
    <row r="44" spans="1:5" s="506" customFormat="1" x14ac:dyDescent="0.2">
      <c r="A44" s="512"/>
      <c r="B44" s="516" t="s">
        <v>697</v>
      </c>
      <c r="C44" s="517">
        <f>SUM(C36+C43)</f>
        <v>347627051</v>
      </c>
      <c r="D44" s="517">
        <f>SUM(D36+D43)</f>
        <v>374870862</v>
      </c>
      <c r="E44" s="517">
        <f t="shared" si="3"/>
        <v>27243811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760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623</v>
      </c>
      <c r="C47" s="513">
        <v>30533277</v>
      </c>
      <c r="D47" s="513">
        <v>32669798</v>
      </c>
      <c r="E47" s="514">
        <f t="shared" ref="E47:E55" si="4">D47-C47</f>
        <v>2136521</v>
      </c>
    </row>
    <row r="48" spans="1:5" s="506" customFormat="1" x14ac:dyDescent="0.2">
      <c r="A48" s="512">
        <v>2</v>
      </c>
      <c r="B48" s="511" t="s">
        <v>602</v>
      </c>
      <c r="C48" s="513">
        <v>43847082</v>
      </c>
      <c r="D48" s="515">
        <v>43924410</v>
      </c>
      <c r="E48" s="514">
        <f t="shared" si="4"/>
        <v>77328</v>
      </c>
    </row>
    <row r="49" spans="1:5" s="506" customFormat="1" x14ac:dyDescent="0.2">
      <c r="A49" s="512">
        <v>3</v>
      </c>
      <c r="B49" s="511" t="s">
        <v>748</v>
      </c>
      <c r="C49" s="513">
        <v>7587781</v>
      </c>
      <c r="D49" s="515">
        <v>8117202</v>
      </c>
      <c r="E49" s="514">
        <f t="shared" si="4"/>
        <v>529421</v>
      </c>
    </row>
    <row r="50" spans="1:5" s="506" customFormat="1" x14ac:dyDescent="0.2">
      <c r="A50" s="512">
        <v>4</v>
      </c>
      <c r="B50" s="511" t="s">
        <v>114</v>
      </c>
      <c r="C50" s="513">
        <v>6699224</v>
      </c>
      <c r="D50" s="515">
        <v>7724989</v>
      </c>
      <c r="E50" s="514">
        <f t="shared" si="4"/>
        <v>1025765</v>
      </c>
    </row>
    <row r="51" spans="1:5" s="506" customFormat="1" x14ac:dyDescent="0.2">
      <c r="A51" s="512">
        <v>5</v>
      </c>
      <c r="B51" s="511" t="s">
        <v>715</v>
      </c>
      <c r="C51" s="513">
        <v>888557</v>
      </c>
      <c r="D51" s="515">
        <v>392213</v>
      </c>
      <c r="E51" s="514">
        <f t="shared" si="4"/>
        <v>-496344</v>
      </c>
    </row>
    <row r="52" spans="1:5" s="506" customFormat="1" x14ac:dyDescent="0.2">
      <c r="A52" s="512">
        <v>6</v>
      </c>
      <c r="B52" s="511" t="s">
        <v>418</v>
      </c>
      <c r="C52" s="513">
        <v>86070</v>
      </c>
      <c r="D52" s="515">
        <v>103021</v>
      </c>
      <c r="E52" s="514">
        <f t="shared" si="4"/>
        <v>16951</v>
      </c>
    </row>
    <row r="53" spans="1:5" s="506" customFormat="1" x14ac:dyDescent="0.2">
      <c r="A53" s="512">
        <v>7</v>
      </c>
      <c r="B53" s="511" t="s">
        <v>730</v>
      </c>
      <c r="C53" s="513">
        <v>125703</v>
      </c>
      <c r="D53" s="515">
        <v>102665</v>
      </c>
      <c r="E53" s="514">
        <f t="shared" si="4"/>
        <v>-23038</v>
      </c>
    </row>
    <row r="54" spans="1:5" s="506" customFormat="1" x14ac:dyDescent="0.2">
      <c r="A54" s="512"/>
      <c r="B54" s="516" t="s">
        <v>761</v>
      </c>
      <c r="C54" s="517">
        <f>SUM(C48+C49+C52)</f>
        <v>51520933</v>
      </c>
      <c r="D54" s="517">
        <f>SUM(D48+D49+D52)</f>
        <v>52144633</v>
      </c>
      <c r="E54" s="517">
        <f t="shared" si="4"/>
        <v>623700</v>
      </c>
    </row>
    <row r="55" spans="1:5" s="506" customFormat="1" x14ac:dyDescent="0.2">
      <c r="A55" s="512"/>
      <c r="B55" s="516" t="s">
        <v>690</v>
      </c>
      <c r="C55" s="517">
        <f>SUM(C47+C54)</f>
        <v>82054210</v>
      </c>
      <c r="D55" s="517">
        <f>SUM(D47+D54)</f>
        <v>84814431</v>
      </c>
      <c r="E55" s="517">
        <f t="shared" si="4"/>
        <v>2760221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762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623</v>
      </c>
      <c r="C58" s="513">
        <v>57435337</v>
      </c>
      <c r="D58" s="513">
        <v>61788697</v>
      </c>
      <c r="E58" s="514">
        <f t="shared" ref="E58:E66" si="5">D58-C58</f>
        <v>4353360</v>
      </c>
    </row>
    <row r="59" spans="1:5" s="506" customFormat="1" x14ac:dyDescent="0.2">
      <c r="A59" s="512">
        <v>2</v>
      </c>
      <c r="B59" s="511" t="s">
        <v>602</v>
      </c>
      <c r="C59" s="513">
        <v>18546533</v>
      </c>
      <c r="D59" s="515">
        <v>19233905</v>
      </c>
      <c r="E59" s="514">
        <f t="shared" si="5"/>
        <v>687372</v>
      </c>
    </row>
    <row r="60" spans="1:5" s="506" customFormat="1" x14ac:dyDescent="0.2">
      <c r="A60" s="512">
        <v>3</v>
      </c>
      <c r="B60" s="511" t="s">
        <v>748</v>
      </c>
      <c r="C60" s="513">
        <f>C61+C62</f>
        <v>7694928</v>
      </c>
      <c r="D60" s="515">
        <f>D61+D62</f>
        <v>9067093</v>
      </c>
      <c r="E60" s="514">
        <f t="shared" si="5"/>
        <v>1372165</v>
      </c>
    </row>
    <row r="61" spans="1:5" s="506" customFormat="1" x14ac:dyDescent="0.2">
      <c r="A61" s="512">
        <v>4</v>
      </c>
      <c r="B61" s="511" t="s">
        <v>114</v>
      </c>
      <c r="C61" s="513">
        <v>7003135</v>
      </c>
      <c r="D61" s="515">
        <v>8696383</v>
      </c>
      <c r="E61" s="514">
        <f t="shared" si="5"/>
        <v>1693248</v>
      </c>
    </row>
    <row r="62" spans="1:5" s="506" customFormat="1" x14ac:dyDescent="0.2">
      <c r="A62" s="512">
        <v>5</v>
      </c>
      <c r="B62" s="511" t="s">
        <v>715</v>
      </c>
      <c r="C62" s="513">
        <v>691793</v>
      </c>
      <c r="D62" s="515">
        <v>370710</v>
      </c>
      <c r="E62" s="514">
        <f t="shared" si="5"/>
        <v>-321083</v>
      </c>
    </row>
    <row r="63" spans="1:5" s="506" customFormat="1" x14ac:dyDescent="0.2">
      <c r="A63" s="512">
        <v>6</v>
      </c>
      <c r="B63" s="511" t="s">
        <v>418</v>
      </c>
      <c r="C63" s="513">
        <v>90039</v>
      </c>
      <c r="D63" s="515">
        <v>168060</v>
      </c>
      <c r="E63" s="514">
        <f t="shared" si="5"/>
        <v>78021</v>
      </c>
    </row>
    <row r="64" spans="1:5" s="506" customFormat="1" x14ac:dyDescent="0.2">
      <c r="A64" s="512">
        <v>7</v>
      </c>
      <c r="B64" s="511" t="s">
        <v>730</v>
      </c>
      <c r="C64" s="513">
        <v>369633</v>
      </c>
      <c r="D64" s="515">
        <v>540733</v>
      </c>
      <c r="E64" s="514">
        <f t="shared" si="5"/>
        <v>171100</v>
      </c>
    </row>
    <row r="65" spans="1:5" s="506" customFormat="1" x14ac:dyDescent="0.2">
      <c r="A65" s="512"/>
      <c r="B65" s="516" t="s">
        <v>763</v>
      </c>
      <c r="C65" s="517">
        <f>SUM(C59+C60+C63)</f>
        <v>26331500</v>
      </c>
      <c r="D65" s="517">
        <f>SUM(D59+D60+D63)</f>
        <v>28469058</v>
      </c>
      <c r="E65" s="517">
        <f t="shared" si="5"/>
        <v>2137558</v>
      </c>
    </row>
    <row r="66" spans="1:5" s="506" customFormat="1" x14ac:dyDescent="0.2">
      <c r="A66" s="512"/>
      <c r="B66" s="516" t="s">
        <v>696</v>
      </c>
      <c r="C66" s="517">
        <f>SUM(C58+C65)</f>
        <v>83766837</v>
      </c>
      <c r="D66" s="517">
        <f>SUM(D58+D65)</f>
        <v>90257755</v>
      </c>
      <c r="E66" s="517">
        <f t="shared" si="5"/>
        <v>6490918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621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752</v>
      </c>
      <c r="C69" s="514">
        <f t="shared" ref="C69:D75" si="6">C47+C58</f>
        <v>87968614</v>
      </c>
      <c r="D69" s="514">
        <f t="shared" si="6"/>
        <v>94458495</v>
      </c>
      <c r="E69" s="514">
        <f t="shared" ref="E69:E77" si="7">D69-C69</f>
        <v>6489881</v>
      </c>
    </row>
    <row r="70" spans="1:5" s="506" customFormat="1" x14ac:dyDescent="0.2">
      <c r="A70" s="512">
        <v>2</v>
      </c>
      <c r="B70" s="511" t="s">
        <v>753</v>
      </c>
      <c r="C70" s="514">
        <f t="shared" si="6"/>
        <v>62393615</v>
      </c>
      <c r="D70" s="514">
        <f t="shared" si="6"/>
        <v>63158315</v>
      </c>
      <c r="E70" s="514">
        <f t="shared" si="7"/>
        <v>764700</v>
      </c>
    </row>
    <row r="71" spans="1:5" s="506" customFormat="1" x14ac:dyDescent="0.2">
      <c r="A71" s="512">
        <v>3</v>
      </c>
      <c r="B71" s="511" t="s">
        <v>754</v>
      </c>
      <c r="C71" s="514">
        <f t="shared" si="6"/>
        <v>15282709</v>
      </c>
      <c r="D71" s="514">
        <f t="shared" si="6"/>
        <v>17184295</v>
      </c>
      <c r="E71" s="514">
        <f t="shared" si="7"/>
        <v>1901586</v>
      </c>
    </row>
    <row r="72" spans="1:5" s="506" customFormat="1" x14ac:dyDescent="0.2">
      <c r="A72" s="512">
        <v>4</v>
      </c>
      <c r="B72" s="511" t="s">
        <v>755</v>
      </c>
      <c r="C72" s="514">
        <f t="shared" si="6"/>
        <v>13702359</v>
      </c>
      <c r="D72" s="514">
        <f t="shared" si="6"/>
        <v>16421372</v>
      </c>
      <c r="E72" s="514">
        <f t="shared" si="7"/>
        <v>2719013</v>
      </c>
    </row>
    <row r="73" spans="1:5" s="506" customFormat="1" x14ac:dyDescent="0.2">
      <c r="A73" s="512">
        <v>5</v>
      </c>
      <c r="B73" s="511" t="s">
        <v>756</v>
      </c>
      <c r="C73" s="514">
        <f t="shared" si="6"/>
        <v>1580350</v>
      </c>
      <c r="D73" s="514">
        <f t="shared" si="6"/>
        <v>762923</v>
      </c>
      <c r="E73" s="514">
        <f t="shared" si="7"/>
        <v>-817427</v>
      </c>
    </row>
    <row r="74" spans="1:5" s="506" customFormat="1" x14ac:dyDescent="0.2">
      <c r="A74" s="512">
        <v>6</v>
      </c>
      <c r="B74" s="511" t="s">
        <v>757</v>
      </c>
      <c r="C74" s="514">
        <f t="shared" si="6"/>
        <v>176109</v>
      </c>
      <c r="D74" s="514">
        <f t="shared" si="6"/>
        <v>271081</v>
      </c>
      <c r="E74" s="514">
        <f t="shared" si="7"/>
        <v>94972</v>
      </c>
    </row>
    <row r="75" spans="1:5" s="506" customFormat="1" x14ac:dyDescent="0.2">
      <c r="A75" s="512">
        <v>7</v>
      </c>
      <c r="B75" s="511" t="s">
        <v>758</v>
      </c>
      <c r="C75" s="514">
        <f t="shared" si="6"/>
        <v>495336</v>
      </c>
      <c r="D75" s="514">
        <f t="shared" si="6"/>
        <v>643398</v>
      </c>
      <c r="E75" s="514">
        <f t="shared" si="7"/>
        <v>148062</v>
      </c>
    </row>
    <row r="76" spans="1:5" s="506" customFormat="1" x14ac:dyDescent="0.2">
      <c r="A76" s="512"/>
      <c r="B76" s="516" t="s">
        <v>764</v>
      </c>
      <c r="C76" s="517">
        <f>SUM(C70+C71+C74)</f>
        <v>77852433</v>
      </c>
      <c r="D76" s="517">
        <f>SUM(D70+D71+D74)</f>
        <v>80613691</v>
      </c>
      <c r="E76" s="517">
        <f t="shared" si="7"/>
        <v>2761258</v>
      </c>
    </row>
    <row r="77" spans="1:5" s="506" customFormat="1" x14ac:dyDescent="0.2">
      <c r="A77" s="512"/>
      <c r="B77" s="516" t="s">
        <v>698</v>
      </c>
      <c r="C77" s="517">
        <f>SUM(C69+C76)</f>
        <v>165821047</v>
      </c>
      <c r="D77" s="517">
        <f>SUM(D69+D76)</f>
        <v>175072186</v>
      </c>
      <c r="E77" s="517">
        <f t="shared" si="7"/>
        <v>9251139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765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766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623</v>
      </c>
      <c r="C83" s="523">
        <f t="shared" ref="C83:D89" si="8">IF(C$44=0,0,C14/C$44)</f>
        <v>0.13908661268135891</v>
      </c>
      <c r="D83" s="523">
        <f t="shared" si="8"/>
        <v>0.14053799678887818</v>
      </c>
      <c r="E83" s="523">
        <f t="shared" ref="E83:E91" si="9">D83-C83</f>
        <v>1.4513841075192713E-3</v>
      </c>
    </row>
    <row r="84" spans="1:5" s="506" customFormat="1" x14ac:dyDescent="0.2">
      <c r="A84" s="512">
        <v>2</v>
      </c>
      <c r="B84" s="511" t="s">
        <v>602</v>
      </c>
      <c r="C84" s="523">
        <f t="shared" si="8"/>
        <v>0.29572436524797374</v>
      </c>
      <c r="D84" s="523">
        <f t="shared" si="8"/>
        <v>0.28074413529638376</v>
      </c>
      <c r="E84" s="523">
        <f t="shared" si="9"/>
        <v>-1.4980229951589985E-2</v>
      </c>
    </row>
    <row r="85" spans="1:5" s="506" customFormat="1" x14ac:dyDescent="0.2">
      <c r="A85" s="512">
        <v>3</v>
      </c>
      <c r="B85" s="511" t="s">
        <v>748</v>
      </c>
      <c r="C85" s="523">
        <f t="shared" si="8"/>
        <v>5.8831330706769422E-2</v>
      </c>
      <c r="D85" s="523">
        <f t="shared" si="8"/>
        <v>6.1362747366585139E-2</v>
      </c>
      <c r="E85" s="523">
        <f t="shared" si="9"/>
        <v>2.5314166598157176E-3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4.5450893290810097E-2</v>
      </c>
      <c r="D86" s="523">
        <f t="shared" si="8"/>
        <v>5.4462725886654802E-2</v>
      </c>
      <c r="E86" s="523">
        <f t="shared" si="9"/>
        <v>9.0118325958447043E-3</v>
      </c>
    </row>
    <row r="87" spans="1:5" s="506" customFormat="1" x14ac:dyDescent="0.2">
      <c r="A87" s="512">
        <v>5</v>
      </c>
      <c r="B87" s="511" t="s">
        <v>715</v>
      </c>
      <c r="C87" s="523">
        <f t="shared" si="8"/>
        <v>1.3380437415959323E-2</v>
      </c>
      <c r="D87" s="523">
        <f t="shared" si="8"/>
        <v>6.9000214799303343E-3</v>
      </c>
      <c r="E87" s="523">
        <f t="shared" si="9"/>
        <v>-6.4804159360289885E-3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7.6897352847261587E-4</v>
      </c>
      <c r="D88" s="523">
        <f t="shared" si="8"/>
        <v>6.6989469029470744E-4</v>
      </c>
      <c r="E88" s="523">
        <f t="shared" si="9"/>
        <v>-9.907883817790843E-5</v>
      </c>
    </row>
    <row r="89" spans="1:5" s="506" customFormat="1" x14ac:dyDescent="0.2">
      <c r="A89" s="512">
        <v>7</v>
      </c>
      <c r="B89" s="511" t="s">
        <v>730</v>
      </c>
      <c r="C89" s="523">
        <f t="shared" si="8"/>
        <v>1.1515211455739098E-2</v>
      </c>
      <c r="D89" s="523">
        <f t="shared" si="8"/>
        <v>1.0495763738500433E-2</v>
      </c>
      <c r="E89" s="523">
        <f t="shared" si="9"/>
        <v>-1.0194477172386657E-3</v>
      </c>
    </row>
    <row r="90" spans="1:5" s="506" customFormat="1" x14ac:dyDescent="0.2">
      <c r="A90" s="512"/>
      <c r="B90" s="516" t="s">
        <v>767</v>
      </c>
      <c r="C90" s="524">
        <f>SUM(C84+C85+C88)</f>
        <v>0.35532466948321578</v>
      </c>
      <c r="D90" s="524">
        <f>SUM(D84+D85+D88)</f>
        <v>0.34277677735326362</v>
      </c>
      <c r="E90" s="525">
        <f t="shared" si="9"/>
        <v>-1.2547892129952165E-2</v>
      </c>
    </row>
    <row r="91" spans="1:5" s="506" customFormat="1" x14ac:dyDescent="0.2">
      <c r="A91" s="512"/>
      <c r="B91" s="516" t="s">
        <v>768</v>
      </c>
      <c r="C91" s="524">
        <f>SUM(C83+C90)</f>
        <v>0.49441128216457469</v>
      </c>
      <c r="D91" s="524">
        <f>SUM(D83+D90)</f>
        <v>0.4833147741421418</v>
      </c>
      <c r="E91" s="525">
        <f t="shared" si="9"/>
        <v>-1.1096508022432894E-2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769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623</v>
      </c>
      <c r="C95" s="523">
        <f t="shared" ref="C95:D101" si="10">IF(C$44=0,0,C25/C$44)</f>
        <v>0.26189420166844263</v>
      </c>
      <c r="D95" s="523">
        <f t="shared" si="10"/>
        <v>0.26091709683213521</v>
      </c>
      <c r="E95" s="523">
        <f t="shared" ref="E95:E103" si="11">D95-C95</f>
        <v>-9.7710483630741862E-4</v>
      </c>
    </row>
    <row r="96" spans="1:5" s="506" customFormat="1" x14ac:dyDescent="0.2">
      <c r="A96" s="512">
        <v>2</v>
      </c>
      <c r="B96" s="511" t="s">
        <v>602</v>
      </c>
      <c r="C96" s="523">
        <f t="shared" si="10"/>
        <v>0.16422708427256427</v>
      </c>
      <c r="D96" s="523">
        <f t="shared" si="10"/>
        <v>0.16356616428619625</v>
      </c>
      <c r="E96" s="523">
        <f t="shared" si="11"/>
        <v>-6.6091998636802485E-4</v>
      </c>
    </row>
    <row r="97" spans="1:5" s="506" customFormat="1" x14ac:dyDescent="0.2">
      <c r="A97" s="512">
        <v>3</v>
      </c>
      <c r="B97" s="511" t="s">
        <v>748</v>
      </c>
      <c r="C97" s="523">
        <f t="shared" si="10"/>
        <v>7.8662997949489263E-2</v>
      </c>
      <c r="D97" s="523">
        <f t="shared" si="10"/>
        <v>9.110915107613779E-2</v>
      </c>
      <c r="E97" s="523">
        <f t="shared" si="11"/>
        <v>1.2446153126648526E-2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6.2151607413313756E-2</v>
      </c>
      <c r="D98" s="523">
        <f t="shared" si="10"/>
        <v>7.8347644421614182E-2</v>
      </c>
      <c r="E98" s="523">
        <f t="shared" si="11"/>
        <v>1.6196037008300426E-2</v>
      </c>
    </row>
    <row r="99" spans="1:5" s="506" customFormat="1" x14ac:dyDescent="0.2">
      <c r="A99" s="512">
        <v>5</v>
      </c>
      <c r="B99" s="511" t="s">
        <v>715</v>
      </c>
      <c r="C99" s="523">
        <f t="shared" si="10"/>
        <v>1.6511390536175508E-2</v>
      </c>
      <c r="D99" s="523">
        <f t="shared" si="10"/>
        <v>1.2761506654523604E-2</v>
      </c>
      <c r="E99" s="523">
        <f t="shared" si="11"/>
        <v>-3.7498838816519033E-3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8.0443394492910167E-4</v>
      </c>
      <c r="D100" s="523">
        <f t="shared" si="10"/>
        <v>1.0928136633889672E-3</v>
      </c>
      <c r="E100" s="523">
        <f t="shared" si="11"/>
        <v>2.8837971845986556E-4</v>
      </c>
    </row>
    <row r="101" spans="1:5" s="506" customFormat="1" x14ac:dyDescent="0.2">
      <c r="A101" s="512">
        <v>7</v>
      </c>
      <c r="B101" s="511" t="s">
        <v>730</v>
      </c>
      <c r="C101" s="523">
        <f t="shared" si="10"/>
        <v>2.0085985770998013E-2</v>
      </c>
      <c r="D101" s="523">
        <f t="shared" si="10"/>
        <v>2.0650236614015629E-2</v>
      </c>
      <c r="E101" s="523">
        <f t="shared" si="11"/>
        <v>5.642508430176163E-4</v>
      </c>
    </row>
    <row r="102" spans="1:5" s="506" customFormat="1" x14ac:dyDescent="0.2">
      <c r="A102" s="512"/>
      <c r="B102" s="516" t="s">
        <v>770</v>
      </c>
      <c r="C102" s="524">
        <f>SUM(C96+C97+C100)</f>
        <v>0.24369451616698265</v>
      </c>
      <c r="D102" s="524">
        <f>SUM(D96+D97+D100)</f>
        <v>0.25576812902572299</v>
      </c>
      <c r="E102" s="525">
        <f t="shared" si="11"/>
        <v>1.207361285874034E-2</v>
      </c>
    </row>
    <row r="103" spans="1:5" s="506" customFormat="1" x14ac:dyDescent="0.2">
      <c r="A103" s="512"/>
      <c r="B103" s="516" t="s">
        <v>771</v>
      </c>
      <c r="C103" s="524">
        <f>SUM(C95+C102)</f>
        <v>0.50558871783542525</v>
      </c>
      <c r="D103" s="524">
        <f>SUM(D95+D102)</f>
        <v>0.51668522585785825</v>
      </c>
      <c r="E103" s="525">
        <f t="shared" si="11"/>
        <v>1.1096508022433005E-2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772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773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623</v>
      </c>
      <c r="C109" s="523">
        <f t="shared" ref="C109:D115" si="12">IF(C$77=0,0,C47/C$77)</f>
        <v>0.18413390551080044</v>
      </c>
      <c r="D109" s="523">
        <f t="shared" si="12"/>
        <v>0.18660758597028085</v>
      </c>
      <c r="E109" s="523">
        <f t="shared" ref="E109:E117" si="13">D109-C109</f>
        <v>2.473680459480404E-3</v>
      </c>
    </row>
    <row r="110" spans="1:5" s="506" customFormat="1" x14ac:dyDescent="0.2">
      <c r="A110" s="512">
        <v>2</v>
      </c>
      <c r="B110" s="511" t="s">
        <v>602</v>
      </c>
      <c r="C110" s="523">
        <f t="shared" si="12"/>
        <v>0.26442410534291222</v>
      </c>
      <c r="D110" s="523">
        <f t="shared" si="12"/>
        <v>0.25089313730280377</v>
      </c>
      <c r="E110" s="523">
        <f t="shared" si="13"/>
        <v>-1.3530968040108449E-2</v>
      </c>
    </row>
    <row r="111" spans="1:5" s="506" customFormat="1" x14ac:dyDescent="0.2">
      <c r="A111" s="512">
        <v>3</v>
      </c>
      <c r="B111" s="511" t="s">
        <v>748</v>
      </c>
      <c r="C111" s="523">
        <f t="shared" si="12"/>
        <v>4.5758853518757484E-2</v>
      </c>
      <c r="D111" s="523">
        <f t="shared" si="12"/>
        <v>4.6364886310381707E-2</v>
      </c>
      <c r="E111" s="523">
        <f t="shared" si="13"/>
        <v>6.0603279162422391E-4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4.0400323850325222E-2</v>
      </c>
      <c r="D112" s="523">
        <f t="shared" si="12"/>
        <v>4.412459326920154E-2</v>
      </c>
      <c r="E112" s="523">
        <f t="shared" si="13"/>
        <v>3.7242694188763178E-3</v>
      </c>
    </row>
    <row r="113" spans="1:5" s="506" customFormat="1" x14ac:dyDescent="0.2">
      <c r="A113" s="512">
        <v>5</v>
      </c>
      <c r="B113" s="511" t="s">
        <v>715</v>
      </c>
      <c r="C113" s="523">
        <f t="shared" si="12"/>
        <v>5.3585296684322591E-3</v>
      </c>
      <c r="D113" s="523">
        <f t="shared" si="12"/>
        <v>2.2402930411801678E-3</v>
      </c>
      <c r="E113" s="523">
        <f t="shared" si="13"/>
        <v>-3.1182366272520913E-3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5.1905353124443842E-4</v>
      </c>
      <c r="D114" s="523">
        <f t="shared" si="12"/>
        <v>5.8844869852713207E-4</v>
      </c>
      <c r="E114" s="523">
        <f t="shared" si="13"/>
        <v>6.9395167282693647E-5</v>
      </c>
    </row>
    <row r="115" spans="1:5" s="506" customFormat="1" x14ac:dyDescent="0.2">
      <c r="A115" s="512">
        <v>7</v>
      </c>
      <c r="B115" s="511" t="s">
        <v>730</v>
      </c>
      <c r="C115" s="523">
        <f t="shared" si="12"/>
        <v>7.5806420399697515E-4</v>
      </c>
      <c r="D115" s="523">
        <f t="shared" si="12"/>
        <v>5.8641525159227746E-4</v>
      </c>
      <c r="E115" s="523">
        <f t="shared" si="13"/>
        <v>-1.7164895240469769E-4</v>
      </c>
    </row>
    <row r="116" spans="1:5" s="506" customFormat="1" x14ac:dyDescent="0.2">
      <c r="A116" s="512"/>
      <c r="B116" s="516" t="s">
        <v>767</v>
      </c>
      <c r="C116" s="524">
        <f>SUM(C110+C111+C114)</f>
        <v>0.31070201239291412</v>
      </c>
      <c r="D116" s="524">
        <f>SUM(D110+D111+D114)</f>
        <v>0.29784647231171263</v>
      </c>
      <c r="E116" s="525">
        <f t="shared" si="13"/>
        <v>-1.2855540081201489E-2</v>
      </c>
    </row>
    <row r="117" spans="1:5" s="506" customFormat="1" x14ac:dyDescent="0.2">
      <c r="A117" s="512"/>
      <c r="B117" s="516" t="s">
        <v>768</v>
      </c>
      <c r="C117" s="524">
        <f>SUM(C109+C116)</f>
        <v>0.49483591790371456</v>
      </c>
      <c r="D117" s="524">
        <f>SUM(D109+D116)</f>
        <v>0.4844540582819935</v>
      </c>
      <c r="E117" s="525">
        <f t="shared" si="13"/>
        <v>-1.0381859621721057E-2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774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623</v>
      </c>
      <c r="C121" s="523">
        <f t="shared" ref="C121:D127" si="14">IF(C$77=0,0,C58/C$77)</f>
        <v>0.34636940267299121</v>
      </c>
      <c r="D121" s="523">
        <f t="shared" si="14"/>
        <v>0.35293268686323481</v>
      </c>
      <c r="E121" s="523">
        <f t="shared" ref="E121:E129" si="15">D121-C121</f>
        <v>6.5632841902436012E-3</v>
      </c>
    </row>
    <row r="122" spans="1:5" s="506" customFormat="1" x14ac:dyDescent="0.2">
      <c r="A122" s="512">
        <v>2</v>
      </c>
      <c r="B122" s="511" t="s">
        <v>602</v>
      </c>
      <c r="C122" s="523">
        <f t="shared" si="14"/>
        <v>0.1118466764957768</v>
      </c>
      <c r="D122" s="523">
        <f t="shared" si="14"/>
        <v>0.10986271114476173</v>
      </c>
      <c r="E122" s="523">
        <f t="shared" si="15"/>
        <v>-1.9839653510150684E-3</v>
      </c>
    </row>
    <row r="123" spans="1:5" s="506" customFormat="1" x14ac:dyDescent="0.2">
      <c r="A123" s="512">
        <v>3</v>
      </c>
      <c r="B123" s="511" t="s">
        <v>748</v>
      </c>
      <c r="C123" s="523">
        <f t="shared" si="14"/>
        <v>4.6405013954591665E-2</v>
      </c>
      <c r="D123" s="523">
        <f t="shared" si="14"/>
        <v>5.1790596822730024E-2</v>
      </c>
      <c r="E123" s="523">
        <f t="shared" si="15"/>
        <v>5.3855828681383597E-3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4.2233088782752649E-2</v>
      </c>
      <c r="D124" s="523">
        <f t="shared" si="14"/>
        <v>4.9673127403572832E-2</v>
      </c>
      <c r="E124" s="523">
        <f t="shared" si="15"/>
        <v>7.440038620820183E-3</v>
      </c>
    </row>
    <row r="125" spans="1:5" s="506" customFormat="1" x14ac:dyDescent="0.2">
      <c r="A125" s="512">
        <v>5</v>
      </c>
      <c r="B125" s="511" t="s">
        <v>715</v>
      </c>
      <c r="C125" s="523">
        <f t="shared" si="14"/>
        <v>4.1719251718390126E-3</v>
      </c>
      <c r="D125" s="523">
        <f t="shared" si="14"/>
        <v>2.1174694191571928E-3</v>
      </c>
      <c r="E125" s="523">
        <f t="shared" si="15"/>
        <v>-2.0544557526818198E-3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5.4298897292573477E-4</v>
      </c>
      <c r="D126" s="523">
        <f t="shared" si="14"/>
        <v>9.5994688727997035E-4</v>
      </c>
      <c r="E126" s="523">
        <f t="shared" si="15"/>
        <v>4.1695791435423558E-4</v>
      </c>
    </row>
    <row r="127" spans="1:5" s="506" customFormat="1" x14ac:dyDescent="0.2">
      <c r="A127" s="512">
        <v>7</v>
      </c>
      <c r="B127" s="511" t="s">
        <v>730</v>
      </c>
      <c r="C127" s="523">
        <f t="shared" si="14"/>
        <v>2.229107864697055E-3</v>
      </c>
      <c r="D127" s="523">
        <f t="shared" si="14"/>
        <v>3.0886288242268248E-3</v>
      </c>
      <c r="E127" s="523">
        <f t="shared" si="15"/>
        <v>8.5952095952976978E-4</v>
      </c>
    </row>
    <row r="128" spans="1:5" s="506" customFormat="1" x14ac:dyDescent="0.2">
      <c r="A128" s="512"/>
      <c r="B128" s="516" t="s">
        <v>770</v>
      </c>
      <c r="C128" s="524">
        <f>SUM(C122+C123+C126)</f>
        <v>0.1587946794232942</v>
      </c>
      <c r="D128" s="524">
        <f>SUM(D122+D123+D126)</f>
        <v>0.16261325485477171</v>
      </c>
      <c r="E128" s="525">
        <f t="shared" si="15"/>
        <v>3.8185754314775111E-3</v>
      </c>
    </row>
    <row r="129" spans="1:5" s="506" customFormat="1" x14ac:dyDescent="0.2">
      <c r="A129" s="512"/>
      <c r="B129" s="516" t="s">
        <v>771</v>
      </c>
      <c r="C129" s="524">
        <f>SUM(C121+C128)</f>
        <v>0.50516408209628538</v>
      </c>
      <c r="D129" s="524">
        <f>SUM(D121+D128)</f>
        <v>0.5155459417180065</v>
      </c>
      <c r="E129" s="525">
        <f t="shared" si="15"/>
        <v>1.0381859621721112E-2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775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776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777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623</v>
      </c>
      <c r="C137" s="530">
        <v>3390</v>
      </c>
      <c r="D137" s="530">
        <v>3270</v>
      </c>
      <c r="E137" s="531">
        <f t="shared" ref="E137:E145" si="16">D137-C137</f>
        <v>-120</v>
      </c>
    </row>
    <row r="138" spans="1:5" s="506" customFormat="1" x14ac:dyDescent="0.2">
      <c r="A138" s="512">
        <v>2</v>
      </c>
      <c r="B138" s="511" t="s">
        <v>602</v>
      </c>
      <c r="C138" s="530">
        <v>4708</v>
      </c>
      <c r="D138" s="530">
        <v>4619</v>
      </c>
      <c r="E138" s="531">
        <f t="shared" si="16"/>
        <v>-89</v>
      </c>
    </row>
    <row r="139" spans="1:5" s="506" customFormat="1" x14ac:dyDescent="0.2">
      <c r="A139" s="512">
        <v>3</v>
      </c>
      <c r="B139" s="511" t="s">
        <v>748</v>
      </c>
      <c r="C139" s="530">
        <f>C140+C141</f>
        <v>1847</v>
      </c>
      <c r="D139" s="530">
        <f>D140+D141</f>
        <v>1909</v>
      </c>
      <c r="E139" s="531">
        <f t="shared" si="16"/>
        <v>62</v>
      </c>
    </row>
    <row r="140" spans="1:5" s="506" customFormat="1" x14ac:dyDescent="0.2">
      <c r="A140" s="512">
        <v>4</v>
      </c>
      <c r="B140" s="511" t="s">
        <v>114</v>
      </c>
      <c r="C140" s="530">
        <v>1542</v>
      </c>
      <c r="D140" s="530">
        <v>1741</v>
      </c>
      <c r="E140" s="531">
        <f t="shared" si="16"/>
        <v>199</v>
      </c>
    </row>
    <row r="141" spans="1:5" s="506" customFormat="1" x14ac:dyDescent="0.2">
      <c r="A141" s="512">
        <v>5</v>
      </c>
      <c r="B141" s="511" t="s">
        <v>715</v>
      </c>
      <c r="C141" s="530">
        <v>305</v>
      </c>
      <c r="D141" s="530">
        <v>168</v>
      </c>
      <c r="E141" s="531">
        <f t="shared" si="16"/>
        <v>-137</v>
      </c>
    </row>
    <row r="142" spans="1:5" s="506" customFormat="1" x14ac:dyDescent="0.2">
      <c r="A142" s="512">
        <v>6</v>
      </c>
      <c r="B142" s="511" t="s">
        <v>418</v>
      </c>
      <c r="C142" s="530">
        <v>10</v>
      </c>
      <c r="D142" s="530">
        <v>20</v>
      </c>
      <c r="E142" s="531">
        <f t="shared" si="16"/>
        <v>10</v>
      </c>
    </row>
    <row r="143" spans="1:5" s="506" customFormat="1" x14ac:dyDescent="0.2">
      <c r="A143" s="512">
        <v>7</v>
      </c>
      <c r="B143" s="511" t="s">
        <v>730</v>
      </c>
      <c r="C143" s="530">
        <v>302</v>
      </c>
      <c r="D143" s="530">
        <v>234</v>
      </c>
      <c r="E143" s="531">
        <f t="shared" si="16"/>
        <v>-68</v>
      </c>
    </row>
    <row r="144" spans="1:5" s="506" customFormat="1" x14ac:dyDescent="0.2">
      <c r="A144" s="512"/>
      <c r="B144" s="516" t="s">
        <v>778</v>
      </c>
      <c r="C144" s="532">
        <f>SUM(C138+C139+C142)</f>
        <v>6565</v>
      </c>
      <c r="D144" s="532">
        <f>SUM(D138+D139+D142)</f>
        <v>6548</v>
      </c>
      <c r="E144" s="533">
        <f t="shared" si="16"/>
        <v>-17</v>
      </c>
    </row>
    <row r="145" spans="1:5" s="506" customFormat="1" x14ac:dyDescent="0.2">
      <c r="A145" s="512"/>
      <c r="B145" s="516" t="s">
        <v>692</v>
      </c>
      <c r="C145" s="532">
        <f>SUM(C137+C144)</f>
        <v>9955</v>
      </c>
      <c r="D145" s="532">
        <f>SUM(D137+D144)</f>
        <v>9818</v>
      </c>
      <c r="E145" s="533">
        <f t="shared" si="16"/>
        <v>-137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623</v>
      </c>
      <c r="C149" s="534">
        <v>11767</v>
      </c>
      <c r="D149" s="534">
        <v>11526</v>
      </c>
      <c r="E149" s="531">
        <f t="shared" ref="E149:E157" si="17">D149-C149</f>
        <v>-241</v>
      </c>
    </row>
    <row r="150" spans="1:5" s="506" customFormat="1" x14ac:dyDescent="0.2">
      <c r="A150" s="512">
        <v>2</v>
      </c>
      <c r="B150" s="511" t="s">
        <v>602</v>
      </c>
      <c r="C150" s="534">
        <v>24457</v>
      </c>
      <c r="D150" s="534">
        <v>23725</v>
      </c>
      <c r="E150" s="531">
        <f t="shared" si="17"/>
        <v>-732</v>
      </c>
    </row>
    <row r="151" spans="1:5" s="506" customFormat="1" x14ac:dyDescent="0.2">
      <c r="A151" s="512">
        <v>3</v>
      </c>
      <c r="B151" s="511" t="s">
        <v>748</v>
      </c>
      <c r="C151" s="534">
        <f>C152+C153</f>
        <v>6592</v>
      </c>
      <c r="D151" s="534">
        <f>D152+D153</f>
        <v>7050</v>
      </c>
      <c r="E151" s="531">
        <f t="shared" si="17"/>
        <v>458</v>
      </c>
    </row>
    <row r="152" spans="1:5" s="506" customFormat="1" x14ac:dyDescent="0.2">
      <c r="A152" s="512">
        <v>4</v>
      </c>
      <c r="B152" s="511" t="s">
        <v>114</v>
      </c>
      <c r="C152" s="534">
        <v>5160</v>
      </c>
      <c r="D152" s="534">
        <v>6201</v>
      </c>
      <c r="E152" s="531">
        <f t="shared" si="17"/>
        <v>1041</v>
      </c>
    </row>
    <row r="153" spans="1:5" s="506" customFormat="1" x14ac:dyDescent="0.2">
      <c r="A153" s="512">
        <v>5</v>
      </c>
      <c r="B153" s="511" t="s">
        <v>715</v>
      </c>
      <c r="C153" s="535">
        <v>1432</v>
      </c>
      <c r="D153" s="534">
        <v>849</v>
      </c>
      <c r="E153" s="531">
        <f t="shared" si="17"/>
        <v>-583</v>
      </c>
    </row>
    <row r="154" spans="1:5" s="506" customFormat="1" x14ac:dyDescent="0.2">
      <c r="A154" s="512">
        <v>6</v>
      </c>
      <c r="B154" s="511" t="s">
        <v>418</v>
      </c>
      <c r="C154" s="534">
        <v>57</v>
      </c>
      <c r="D154" s="534">
        <v>58</v>
      </c>
      <c r="E154" s="531">
        <f t="shared" si="17"/>
        <v>1</v>
      </c>
    </row>
    <row r="155" spans="1:5" s="506" customFormat="1" x14ac:dyDescent="0.2">
      <c r="A155" s="512">
        <v>7</v>
      </c>
      <c r="B155" s="511" t="s">
        <v>730</v>
      </c>
      <c r="C155" s="534">
        <v>1077</v>
      </c>
      <c r="D155" s="534">
        <v>969</v>
      </c>
      <c r="E155" s="531">
        <f t="shared" si="17"/>
        <v>-108</v>
      </c>
    </row>
    <row r="156" spans="1:5" s="506" customFormat="1" x14ac:dyDescent="0.2">
      <c r="A156" s="512"/>
      <c r="B156" s="516" t="s">
        <v>779</v>
      </c>
      <c r="C156" s="532">
        <f>SUM(C150+C151+C154)</f>
        <v>31106</v>
      </c>
      <c r="D156" s="532">
        <f>SUM(D150+D151+D154)</f>
        <v>30833</v>
      </c>
      <c r="E156" s="533">
        <f t="shared" si="17"/>
        <v>-273</v>
      </c>
    </row>
    <row r="157" spans="1:5" s="506" customFormat="1" x14ac:dyDescent="0.2">
      <c r="A157" s="512"/>
      <c r="B157" s="516" t="s">
        <v>780</v>
      </c>
      <c r="C157" s="532">
        <f>SUM(C149+C156)</f>
        <v>42873</v>
      </c>
      <c r="D157" s="532">
        <f>SUM(D149+D156)</f>
        <v>42359</v>
      </c>
      <c r="E157" s="533">
        <f t="shared" si="17"/>
        <v>-514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781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623</v>
      </c>
      <c r="C161" s="536">
        <f t="shared" ref="C161:D169" si="18">IF(C137=0,0,C149/C137)</f>
        <v>3.4710914454277284</v>
      </c>
      <c r="D161" s="536">
        <f t="shared" si="18"/>
        <v>3.524770642201835</v>
      </c>
      <c r="E161" s="537">
        <f t="shared" ref="E161:E169" si="19">D161-C161</f>
        <v>5.3679196774106597E-2</v>
      </c>
    </row>
    <row r="162" spans="1:5" s="506" customFormat="1" x14ac:dyDescent="0.2">
      <c r="A162" s="512">
        <v>2</v>
      </c>
      <c r="B162" s="511" t="s">
        <v>602</v>
      </c>
      <c r="C162" s="536">
        <f t="shared" si="18"/>
        <v>5.1947748513169074</v>
      </c>
      <c r="D162" s="536">
        <f t="shared" si="18"/>
        <v>5.1363931586923579</v>
      </c>
      <c r="E162" s="537">
        <f t="shared" si="19"/>
        <v>-5.8381692624549508E-2</v>
      </c>
    </row>
    <row r="163" spans="1:5" s="506" customFormat="1" x14ac:dyDescent="0.2">
      <c r="A163" s="512">
        <v>3</v>
      </c>
      <c r="B163" s="511" t="s">
        <v>748</v>
      </c>
      <c r="C163" s="536">
        <f t="shared" si="18"/>
        <v>3.5690308608554413</v>
      </c>
      <c r="D163" s="536">
        <f t="shared" si="18"/>
        <v>3.6930330015715036</v>
      </c>
      <c r="E163" s="537">
        <f t="shared" si="19"/>
        <v>0.1240021407160623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3.3463035019455254</v>
      </c>
      <c r="D164" s="536">
        <f t="shared" si="18"/>
        <v>3.5617461229178633</v>
      </c>
      <c r="E164" s="537">
        <f t="shared" si="19"/>
        <v>0.21544262097233791</v>
      </c>
    </row>
    <row r="165" spans="1:5" s="506" customFormat="1" x14ac:dyDescent="0.2">
      <c r="A165" s="512">
        <v>5</v>
      </c>
      <c r="B165" s="511" t="s">
        <v>715</v>
      </c>
      <c r="C165" s="536">
        <f t="shared" si="18"/>
        <v>4.695081967213115</v>
      </c>
      <c r="D165" s="536">
        <f t="shared" si="18"/>
        <v>5.0535714285714288</v>
      </c>
      <c r="E165" s="537">
        <f t="shared" si="19"/>
        <v>0.35848946135831383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5.7</v>
      </c>
      <c r="D166" s="536">
        <f t="shared" si="18"/>
        <v>2.9</v>
      </c>
      <c r="E166" s="537">
        <f t="shared" si="19"/>
        <v>-2.8000000000000003</v>
      </c>
    </row>
    <row r="167" spans="1:5" s="506" customFormat="1" x14ac:dyDescent="0.2">
      <c r="A167" s="512">
        <v>7</v>
      </c>
      <c r="B167" s="511" t="s">
        <v>730</v>
      </c>
      <c r="C167" s="536">
        <f t="shared" si="18"/>
        <v>3.5662251655629138</v>
      </c>
      <c r="D167" s="536">
        <f t="shared" si="18"/>
        <v>4.1410256410256414</v>
      </c>
      <c r="E167" s="537">
        <f t="shared" si="19"/>
        <v>0.57480047546272761</v>
      </c>
    </row>
    <row r="168" spans="1:5" s="506" customFormat="1" x14ac:dyDescent="0.2">
      <c r="A168" s="512"/>
      <c r="B168" s="516" t="s">
        <v>782</v>
      </c>
      <c r="C168" s="538">
        <f t="shared" si="18"/>
        <v>4.7381568926123379</v>
      </c>
      <c r="D168" s="538">
        <f t="shared" si="18"/>
        <v>4.7087660354306662</v>
      </c>
      <c r="E168" s="539">
        <f t="shared" si="19"/>
        <v>-2.939085718167167E-2</v>
      </c>
    </row>
    <row r="169" spans="1:5" s="506" customFormat="1" x14ac:dyDescent="0.2">
      <c r="A169" s="512"/>
      <c r="B169" s="516" t="s">
        <v>716</v>
      </c>
      <c r="C169" s="538">
        <f t="shared" si="18"/>
        <v>4.3066800602712201</v>
      </c>
      <c r="D169" s="538">
        <f t="shared" si="18"/>
        <v>4.3144224893053575</v>
      </c>
      <c r="E169" s="539">
        <f t="shared" si="19"/>
        <v>7.7424290341374657E-3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783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623</v>
      </c>
      <c r="C173" s="541">
        <f t="shared" ref="C173:D181" si="20">IF(C137=0,0,C203/C137)</f>
        <v>1.0083500000000001</v>
      </c>
      <c r="D173" s="541">
        <f t="shared" si="20"/>
        <v>1.03484</v>
      </c>
      <c r="E173" s="542">
        <f t="shared" ref="E173:E181" si="21">D173-C173</f>
        <v>2.6489999999999903E-2</v>
      </c>
    </row>
    <row r="174" spans="1:5" s="506" customFormat="1" x14ac:dyDescent="0.2">
      <c r="A174" s="512">
        <v>2</v>
      </c>
      <c r="B174" s="511" t="s">
        <v>602</v>
      </c>
      <c r="C174" s="541">
        <f t="shared" si="20"/>
        <v>1.4451700000000001</v>
      </c>
      <c r="D174" s="541">
        <f t="shared" si="20"/>
        <v>1.4248700000000001</v>
      </c>
      <c r="E174" s="542">
        <f t="shared" si="21"/>
        <v>-2.0299999999999985E-2</v>
      </c>
    </row>
    <row r="175" spans="1:5" s="506" customFormat="1" x14ac:dyDescent="0.2">
      <c r="A175" s="512">
        <v>0</v>
      </c>
      <c r="B175" s="511" t="s">
        <v>748</v>
      </c>
      <c r="C175" s="541">
        <f t="shared" si="20"/>
        <v>0.80526788846778552</v>
      </c>
      <c r="D175" s="541">
        <f t="shared" si="20"/>
        <v>0.84003761655316911</v>
      </c>
      <c r="E175" s="542">
        <f t="shared" si="21"/>
        <v>3.4769728085383589E-2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0.75641999999999987</v>
      </c>
      <c r="D176" s="541">
        <f t="shared" si="20"/>
        <v>0.81113000000000002</v>
      </c>
      <c r="E176" s="542">
        <f t="shared" si="21"/>
        <v>5.4710000000000147E-2</v>
      </c>
    </row>
    <row r="177" spans="1:5" s="506" customFormat="1" x14ac:dyDescent="0.2">
      <c r="A177" s="512">
        <v>5</v>
      </c>
      <c r="B177" s="511" t="s">
        <v>715</v>
      </c>
      <c r="C177" s="541">
        <f t="shared" si="20"/>
        <v>1.05223</v>
      </c>
      <c r="D177" s="541">
        <f t="shared" si="20"/>
        <v>1.13961</v>
      </c>
      <c r="E177" s="542">
        <f t="shared" si="21"/>
        <v>8.7380000000000013E-2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1.91412</v>
      </c>
      <c r="D178" s="541">
        <f t="shared" si="20"/>
        <v>1.12174</v>
      </c>
      <c r="E178" s="542">
        <f t="shared" si="21"/>
        <v>-0.79238000000000008</v>
      </c>
    </row>
    <row r="179" spans="1:5" s="506" customFormat="1" x14ac:dyDescent="0.2">
      <c r="A179" s="512">
        <v>7</v>
      </c>
      <c r="B179" s="511" t="s">
        <v>730</v>
      </c>
      <c r="C179" s="541">
        <f t="shared" si="20"/>
        <v>0.88553000000000004</v>
      </c>
      <c r="D179" s="541">
        <f t="shared" si="20"/>
        <v>1.07494</v>
      </c>
      <c r="E179" s="542">
        <f t="shared" si="21"/>
        <v>0.18940999999999997</v>
      </c>
    </row>
    <row r="180" spans="1:5" s="506" customFormat="1" x14ac:dyDescent="0.2">
      <c r="A180" s="512"/>
      <c r="B180" s="516" t="s">
        <v>784</v>
      </c>
      <c r="C180" s="543">
        <f t="shared" si="20"/>
        <v>1.265853975628332</v>
      </c>
      <c r="D180" s="543">
        <f t="shared" si="20"/>
        <v>1.2534424465485647</v>
      </c>
      <c r="E180" s="544">
        <f t="shared" si="21"/>
        <v>-1.2411529079767281E-2</v>
      </c>
    </row>
    <row r="181" spans="1:5" s="506" customFormat="1" x14ac:dyDescent="0.2">
      <c r="A181" s="512"/>
      <c r="B181" s="516" t="s">
        <v>693</v>
      </c>
      <c r="C181" s="543">
        <f t="shared" si="20"/>
        <v>1.1781655298844802</v>
      </c>
      <c r="D181" s="543">
        <f t="shared" si="20"/>
        <v>1.1806343389692402</v>
      </c>
      <c r="E181" s="544">
        <f t="shared" si="21"/>
        <v>2.4688090847599931E-3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785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786</v>
      </c>
      <c r="C185" s="513">
        <v>123130052</v>
      </c>
      <c r="D185" s="513">
        <v>132260378</v>
      </c>
      <c r="E185" s="514">
        <f>D185-C185</f>
        <v>9130326</v>
      </c>
    </row>
    <row r="186" spans="1:5" s="506" customFormat="1" ht="25.5" x14ac:dyDescent="0.2">
      <c r="A186" s="512">
        <v>2</v>
      </c>
      <c r="B186" s="511" t="s">
        <v>787</v>
      </c>
      <c r="C186" s="513">
        <v>87350337</v>
      </c>
      <c r="D186" s="513">
        <v>93181255</v>
      </c>
      <c r="E186" s="514">
        <f>D186-C186</f>
        <v>5830918</v>
      </c>
    </row>
    <row r="187" spans="1:5" s="506" customFormat="1" x14ac:dyDescent="0.2">
      <c r="A187" s="512"/>
      <c r="B187" s="511" t="s">
        <v>635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719</v>
      </c>
      <c r="C188" s="546">
        <f>+C185-C186</f>
        <v>35779715</v>
      </c>
      <c r="D188" s="546">
        <f>+D185-D186</f>
        <v>39079123</v>
      </c>
      <c r="E188" s="514">
        <f t="shared" ref="E188:E197" si="22">D188-C188</f>
        <v>3299408</v>
      </c>
    </row>
    <row r="189" spans="1:5" s="506" customFormat="1" x14ac:dyDescent="0.2">
      <c r="A189" s="512">
        <v>4</v>
      </c>
      <c r="B189" s="511" t="s">
        <v>637</v>
      </c>
      <c r="C189" s="547">
        <f>IF(C185=0,0,+C188/C185)</f>
        <v>0.29058474693083053</v>
      </c>
      <c r="D189" s="547">
        <f>IF(D185=0,0,+D188/D185)</f>
        <v>0.29547112741504489</v>
      </c>
      <c r="E189" s="523">
        <f t="shared" si="22"/>
        <v>4.8863804842143588E-3</v>
      </c>
    </row>
    <row r="190" spans="1:5" s="506" customFormat="1" x14ac:dyDescent="0.2">
      <c r="A190" s="512">
        <v>5</v>
      </c>
      <c r="B190" s="511" t="s">
        <v>734</v>
      </c>
      <c r="C190" s="513">
        <v>4660665</v>
      </c>
      <c r="D190" s="513">
        <v>5000636</v>
      </c>
      <c r="E190" s="546">
        <f t="shared" si="22"/>
        <v>339971</v>
      </c>
    </row>
    <row r="191" spans="1:5" s="506" customFormat="1" x14ac:dyDescent="0.2">
      <c r="A191" s="512">
        <v>6</v>
      </c>
      <c r="B191" s="511" t="s">
        <v>720</v>
      </c>
      <c r="C191" s="513">
        <v>2555247</v>
      </c>
      <c r="D191" s="513">
        <v>2852678</v>
      </c>
      <c r="E191" s="546">
        <f t="shared" si="22"/>
        <v>297431</v>
      </c>
    </row>
    <row r="192" spans="1:5" ht="29.25" x14ac:dyDescent="0.2">
      <c r="A192" s="512">
        <v>7</v>
      </c>
      <c r="B192" s="548" t="s">
        <v>788</v>
      </c>
      <c r="C192" s="513">
        <v>1261662</v>
      </c>
      <c r="D192" s="513">
        <v>1215043</v>
      </c>
      <c r="E192" s="546">
        <f t="shared" si="22"/>
        <v>-46619</v>
      </c>
    </row>
    <row r="193" spans="1:5" s="506" customFormat="1" x14ac:dyDescent="0.2">
      <c r="A193" s="512">
        <v>8</v>
      </c>
      <c r="B193" s="511" t="s">
        <v>789</v>
      </c>
      <c r="C193" s="513">
        <v>3370587</v>
      </c>
      <c r="D193" s="513">
        <v>3637983</v>
      </c>
      <c r="E193" s="546">
        <f t="shared" si="22"/>
        <v>267396</v>
      </c>
    </row>
    <row r="194" spans="1:5" s="506" customFormat="1" x14ac:dyDescent="0.2">
      <c r="A194" s="512">
        <v>9</v>
      </c>
      <c r="B194" s="511" t="s">
        <v>790</v>
      </c>
      <c r="C194" s="513">
        <v>9717615</v>
      </c>
      <c r="D194" s="513">
        <v>10465542</v>
      </c>
      <c r="E194" s="546">
        <f t="shared" si="22"/>
        <v>747927</v>
      </c>
    </row>
    <row r="195" spans="1:5" s="506" customFormat="1" x14ac:dyDescent="0.2">
      <c r="A195" s="512">
        <v>10</v>
      </c>
      <c r="B195" s="511" t="s">
        <v>791</v>
      </c>
      <c r="C195" s="513">
        <f>+C193+C194</f>
        <v>13088202</v>
      </c>
      <c r="D195" s="513">
        <f>+D193+D194</f>
        <v>14103525</v>
      </c>
      <c r="E195" s="549">
        <f t="shared" si="22"/>
        <v>1015323</v>
      </c>
    </row>
    <row r="196" spans="1:5" s="506" customFormat="1" x14ac:dyDescent="0.2">
      <c r="A196" s="512">
        <v>11</v>
      </c>
      <c r="B196" s="511" t="s">
        <v>792</v>
      </c>
      <c r="C196" s="513">
        <v>123130052</v>
      </c>
      <c r="D196" s="513">
        <v>132260378</v>
      </c>
      <c r="E196" s="546">
        <f t="shared" si="22"/>
        <v>9130326</v>
      </c>
    </row>
    <row r="197" spans="1:5" s="506" customFormat="1" x14ac:dyDescent="0.2">
      <c r="A197" s="512">
        <v>12</v>
      </c>
      <c r="B197" s="511" t="s">
        <v>677</v>
      </c>
      <c r="C197" s="513">
        <v>173269841</v>
      </c>
      <c r="D197" s="513">
        <v>190181772</v>
      </c>
      <c r="E197" s="546">
        <f t="shared" si="22"/>
        <v>16911931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793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794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623</v>
      </c>
      <c r="C203" s="553">
        <v>3418.3065000000001</v>
      </c>
      <c r="D203" s="553">
        <v>3383.9267999999997</v>
      </c>
      <c r="E203" s="554">
        <f t="shared" ref="E203:E211" si="23">D203-C203</f>
        <v>-34.379700000000412</v>
      </c>
    </row>
    <row r="204" spans="1:5" s="506" customFormat="1" x14ac:dyDescent="0.2">
      <c r="A204" s="512">
        <v>2</v>
      </c>
      <c r="B204" s="511" t="s">
        <v>602</v>
      </c>
      <c r="C204" s="553">
        <v>6803.8603600000006</v>
      </c>
      <c r="D204" s="553">
        <v>6581.4745300000004</v>
      </c>
      <c r="E204" s="554">
        <f t="shared" si="23"/>
        <v>-222.38583000000017</v>
      </c>
    </row>
    <row r="205" spans="1:5" s="506" customFormat="1" x14ac:dyDescent="0.2">
      <c r="A205" s="512">
        <v>3</v>
      </c>
      <c r="B205" s="511" t="s">
        <v>748</v>
      </c>
      <c r="C205" s="553">
        <f>C206+C207</f>
        <v>1487.3297899999998</v>
      </c>
      <c r="D205" s="553">
        <f>D206+D207</f>
        <v>1603.6318099999999</v>
      </c>
      <c r="E205" s="554">
        <f t="shared" si="23"/>
        <v>116.30202000000008</v>
      </c>
    </row>
    <row r="206" spans="1:5" s="506" customFormat="1" x14ac:dyDescent="0.2">
      <c r="A206" s="512">
        <v>4</v>
      </c>
      <c r="B206" s="511" t="s">
        <v>114</v>
      </c>
      <c r="C206" s="553">
        <v>1166.3996399999999</v>
      </c>
      <c r="D206" s="553">
        <v>1412.17733</v>
      </c>
      <c r="E206" s="554">
        <f t="shared" si="23"/>
        <v>245.77769000000012</v>
      </c>
    </row>
    <row r="207" spans="1:5" s="506" customFormat="1" x14ac:dyDescent="0.2">
      <c r="A207" s="512">
        <v>5</v>
      </c>
      <c r="B207" s="511" t="s">
        <v>715</v>
      </c>
      <c r="C207" s="553">
        <v>320.93015000000003</v>
      </c>
      <c r="D207" s="553">
        <v>191.45447999999999</v>
      </c>
      <c r="E207" s="554">
        <f t="shared" si="23"/>
        <v>-129.47567000000004</v>
      </c>
    </row>
    <row r="208" spans="1:5" s="506" customFormat="1" x14ac:dyDescent="0.2">
      <c r="A208" s="512">
        <v>6</v>
      </c>
      <c r="B208" s="511" t="s">
        <v>418</v>
      </c>
      <c r="C208" s="553">
        <v>19.141200000000001</v>
      </c>
      <c r="D208" s="553">
        <v>22.434799999999999</v>
      </c>
      <c r="E208" s="554">
        <f t="shared" si="23"/>
        <v>3.2935999999999979</v>
      </c>
    </row>
    <row r="209" spans="1:5" s="506" customFormat="1" x14ac:dyDescent="0.2">
      <c r="A209" s="512">
        <v>7</v>
      </c>
      <c r="B209" s="511" t="s">
        <v>730</v>
      </c>
      <c r="C209" s="553">
        <v>267.43006000000003</v>
      </c>
      <c r="D209" s="553">
        <v>251.53595999999999</v>
      </c>
      <c r="E209" s="554">
        <f t="shared" si="23"/>
        <v>-15.894100000000037</v>
      </c>
    </row>
    <row r="210" spans="1:5" s="506" customFormat="1" x14ac:dyDescent="0.2">
      <c r="A210" s="512"/>
      <c r="B210" s="516" t="s">
        <v>795</v>
      </c>
      <c r="C210" s="555">
        <f>C204+C205+C208</f>
        <v>8310.3313500000004</v>
      </c>
      <c r="D210" s="555">
        <f>D204+D205+D208</f>
        <v>8207.5411400000012</v>
      </c>
      <c r="E210" s="556">
        <f t="shared" si="23"/>
        <v>-102.79020999999921</v>
      </c>
    </row>
    <row r="211" spans="1:5" s="506" customFormat="1" x14ac:dyDescent="0.2">
      <c r="A211" s="512"/>
      <c r="B211" s="516" t="s">
        <v>694</v>
      </c>
      <c r="C211" s="555">
        <f>C210+C203</f>
        <v>11728.637850000001</v>
      </c>
      <c r="D211" s="555">
        <f>D210+D203</f>
        <v>11591.46794</v>
      </c>
      <c r="E211" s="556">
        <f t="shared" si="23"/>
        <v>-137.16991000000053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796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623</v>
      </c>
      <c r="C215" s="557">
        <f>IF(C14*C137=0,0,C25/C14*C137)</f>
        <v>6383.2264409945683</v>
      </c>
      <c r="D215" s="557">
        <f>IF(D14*D137=0,0,D25/D14*D137)</f>
        <v>6070.9482569528282</v>
      </c>
      <c r="E215" s="557">
        <f t="shared" ref="E215:E223" si="24">D215-C215</f>
        <v>-312.27818404174013</v>
      </c>
    </row>
    <row r="216" spans="1:5" s="506" customFormat="1" x14ac:dyDescent="0.2">
      <c r="A216" s="512">
        <v>2</v>
      </c>
      <c r="B216" s="511" t="s">
        <v>602</v>
      </c>
      <c r="C216" s="557">
        <f>IF(C15*C138=0,0,C26/C15*C138)</f>
        <v>2614.5330030783803</v>
      </c>
      <c r="D216" s="557">
        <f>IF(D15*D138=0,0,D26/D15*D138)</f>
        <v>2691.1055934982951</v>
      </c>
      <c r="E216" s="557">
        <f t="shared" si="24"/>
        <v>76.572590419914832</v>
      </c>
    </row>
    <row r="217" spans="1:5" s="506" customFormat="1" x14ac:dyDescent="0.2">
      <c r="A217" s="512">
        <v>3</v>
      </c>
      <c r="B217" s="511" t="s">
        <v>748</v>
      </c>
      <c r="C217" s="557">
        <f>C218+C219</f>
        <v>2484.968972709536</v>
      </c>
      <c r="D217" s="557">
        <f>D218+D219</f>
        <v>2815.2388008583798</v>
      </c>
      <c r="E217" s="557">
        <f t="shared" si="24"/>
        <v>330.26982814884377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2108.6005508874705</v>
      </c>
      <c r="D218" s="557">
        <f t="shared" si="25"/>
        <v>2504.5248234894843</v>
      </c>
      <c r="E218" s="557">
        <f t="shared" si="24"/>
        <v>395.92427260201384</v>
      </c>
    </row>
    <row r="219" spans="1:5" s="506" customFormat="1" x14ac:dyDescent="0.2">
      <c r="A219" s="512">
        <v>5</v>
      </c>
      <c r="B219" s="511" t="s">
        <v>715</v>
      </c>
      <c r="C219" s="557">
        <f t="shared" si="25"/>
        <v>376.36842182206573</v>
      </c>
      <c r="D219" s="557">
        <f t="shared" si="25"/>
        <v>310.71397736889537</v>
      </c>
      <c r="E219" s="557">
        <f t="shared" si="24"/>
        <v>-65.654444453170356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10.461139625013093</v>
      </c>
      <c r="D220" s="557">
        <f t="shared" si="25"/>
        <v>32.62643156368965</v>
      </c>
      <c r="E220" s="557">
        <f t="shared" si="24"/>
        <v>22.165291938676557</v>
      </c>
    </row>
    <row r="221" spans="1:5" s="506" customFormat="1" x14ac:dyDescent="0.2">
      <c r="A221" s="512">
        <v>7</v>
      </c>
      <c r="B221" s="511" t="s">
        <v>730</v>
      </c>
      <c r="C221" s="557">
        <f t="shared" si="25"/>
        <v>526.7786636968932</v>
      </c>
      <c r="D221" s="557">
        <f t="shared" si="25"/>
        <v>460.39101946954116</v>
      </c>
      <c r="E221" s="557">
        <f t="shared" si="24"/>
        <v>-66.387644227352041</v>
      </c>
    </row>
    <row r="222" spans="1:5" s="506" customFormat="1" x14ac:dyDescent="0.2">
      <c r="A222" s="512"/>
      <c r="B222" s="516" t="s">
        <v>797</v>
      </c>
      <c r="C222" s="558">
        <f>C216+C218+C219+C220</f>
        <v>5109.9631154129293</v>
      </c>
      <c r="D222" s="558">
        <f>D216+D218+D219+D220</f>
        <v>5538.9708259203644</v>
      </c>
      <c r="E222" s="558">
        <f t="shared" si="24"/>
        <v>429.00771050743515</v>
      </c>
    </row>
    <row r="223" spans="1:5" s="506" customFormat="1" x14ac:dyDescent="0.2">
      <c r="A223" s="512"/>
      <c r="B223" s="516" t="s">
        <v>798</v>
      </c>
      <c r="C223" s="558">
        <f>C215+C222</f>
        <v>11493.189556407498</v>
      </c>
      <c r="D223" s="558">
        <f>D215+D222</f>
        <v>11609.919082873192</v>
      </c>
      <c r="E223" s="558">
        <f t="shared" si="24"/>
        <v>116.7295264656932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799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623</v>
      </c>
      <c r="C227" s="560">
        <f t="shared" ref="C227:D235" si="26">IF(C203=0,0,C47/C203)</f>
        <v>8932.2818184969656</v>
      </c>
      <c r="D227" s="560">
        <f t="shared" si="26"/>
        <v>9654.4044628861357</v>
      </c>
      <c r="E227" s="560">
        <f t="shared" ref="E227:E235" si="27">D227-C227</f>
        <v>722.12264438917009</v>
      </c>
    </row>
    <row r="228" spans="1:5" s="506" customFormat="1" x14ac:dyDescent="0.2">
      <c r="A228" s="512">
        <v>2</v>
      </c>
      <c r="B228" s="511" t="s">
        <v>602</v>
      </c>
      <c r="C228" s="560">
        <f t="shared" si="26"/>
        <v>6444.4417845165763</v>
      </c>
      <c r="D228" s="560">
        <f t="shared" si="26"/>
        <v>6673.9466664774891</v>
      </c>
      <c r="E228" s="560">
        <f t="shared" si="27"/>
        <v>229.50488196091283</v>
      </c>
    </row>
    <row r="229" spans="1:5" s="506" customFormat="1" x14ac:dyDescent="0.2">
      <c r="A229" s="512">
        <v>3</v>
      </c>
      <c r="B229" s="511" t="s">
        <v>748</v>
      </c>
      <c r="C229" s="560">
        <f t="shared" si="26"/>
        <v>5101.613005411531</v>
      </c>
      <c r="D229" s="560">
        <f t="shared" si="26"/>
        <v>5061.7616521338532</v>
      </c>
      <c r="E229" s="560">
        <f t="shared" si="27"/>
        <v>-39.851353277677845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5743.5065737846089</v>
      </c>
      <c r="D230" s="560">
        <f t="shared" si="26"/>
        <v>5470.2683833623078</v>
      </c>
      <c r="E230" s="560">
        <f t="shared" si="27"/>
        <v>-273.23819042230116</v>
      </c>
    </row>
    <row r="231" spans="1:5" s="506" customFormat="1" x14ac:dyDescent="0.2">
      <c r="A231" s="512">
        <v>5</v>
      </c>
      <c r="B231" s="511" t="s">
        <v>715</v>
      </c>
      <c r="C231" s="560">
        <f t="shared" si="26"/>
        <v>2768.6928136854699</v>
      </c>
      <c r="D231" s="560">
        <f t="shared" si="26"/>
        <v>2048.5966168041614</v>
      </c>
      <c r="E231" s="560">
        <f t="shared" si="27"/>
        <v>-720.09619688130852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4496.5832863143378</v>
      </c>
      <c r="D232" s="560">
        <f t="shared" si="26"/>
        <v>4592.0177581257694</v>
      </c>
      <c r="E232" s="560">
        <f t="shared" si="27"/>
        <v>95.434471811431649</v>
      </c>
    </row>
    <row r="233" spans="1:5" s="506" customFormat="1" x14ac:dyDescent="0.2">
      <c r="A233" s="512">
        <v>7</v>
      </c>
      <c r="B233" s="511" t="s">
        <v>730</v>
      </c>
      <c r="C233" s="560">
        <f t="shared" si="26"/>
        <v>470.04065287200694</v>
      </c>
      <c r="D233" s="560">
        <f t="shared" si="26"/>
        <v>408.15237709948116</v>
      </c>
      <c r="E233" s="560">
        <f t="shared" si="27"/>
        <v>-61.888275772525787</v>
      </c>
    </row>
    <row r="234" spans="1:5" x14ac:dyDescent="0.2">
      <c r="A234" s="512"/>
      <c r="B234" s="516" t="s">
        <v>800</v>
      </c>
      <c r="C234" s="561">
        <f t="shared" si="26"/>
        <v>6199.624398851437</v>
      </c>
      <c r="D234" s="561">
        <f t="shared" si="26"/>
        <v>6353.2588031596506</v>
      </c>
      <c r="E234" s="561">
        <f t="shared" si="27"/>
        <v>153.63440430821356</v>
      </c>
    </row>
    <row r="235" spans="1:5" s="506" customFormat="1" x14ac:dyDescent="0.2">
      <c r="A235" s="512"/>
      <c r="B235" s="516" t="s">
        <v>801</v>
      </c>
      <c r="C235" s="561">
        <f t="shared" si="26"/>
        <v>6996.0562385341273</v>
      </c>
      <c r="D235" s="561">
        <f t="shared" si="26"/>
        <v>7316.9706752430529</v>
      </c>
      <c r="E235" s="561">
        <f t="shared" si="27"/>
        <v>320.91443670892568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802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623</v>
      </c>
      <c r="C239" s="560">
        <f t="shared" ref="C239:D247" si="28">IF(C215=0,0,C58/C215)</f>
        <v>8997.8535981642253</v>
      </c>
      <c r="D239" s="560">
        <f t="shared" si="28"/>
        <v>10177.767028278611</v>
      </c>
      <c r="E239" s="562">
        <f t="shared" ref="E239:E247" si="29">D239-C239</f>
        <v>1179.9134301143858</v>
      </c>
    </row>
    <row r="240" spans="1:5" s="506" customFormat="1" x14ac:dyDescent="0.2">
      <c r="A240" s="512">
        <v>2</v>
      </c>
      <c r="B240" s="511" t="s">
        <v>602</v>
      </c>
      <c r="C240" s="560">
        <f t="shared" si="28"/>
        <v>7093.6312443419556</v>
      </c>
      <c r="D240" s="560">
        <f t="shared" si="28"/>
        <v>7147.2130437650121</v>
      </c>
      <c r="E240" s="562">
        <f t="shared" si="29"/>
        <v>53.581799423056509</v>
      </c>
    </row>
    <row r="241" spans="1:5" x14ac:dyDescent="0.2">
      <c r="A241" s="512">
        <v>3</v>
      </c>
      <c r="B241" s="511" t="s">
        <v>748</v>
      </c>
      <c r="C241" s="560">
        <f t="shared" si="28"/>
        <v>3096.5891665076524</v>
      </c>
      <c r="D241" s="560">
        <f t="shared" si="28"/>
        <v>3220.7189660910472</v>
      </c>
      <c r="E241" s="562">
        <f t="shared" si="29"/>
        <v>124.12979958339474</v>
      </c>
    </row>
    <row r="242" spans="1:5" x14ac:dyDescent="0.2">
      <c r="A242" s="512">
        <v>4</v>
      </c>
      <c r="B242" s="511" t="s">
        <v>114</v>
      </c>
      <c r="C242" s="560">
        <f t="shared" si="28"/>
        <v>3321.2241157067474</v>
      </c>
      <c r="D242" s="560">
        <f t="shared" si="28"/>
        <v>3472.2686389203254</v>
      </c>
      <c r="E242" s="562">
        <f t="shared" si="29"/>
        <v>151.04452321357803</v>
      </c>
    </row>
    <row r="243" spans="1:5" x14ac:dyDescent="0.2">
      <c r="A243" s="512">
        <v>5</v>
      </c>
      <c r="B243" s="511" t="s">
        <v>715</v>
      </c>
      <c r="C243" s="560">
        <f t="shared" si="28"/>
        <v>1838.0739719100461</v>
      </c>
      <c r="D243" s="560">
        <f t="shared" si="28"/>
        <v>1193.0908391670914</v>
      </c>
      <c r="E243" s="562">
        <f t="shared" si="29"/>
        <v>-644.98313274295469</v>
      </c>
    </row>
    <row r="244" spans="1:5" x14ac:dyDescent="0.2">
      <c r="A244" s="512">
        <v>6</v>
      </c>
      <c r="B244" s="511" t="s">
        <v>418</v>
      </c>
      <c r="C244" s="560">
        <f t="shared" si="28"/>
        <v>8606.9972514956571</v>
      </c>
      <c r="D244" s="560">
        <f t="shared" si="28"/>
        <v>5151.0383436181846</v>
      </c>
      <c r="E244" s="562">
        <f t="shared" si="29"/>
        <v>-3455.9589078774725</v>
      </c>
    </row>
    <row r="245" spans="1:5" x14ac:dyDescent="0.2">
      <c r="A245" s="512">
        <v>7</v>
      </c>
      <c r="B245" s="511" t="s">
        <v>730</v>
      </c>
      <c r="C245" s="560">
        <f t="shared" si="28"/>
        <v>701.68559486814308</v>
      </c>
      <c r="D245" s="560">
        <f t="shared" si="28"/>
        <v>1174.5081401088758</v>
      </c>
      <c r="E245" s="562">
        <f t="shared" si="29"/>
        <v>472.82254524073267</v>
      </c>
    </row>
    <row r="246" spans="1:5" ht="25.5" x14ac:dyDescent="0.2">
      <c r="A246" s="512"/>
      <c r="B246" s="516" t="s">
        <v>803</v>
      </c>
      <c r="C246" s="561">
        <f t="shared" si="28"/>
        <v>5152.9726155121543</v>
      </c>
      <c r="D246" s="561">
        <f t="shared" si="28"/>
        <v>5139.7739570635013</v>
      </c>
      <c r="E246" s="563">
        <f t="shared" si="29"/>
        <v>-13.198658448653077</v>
      </c>
    </row>
    <row r="247" spans="1:5" x14ac:dyDescent="0.2">
      <c r="A247" s="512"/>
      <c r="B247" s="516" t="s">
        <v>804</v>
      </c>
      <c r="C247" s="561">
        <f t="shared" si="28"/>
        <v>7288.3890576136591</v>
      </c>
      <c r="D247" s="561">
        <f t="shared" si="28"/>
        <v>7774.1932872854486</v>
      </c>
      <c r="E247" s="563">
        <f t="shared" si="29"/>
        <v>485.80422967178947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732</v>
      </c>
      <c r="B249" s="550" t="s">
        <v>729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7954499.7496120203</v>
      </c>
      <c r="D251" s="546">
        <f>((IF((IF(D15=0,0,D26/D15)*D138)=0,0,D59/(IF(D15=0,0,D26/D15)*D138)))-(IF((IF(D17=0,0,D28/D17)*D140)=0,0,D61/(IF(D17=0,0,D28/D17)*D140))))*(IF(D17=0,0,D28/D17)*D140)</f>
        <v>9203989.4868773073</v>
      </c>
      <c r="E251" s="546">
        <f>D251-C251</f>
        <v>1249489.737265287</v>
      </c>
    </row>
    <row r="252" spans="1:5" x14ac:dyDescent="0.2">
      <c r="A252" s="512">
        <v>2</v>
      </c>
      <c r="B252" s="511" t="s">
        <v>715</v>
      </c>
      <c r="C252" s="546">
        <f>IF(C231=0,0,(C228-C231)*C207)+IF(C243=0,0,(C240-C243)*C219)</f>
        <v>3157684.4649918508</v>
      </c>
      <c r="D252" s="546">
        <f>IF(D231=0,0,(D228-D231)*D207)+IF(D243=0,0,(D240-D243)*D219)</f>
        <v>2735572.9805092569</v>
      </c>
      <c r="E252" s="546">
        <f>D252-C252</f>
        <v>-422111.48448259383</v>
      </c>
    </row>
    <row r="253" spans="1:5" x14ac:dyDescent="0.2">
      <c r="A253" s="512">
        <v>3</v>
      </c>
      <c r="B253" s="511" t="s">
        <v>730</v>
      </c>
      <c r="C253" s="546">
        <f>IF(C233=0,0,(C228-C233)*C209+IF(C221=0,0,(C240-C245)*C221))</f>
        <v>4964875.0407527601</v>
      </c>
      <c r="D253" s="546">
        <f>IF(D233=0,0,(D228-D233)*D209+IF(D221=0,0,(D240-D245)*D221))</f>
        <v>4325852.2813261915</v>
      </c>
      <c r="E253" s="546">
        <f>D253-C253</f>
        <v>-639022.75942656863</v>
      </c>
    </row>
    <row r="254" spans="1:5" ht="15" customHeight="1" x14ac:dyDescent="0.2">
      <c r="A254" s="512"/>
      <c r="B254" s="516" t="s">
        <v>731</v>
      </c>
      <c r="C254" s="564">
        <f>+C251+C252+C253</f>
        <v>16077059.255356632</v>
      </c>
      <c r="D254" s="564">
        <f>+D251+D252+D253</f>
        <v>16265414.748712756</v>
      </c>
      <c r="E254" s="564">
        <f>D254-C254</f>
        <v>188355.49335612357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805</v>
      </c>
      <c r="B256" s="550" t="s">
        <v>806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697</v>
      </c>
      <c r="C258" s="546">
        <f>+C44</f>
        <v>347627051</v>
      </c>
      <c r="D258" s="549">
        <f>+D44</f>
        <v>374870862</v>
      </c>
      <c r="E258" s="546">
        <f t="shared" ref="E258:E271" si="30">D258-C258</f>
        <v>27243811</v>
      </c>
    </row>
    <row r="259" spans="1:5" x14ac:dyDescent="0.2">
      <c r="A259" s="512">
        <v>2</v>
      </c>
      <c r="B259" s="511" t="s">
        <v>714</v>
      </c>
      <c r="C259" s="546">
        <f>+(C43-C76)</f>
        <v>130382840</v>
      </c>
      <c r="D259" s="549">
        <f>+(D43-D76)</f>
        <v>143763354</v>
      </c>
      <c r="E259" s="546">
        <f t="shared" si="30"/>
        <v>13380514</v>
      </c>
    </row>
    <row r="260" spans="1:5" x14ac:dyDescent="0.2">
      <c r="A260" s="512">
        <v>3</v>
      </c>
      <c r="B260" s="511" t="s">
        <v>718</v>
      </c>
      <c r="C260" s="546">
        <f>C195</f>
        <v>13088202</v>
      </c>
      <c r="D260" s="546">
        <f>D195</f>
        <v>14103525</v>
      </c>
      <c r="E260" s="546">
        <f t="shared" si="30"/>
        <v>1015323</v>
      </c>
    </row>
    <row r="261" spans="1:5" x14ac:dyDescent="0.2">
      <c r="A261" s="512">
        <v>4</v>
      </c>
      <c r="B261" s="511" t="s">
        <v>719</v>
      </c>
      <c r="C261" s="546">
        <f>C188</f>
        <v>35779715</v>
      </c>
      <c r="D261" s="546">
        <f>D188</f>
        <v>39079123</v>
      </c>
      <c r="E261" s="546">
        <f t="shared" si="30"/>
        <v>3299408</v>
      </c>
    </row>
    <row r="262" spans="1:5" x14ac:dyDescent="0.2">
      <c r="A262" s="512">
        <v>5</v>
      </c>
      <c r="B262" s="511" t="s">
        <v>720</v>
      </c>
      <c r="C262" s="546">
        <f>C191</f>
        <v>2555247</v>
      </c>
      <c r="D262" s="546">
        <f>D191</f>
        <v>2852678</v>
      </c>
      <c r="E262" s="546">
        <f t="shared" si="30"/>
        <v>297431</v>
      </c>
    </row>
    <row r="263" spans="1:5" x14ac:dyDescent="0.2">
      <c r="A263" s="512">
        <v>6</v>
      </c>
      <c r="B263" s="511" t="s">
        <v>721</v>
      </c>
      <c r="C263" s="546">
        <f>+C259+C260+C261+C262</f>
        <v>181806004</v>
      </c>
      <c r="D263" s="546">
        <f>+D259+D260+D261+D262</f>
        <v>199798680</v>
      </c>
      <c r="E263" s="546">
        <f t="shared" si="30"/>
        <v>17992676</v>
      </c>
    </row>
    <row r="264" spans="1:5" x14ac:dyDescent="0.2">
      <c r="A264" s="512">
        <v>7</v>
      </c>
      <c r="B264" s="511" t="s">
        <v>621</v>
      </c>
      <c r="C264" s="546">
        <f>+C258-C263</f>
        <v>165821047</v>
      </c>
      <c r="D264" s="546">
        <f>+D258-D263</f>
        <v>175072182</v>
      </c>
      <c r="E264" s="546">
        <f t="shared" si="30"/>
        <v>9251135</v>
      </c>
    </row>
    <row r="265" spans="1:5" x14ac:dyDescent="0.2">
      <c r="A265" s="512">
        <v>8</v>
      </c>
      <c r="B265" s="511" t="s">
        <v>807</v>
      </c>
      <c r="C265" s="565">
        <f>C192</f>
        <v>1261662</v>
      </c>
      <c r="D265" s="565">
        <f>D192</f>
        <v>1215043</v>
      </c>
      <c r="E265" s="546">
        <f t="shared" si="30"/>
        <v>-46619</v>
      </c>
    </row>
    <row r="266" spans="1:5" x14ac:dyDescent="0.2">
      <c r="A266" s="512">
        <v>9</v>
      </c>
      <c r="B266" s="511" t="s">
        <v>808</v>
      </c>
      <c r="C266" s="546">
        <f>+C264+C265</f>
        <v>167082709</v>
      </c>
      <c r="D266" s="546">
        <f>+D264+D265</f>
        <v>176287225</v>
      </c>
      <c r="E266" s="565">
        <f t="shared" si="30"/>
        <v>9204516</v>
      </c>
    </row>
    <row r="267" spans="1:5" x14ac:dyDescent="0.2">
      <c r="A267" s="512">
        <v>10</v>
      </c>
      <c r="B267" s="511" t="s">
        <v>809</v>
      </c>
      <c r="C267" s="566">
        <f>IF(C258=0,0,C266/C258)</f>
        <v>0.48063782297540475</v>
      </c>
      <c r="D267" s="566">
        <f>IF(D258=0,0,D266/D258)</f>
        <v>0.47026120957888695</v>
      </c>
      <c r="E267" s="567">
        <f t="shared" si="30"/>
        <v>-1.0376613396517798E-2</v>
      </c>
    </row>
    <row r="268" spans="1:5" x14ac:dyDescent="0.2">
      <c r="A268" s="512">
        <v>11</v>
      </c>
      <c r="B268" s="511" t="s">
        <v>683</v>
      </c>
      <c r="C268" s="546">
        <f>+C260*C267</f>
        <v>6290684.9159423383</v>
      </c>
      <c r="D268" s="568">
        <f>+D260*D267</f>
        <v>6632340.7258260716</v>
      </c>
      <c r="E268" s="546">
        <f t="shared" si="30"/>
        <v>341655.80988373328</v>
      </c>
    </row>
    <row r="269" spans="1:5" x14ac:dyDescent="0.2">
      <c r="A269" s="512">
        <v>12</v>
      </c>
      <c r="B269" s="511" t="s">
        <v>810</v>
      </c>
      <c r="C269" s="546">
        <f>((C17+C18+C28+C29)*C267)-(C50+C51+C61+C62)</f>
        <v>7690215.904024031</v>
      </c>
      <c r="D269" s="568">
        <f>((D17+D18+D28+D29)*D267)-(D50+D51+D61+D62)</f>
        <v>9694552.8669494465</v>
      </c>
      <c r="E269" s="546">
        <f t="shared" si="30"/>
        <v>2004336.9629254155</v>
      </c>
    </row>
    <row r="270" spans="1:5" s="569" customFormat="1" x14ac:dyDescent="0.2">
      <c r="A270" s="570">
        <v>13</v>
      </c>
      <c r="B270" s="571" t="s">
        <v>811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812</v>
      </c>
      <c r="C271" s="546">
        <f>+C268+C269+C270</f>
        <v>13980900.819966368</v>
      </c>
      <c r="D271" s="546">
        <f>+D268+D269+D270</f>
        <v>16326893.592775518</v>
      </c>
      <c r="E271" s="549">
        <f t="shared" si="30"/>
        <v>2345992.7728091497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813</v>
      </c>
      <c r="B273" s="550" t="s">
        <v>814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815</v>
      </c>
      <c r="C275" s="340"/>
      <c r="D275" s="340"/>
      <c r="E275" s="520"/>
    </row>
    <row r="276" spans="1:5" x14ac:dyDescent="0.2">
      <c r="A276" s="512">
        <v>1</v>
      </c>
      <c r="B276" s="511" t="s">
        <v>623</v>
      </c>
      <c r="C276" s="547">
        <f t="shared" ref="C276:D284" si="31">IF(C14=0,0,+C47/C14)</f>
        <v>0.63150169857379701</v>
      </c>
      <c r="D276" s="547">
        <f t="shared" si="31"/>
        <v>0.62011324207153651</v>
      </c>
      <c r="E276" s="574">
        <f t="shared" ref="E276:E284" si="32">D276-C276</f>
        <v>-1.1388456502260502E-2</v>
      </c>
    </row>
    <row r="277" spans="1:5" x14ac:dyDescent="0.2">
      <c r="A277" s="512">
        <v>2</v>
      </c>
      <c r="B277" s="511" t="s">
        <v>602</v>
      </c>
      <c r="C277" s="547">
        <f t="shared" si="31"/>
        <v>0.42652061239907019</v>
      </c>
      <c r="D277" s="547">
        <f t="shared" si="31"/>
        <v>0.41736262879218833</v>
      </c>
      <c r="E277" s="574">
        <f t="shared" si="32"/>
        <v>-9.1579836068818588E-3</v>
      </c>
    </row>
    <row r="278" spans="1:5" x14ac:dyDescent="0.2">
      <c r="A278" s="512">
        <v>3</v>
      </c>
      <c r="B278" s="511" t="s">
        <v>748</v>
      </c>
      <c r="C278" s="547">
        <f t="shared" si="31"/>
        <v>0.3710159254919061</v>
      </c>
      <c r="D278" s="547">
        <f t="shared" si="31"/>
        <v>0.35287417273128246</v>
      </c>
      <c r="E278" s="574">
        <f t="shared" si="32"/>
        <v>-1.8141752760623631E-2</v>
      </c>
    </row>
    <row r="279" spans="1:5" x14ac:dyDescent="0.2">
      <c r="A279" s="512">
        <v>4</v>
      </c>
      <c r="B279" s="511" t="s">
        <v>114</v>
      </c>
      <c r="C279" s="547">
        <f t="shared" si="31"/>
        <v>0.42400259241162636</v>
      </c>
      <c r="D279" s="547">
        <f t="shared" si="31"/>
        <v>0.37837010075532573</v>
      </c>
      <c r="E279" s="574">
        <f t="shared" si="32"/>
        <v>-4.5632491656300622E-2</v>
      </c>
    </row>
    <row r="280" spans="1:5" x14ac:dyDescent="0.2">
      <c r="A280" s="512">
        <v>5</v>
      </c>
      <c r="B280" s="511" t="s">
        <v>715</v>
      </c>
      <c r="C280" s="547">
        <f t="shared" si="31"/>
        <v>0.19102993033068311</v>
      </c>
      <c r="D280" s="547">
        <f t="shared" si="31"/>
        <v>0.15163164859737641</v>
      </c>
      <c r="E280" s="574">
        <f t="shared" si="32"/>
        <v>-3.93982817333067E-2</v>
      </c>
    </row>
    <row r="281" spans="1:5" x14ac:dyDescent="0.2">
      <c r="A281" s="512">
        <v>6</v>
      </c>
      <c r="B281" s="511" t="s">
        <v>418</v>
      </c>
      <c r="C281" s="547">
        <f t="shared" si="31"/>
        <v>0.3219784823953673</v>
      </c>
      <c r="D281" s="547">
        <f t="shared" si="31"/>
        <v>0.41023956292508879</v>
      </c>
      <c r="E281" s="574">
        <f t="shared" si="32"/>
        <v>8.8261080529721481E-2</v>
      </c>
    </row>
    <row r="282" spans="1:5" x14ac:dyDescent="0.2">
      <c r="A282" s="512">
        <v>7</v>
      </c>
      <c r="B282" s="511" t="s">
        <v>730</v>
      </c>
      <c r="C282" s="547">
        <f t="shared" si="31"/>
        <v>3.1402206195904621E-2</v>
      </c>
      <c r="D282" s="547">
        <f t="shared" si="31"/>
        <v>2.6093160193932936E-2</v>
      </c>
      <c r="E282" s="574">
        <f t="shared" si="32"/>
        <v>-5.3090460019716845E-3</v>
      </c>
    </row>
    <row r="283" spans="1:5" ht="29.25" customHeight="1" x14ac:dyDescent="0.2">
      <c r="A283" s="512"/>
      <c r="B283" s="516" t="s">
        <v>816</v>
      </c>
      <c r="C283" s="575">
        <f t="shared" si="31"/>
        <v>0.41710442205501053</v>
      </c>
      <c r="D283" s="575">
        <f t="shared" si="31"/>
        <v>0.40580420125832328</v>
      </c>
      <c r="E283" s="576">
        <f t="shared" si="32"/>
        <v>-1.1300220796687244E-2</v>
      </c>
    </row>
    <row r="284" spans="1:5" x14ac:dyDescent="0.2">
      <c r="A284" s="512"/>
      <c r="B284" s="516" t="s">
        <v>817</v>
      </c>
      <c r="C284" s="575">
        <f t="shared" si="31"/>
        <v>0.47741815686412142</v>
      </c>
      <c r="D284" s="575">
        <f t="shared" si="31"/>
        <v>0.46812086298896</v>
      </c>
      <c r="E284" s="576">
        <f t="shared" si="32"/>
        <v>-9.2972938751614276E-3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818</v>
      </c>
      <c r="C286" s="520"/>
      <c r="D286" s="520"/>
      <c r="E286" s="520"/>
    </row>
    <row r="287" spans="1:5" x14ac:dyDescent="0.2">
      <c r="A287" s="512">
        <v>1</v>
      </c>
      <c r="B287" s="511" t="s">
        <v>623</v>
      </c>
      <c r="C287" s="547">
        <f t="shared" ref="C287:D295" si="33">IF(C25=0,0,+C58/C25)</f>
        <v>0.63086978270538108</v>
      </c>
      <c r="D287" s="547">
        <f t="shared" si="33"/>
        <v>0.63172027314896972</v>
      </c>
      <c r="E287" s="574">
        <f t="shared" ref="E287:E295" si="34">D287-C287</f>
        <v>8.5049044358864734E-4</v>
      </c>
    </row>
    <row r="288" spans="1:5" x14ac:dyDescent="0.2">
      <c r="A288" s="512">
        <v>2</v>
      </c>
      <c r="B288" s="511" t="s">
        <v>602</v>
      </c>
      <c r="C288" s="547">
        <f t="shared" si="33"/>
        <v>0.32486609642913827</v>
      </c>
      <c r="D288" s="547">
        <f t="shared" si="33"/>
        <v>0.31368396036485569</v>
      </c>
      <c r="E288" s="574">
        <f t="shared" si="34"/>
        <v>-1.1182136064282588E-2</v>
      </c>
    </row>
    <row r="289" spans="1:5" x14ac:dyDescent="0.2">
      <c r="A289" s="512">
        <v>3</v>
      </c>
      <c r="B289" s="511" t="s">
        <v>748</v>
      </c>
      <c r="C289" s="547">
        <f t="shared" si="33"/>
        <v>0.28139767345028516</v>
      </c>
      <c r="D289" s="547">
        <f t="shared" si="33"/>
        <v>0.26547546205637113</v>
      </c>
      <c r="E289" s="574">
        <f t="shared" si="34"/>
        <v>-1.5922211393914032E-2</v>
      </c>
    </row>
    <row r="290" spans="1:5" x14ac:dyDescent="0.2">
      <c r="A290" s="512">
        <v>4</v>
      </c>
      <c r="B290" s="511" t="s">
        <v>114</v>
      </c>
      <c r="C290" s="547">
        <f t="shared" si="33"/>
        <v>0.32413547796448883</v>
      </c>
      <c r="D290" s="547">
        <f t="shared" si="33"/>
        <v>0.29609497011754993</v>
      </c>
      <c r="E290" s="574">
        <f t="shared" si="34"/>
        <v>-2.80405078469389E-2</v>
      </c>
    </row>
    <row r="291" spans="1:5" x14ac:dyDescent="0.2">
      <c r="A291" s="512">
        <v>5</v>
      </c>
      <c r="B291" s="511" t="s">
        <v>715</v>
      </c>
      <c r="C291" s="547">
        <f t="shared" si="33"/>
        <v>0.12052550208142923</v>
      </c>
      <c r="D291" s="547">
        <f t="shared" si="33"/>
        <v>7.7490892923100463E-2</v>
      </c>
      <c r="E291" s="574">
        <f t="shared" si="34"/>
        <v>-4.3034609158328768E-2</v>
      </c>
    </row>
    <row r="292" spans="1:5" x14ac:dyDescent="0.2">
      <c r="A292" s="512">
        <v>6</v>
      </c>
      <c r="B292" s="511" t="s">
        <v>418</v>
      </c>
      <c r="C292" s="547">
        <f t="shared" si="33"/>
        <v>0.32197837957681757</v>
      </c>
      <c r="D292" s="547">
        <f t="shared" si="33"/>
        <v>0.41023863458834559</v>
      </c>
      <c r="E292" s="574">
        <f t="shared" si="34"/>
        <v>8.826025501152801E-2</v>
      </c>
    </row>
    <row r="293" spans="1:5" x14ac:dyDescent="0.2">
      <c r="A293" s="512">
        <v>7</v>
      </c>
      <c r="B293" s="511" t="s">
        <v>730</v>
      </c>
      <c r="C293" s="547">
        <f t="shared" si="33"/>
        <v>5.2937572467587228E-2</v>
      </c>
      <c r="D293" s="547">
        <f t="shared" si="33"/>
        <v>6.9851567695434227E-2</v>
      </c>
      <c r="E293" s="574">
        <f t="shared" si="34"/>
        <v>1.6913995227846999E-2</v>
      </c>
    </row>
    <row r="294" spans="1:5" ht="29.25" customHeight="1" x14ac:dyDescent="0.2">
      <c r="A294" s="512"/>
      <c r="B294" s="516" t="s">
        <v>819</v>
      </c>
      <c r="C294" s="575">
        <f t="shared" si="33"/>
        <v>0.31082524110366255</v>
      </c>
      <c r="D294" s="575">
        <f t="shared" si="33"/>
        <v>0.2969237834631635</v>
      </c>
      <c r="E294" s="576">
        <f t="shared" si="34"/>
        <v>-1.3901457640499049E-2</v>
      </c>
    </row>
    <row r="295" spans="1:5" x14ac:dyDescent="0.2">
      <c r="A295" s="512"/>
      <c r="B295" s="516" t="s">
        <v>820</v>
      </c>
      <c r="C295" s="575">
        <f t="shared" si="33"/>
        <v>0.47660783625328057</v>
      </c>
      <c r="D295" s="575">
        <f t="shared" si="33"/>
        <v>0.46599021646088551</v>
      </c>
      <c r="E295" s="576">
        <f t="shared" si="34"/>
        <v>-1.0617619792395061E-2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821</v>
      </c>
      <c r="B297" s="501" t="s">
        <v>822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823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621</v>
      </c>
      <c r="C301" s="514">
        <f>+C48+C47+C50+C51+C52+C59+C58+C61+C62+C63</f>
        <v>165821047</v>
      </c>
      <c r="D301" s="514">
        <f>+D48+D47+D50+D51+D52+D59+D58+D61+D62+D63</f>
        <v>175072186</v>
      </c>
      <c r="E301" s="514">
        <f>D301-C301</f>
        <v>9251139</v>
      </c>
    </row>
    <row r="302" spans="1:5" ht="25.5" x14ac:dyDescent="0.2">
      <c r="A302" s="512">
        <v>2</v>
      </c>
      <c r="B302" s="511" t="s">
        <v>824</v>
      </c>
      <c r="C302" s="546">
        <f>C265</f>
        <v>1261662</v>
      </c>
      <c r="D302" s="546">
        <f>D265</f>
        <v>1215043</v>
      </c>
      <c r="E302" s="514">
        <f>D302-C302</f>
        <v>-46619</v>
      </c>
    </row>
    <row r="303" spans="1:5" x14ac:dyDescent="0.2">
      <c r="A303" s="512"/>
      <c r="B303" s="516" t="s">
        <v>825</v>
      </c>
      <c r="C303" s="517">
        <f>+C301+C302</f>
        <v>167082709</v>
      </c>
      <c r="D303" s="517">
        <f>+D301+D302</f>
        <v>176287229</v>
      </c>
      <c r="E303" s="517">
        <f>D303-C303</f>
        <v>9204520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826</v>
      </c>
      <c r="C305" s="513">
        <v>5387626</v>
      </c>
      <c r="D305" s="578">
        <v>5734923</v>
      </c>
      <c r="E305" s="579">
        <f>D305-C305</f>
        <v>347297</v>
      </c>
    </row>
    <row r="306" spans="1:5" x14ac:dyDescent="0.2">
      <c r="A306" s="512">
        <v>4</v>
      </c>
      <c r="B306" s="516" t="s">
        <v>827</v>
      </c>
      <c r="C306" s="580">
        <f>+C303+C305</f>
        <v>172470335</v>
      </c>
      <c r="D306" s="580">
        <f>+D303+D305</f>
        <v>182022152</v>
      </c>
      <c r="E306" s="580">
        <f>D306-C306</f>
        <v>9551817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828</v>
      </c>
      <c r="C308" s="513">
        <v>172470335</v>
      </c>
      <c r="D308" s="513">
        <v>182022152</v>
      </c>
      <c r="E308" s="514">
        <f>D308-C308</f>
        <v>9551817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829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830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831</v>
      </c>
      <c r="C314" s="514">
        <f>+C14+C15+C16+C19+C25+C26+C27+C30</f>
        <v>347627051</v>
      </c>
      <c r="D314" s="514">
        <f>+D14+D15+D16+D19+D25+D26+D27+D30</f>
        <v>374870862</v>
      </c>
      <c r="E314" s="514">
        <f>D314-C314</f>
        <v>27243811</v>
      </c>
    </row>
    <row r="315" spans="1:5" x14ac:dyDescent="0.2">
      <c r="A315" s="512">
        <v>2</v>
      </c>
      <c r="B315" s="583" t="s">
        <v>832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833</v>
      </c>
      <c r="C316" s="581">
        <f>C314+C315</f>
        <v>347627051</v>
      </c>
      <c r="D316" s="581">
        <f>D314+D315</f>
        <v>374870862</v>
      </c>
      <c r="E316" s="517">
        <f>D316-C316</f>
        <v>27243811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834</v>
      </c>
      <c r="C318" s="513">
        <v>347627051</v>
      </c>
      <c r="D318" s="513">
        <v>374870862</v>
      </c>
      <c r="E318" s="514">
        <f>D318-C318</f>
        <v>27243811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829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835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836</v>
      </c>
      <c r="C324" s="513">
        <f>+C193+C194</f>
        <v>13088202</v>
      </c>
      <c r="D324" s="513">
        <f>+D193+D194</f>
        <v>14103525</v>
      </c>
      <c r="E324" s="514">
        <f>D324-C324</f>
        <v>1015323</v>
      </c>
    </row>
    <row r="325" spans="1:5" x14ac:dyDescent="0.2">
      <c r="A325" s="512">
        <v>2</v>
      </c>
      <c r="B325" s="511" t="s">
        <v>837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838</v>
      </c>
      <c r="C326" s="581">
        <f>C324+C325</f>
        <v>13088202</v>
      </c>
      <c r="D326" s="581">
        <f>D324+D325</f>
        <v>14103525</v>
      </c>
      <c r="E326" s="517">
        <f>D326-C326</f>
        <v>1015323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839</v>
      </c>
      <c r="C328" s="513">
        <v>13088202</v>
      </c>
      <c r="D328" s="513">
        <v>14103525</v>
      </c>
      <c r="E328" s="514">
        <f>D328-C328</f>
        <v>1015323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840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FILING&amp;RMIDSTATE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4" sqref="A4:C4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593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841</v>
      </c>
      <c r="B5" s="696"/>
      <c r="C5" s="697"/>
      <c r="D5" s="585"/>
    </row>
    <row r="6" spans="1:58" s="338" customFormat="1" ht="15.75" customHeight="1" x14ac:dyDescent="0.25">
      <c r="A6" s="695" t="s">
        <v>842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843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844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747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623</v>
      </c>
      <c r="C14" s="513">
        <v>52683600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602</v>
      </c>
      <c r="C15" s="515">
        <v>105242796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748</v>
      </c>
      <c r="C16" s="515">
        <v>23003106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20416489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715</v>
      </c>
      <c r="C18" s="515">
        <v>2586617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251124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730</v>
      </c>
      <c r="C20" s="515">
        <v>3934556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749</v>
      </c>
      <c r="C21" s="517">
        <f>SUM(C15+C16+C19)</f>
        <v>128497026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689</v>
      </c>
      <c r="C22" s="517">
        <f>SUM(C14+C21)</f>
        <v>181180626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750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623</v>
      </c>
      <c r="C25" s="513">
        <v>97810217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602</v>
      </c>
      <c r="C26" s="515">
        <v>61316189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748</v>
      </c>
      <c r="C27" s="515">
        <v>34154166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29370249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715</v>
      </c>
      <c r="C29" s="515">
        <v>4783917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409664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730</v>
      </c>
      <c r="C31" s="518">
        <v>7741172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751</v>
      </c>
      <c r="C32" s="517">
        <f>SUM(C26+C27+C30)</f>
        <v>95880019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695</v>
      </c>
      <c r="C33" s="517">
        <f>SUM(C25+C32)</f>
        <v>193690236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620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845</v>
      </c>
      <c r="C36" s="514">
        <f>SUM(C14+C25)</f>
        <v>150493817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846</v>
      </c>
      <c r="C37" s="518">
        <f>SUM(C21+C32)</f>
        <v>224377045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620</v>
      </c>
      <c r="C38" s="517">
        <f>SUM(+C36+C37)</f>
        <v>374870862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760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623</v>
      </c>
      <c r="C41" s="513">
        <v>32669798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602</v>
      </c>
      <c r="C42" s="515">
        <v>43924410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748</v>
      </c>
      <c r="C43" s="515">
        <v>8117202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7724989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715</v>
      </c>
      <c r="C45" s="515">
        <v>392213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103021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730</v>
      </c>
      <c r="C47" s="515">
        <v>102665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761</v>
      </c>
      <c r="C48" s="517">
        <f>SUM(C42+C43+C46)</f>
        <v>52144633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690</v>
      </c>
      <c r="C49" s="517">
        <f>SUM(C41+C48)</f>
        <v>84814431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762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623</v>
      </c>
      <c r="C52" s="513">
        <v>61788697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602</v>
      </c>
      <c r="C53" s="515">
        <v>19233905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748</v>
      </c>
      <c r="C54" s="515">
        <v>9067093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8696383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715</v>
      </c>
      <c r="C56" s="515">
        <v>370710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168060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730</v>
      </c>
      <c r="C58" s="515">
        <v>540733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763</v>
      </c>
      <c r="C59" s="517">
        <f>SUM(C53+C54+C57)</f>
        <v>28469058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696</v>
      </c>
      <c r="C60" s="517">
        <f>SUM(C52+C59)</f>
        <v>90257755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621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847</v>
      </c>
      <c r="C63" s="514">
        <f>SUM(C41+C52)</f>
        <v>94458495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848</v>
      </c>
      <c r="C64" s="518">
        <f>SUM(C48+C59)</f>
        <v>80613691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621</v>
      </c>
      <c r="C65" s="517">
        <f>SUM(+C63+C64)</f>
        <v>175072186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849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850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623</v>
      </c>
      <c r="C70" s="530">
        <v>3270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602</v>
      </c>
      <c r="C71" s="530">
        <v>4619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748</v>
      </c>
      <c r="C72" s="530">
        <v>1909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1741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715</v>
      </c>
      <c r="C74" s="530">
        <v>168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730</v>
      </c>
      <c r="C76" s="545">
        <v>234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778</v>
      </c>
      <c r="C77" s="532">
        <f>SUM(C71+C72+C75)</f>
        <v>6548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692</v>
      </c>
      <c r="C78" s="596">
        <f>SUM(C70+C77)</f>
        <v>9818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783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623</v>
      </c>
      <c r="C81" s="541">
        <v>1.03484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602</v>
      </c>
      <c r="C82" s="541">
        <v>1.4248700000000001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748</v>
      </c>
      <c r="C83" s="541">
        <f>((C73*C84)+(C74*C85))/(C73+C74)</f>
        <v>0.84003761655316911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0.81113000000000002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715</v>
      </c>
      <c r="C85" s="541">
        <v>1.13961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1.12174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730</v>
      </c>
      <c r="C87" s="541">
        <v>1.07494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784</v>
      </c>
      <c r="C88" s="543">
        <f>((C71*C82)+(C73*C84)+(C74*C85)+(C75*C86))/(C71+C73+C74+C75)</f>
        <v>1.2534424465485647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693</v>
      </c>
      <c r="C89" s="543">
        <f>((C70*C81)+(C71*C82)+(C73*C84)+(C74*C85)+(C75*C86))/(C70+C71+C73+C74+C75)</f>
        <v>1.1806343389692404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785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786</v>
      </c>
      <c r="C92" s="513">
        <v>132260378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787</v>
      </c>
      <c r="C93" s="546">
        <v>93181255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635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719</v>
      </c>
      <c r="C95" s="513">
        <f>+C92-C93</f>
        <v>39079123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637</v>
      </c>
      <c r="C96" s="597">
        <f>(+C92-C93)/C92</f>
        <v>0.29547112741504489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734</v>
      </c>
      <c r="C98" s="513">
        <v>5000636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720</v>
      </c>
      <c r="C99" s="513">
        <v>2852678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851</v>
      </c>
      <c r="C101" s="513">
        <v>1215043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789</v>
      </c>
      <c r="C103" s="513">
        <v>3637983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790</v>
      </c>
      <c r="C104" s="513">
        <v>10465542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791</v>
      </c>
      <c r="C105" s="578">
        <f>+C103+C104</f>
        <v>14103525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792</v>
      </c>
      <c r="C107" s="513">
        <v>18695433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677</v>
      </c>
      <c r="C108" s="513">
        <v>190181772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822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823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621</v>
      </c>
      <c r="C114" s="514">
        <f>+C65</f>
        <v>175072186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824</v>
      </c>
      <c r="C115" s="546">
        <f>+C101</f>
        <v>1215043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825</v>
      </c>
      <c r="C116" s="517">
        <f>+C114+C115</f>
        <v>176287229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826</v>
      </c>
      <c r="C118" s="578">
        <v>5734923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827</v>
      </c>
      <c r="C119" s="580">
        <f>+C116+C118</f>
        <v>182022152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828</v>
      </c>
      <c r="C121" s="513">
        <v>182022152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829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830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831</v>
      </c>
      <c r="C127" s="514">
        <f>+C38</f>
        <v>374870862</v>
      </c>
      <c r="D127" s="588"/>
      <c r="AR127" s="507"/>
    </row>
    <row r="128" spans="1:58" s="506" customFormat="1" x14ac:dyDescent="0.2">
      <c r="A128" s="512">
        <v>2</v>
      </c>
      <c r="B128" s="583" t="s">
        <v>832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833</v>
      </c>
      <c r="C129" s="581">
        <f>C127+C128</f>
        <v>374870862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834</v>
      </c>
      <c r="C131" s="513">
        <v>374870862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829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835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836</v>
      </c>
      <c r="C137" s="513">
        <f>C105</f>
        <v>14103525</v>
      </c>
      <c r="D137" s="588"/>
      <c r="AR137" s="507"/>
    </row>
    <row r="138" spans="1:44" s="506" customFormat="1" x14ac:dyDescent="0.2">
      <c r="A138" s="512">
        <v>2</v>
      </c>
      <c r="B138" s="511" t="s">
        <v>852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838</v>
      </c>
      <c r="C139" s="581">
        <f>C137+C138</f>
        <v>14103525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853</v>
      </c>
      <c r="C141" s="513">
        <v>14103525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840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FILING&amp;RMIDSTATE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2" zoomScale="75" zoomScaleSheetLayoutView="90" workbookViewId="0">
      <selection activeCell="A2" sqref="A2:F2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854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597</v>
      </c>
      <c r="D8" s="35" t="s">
        <v>597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599</v>
      </c>
      <c r="D9" s="607" t="s">
        <v>600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855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856</v>
      </c>
      <c r="C12" s="49">
        <v>5649</v>
      </c>
      <c r="D12" s="49">
        <v>5869</v>
      </c>
      <c r="E12" s="49">
        <f>+D12-C12</f>
        <v>220</v>
      </c>
      <c r="F12" s="70">
        <f>IF(C12=0,0,+E12/C12)</f>
        <v>3.8944946008143036E-2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857</v>
      </c>
      <c r="C13" s="49">
        <v>5367</v>
      </c>
      <c r="D13" s="49">
        <v>5576</v>
      </c>
      <c r="E13" s="49">
        <f>+D13-C13</f>
        <v>209</v>
      </c>
      <c r="F13" s="70">
        <f>IF(C13=0,0,+E13/C13)</f>
        <v>3.8941680640953977E-2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858</v>
      </c>
      <c r="C15" s="51">
        <v>3370587</v>
      </c>
      <c r="D15" s="51">
        <v>3637983</v>
      </c>
      <c r="E15" s="51">
        <f>+D15-C15</f>
        <v>267396</v>
      </c>
      <c r="F15" s="70">
        <f>IF(C15=0,0,+E15/C15)</f>
        <v>7.9332175671477989E-2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859</v>
      </c>
      <c r="C16" s="27">
        <f>IF(C13=0,0,+C15/+C13)</f>
        <v>628.02068194522076</v>
      </c>
      <c r="D16" s="27">
        <f>IF(D13=0,0,+D15/+D13)</f>
        <v>652.43597560975604</v>
      </c>
      <c r="E16" s="27">
        <f>+D16-C16</f>
        <v>24.415293664535284</v>
      </c>
      <c r="F16" s="28">
        <f>IF(C16=0,0,+E16/C16)</f>
        <v>3.8876575830133112E-2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860</v>
      </c>
      <c r="C18" s="210">
        <v>0.47645599999999999</v>
      </c>
      <c r="D18" s="210">
        <v>0.48923</v>
      </c>
      <c r="E18" s="210">
        <f>+D18-C18</f>
        <v>1.2774000000000008E-2</v>
      </c>
      <c r="F18" s="70">
        <f>IF(C18=0,0,+E18/C18)</f>
        <v>2.6810450492805227E-2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861</v>
      </c>
      <c r="C19" s="27">
        <f>+C15*C18</f>
        <v>1605936.399672</v>
      </c>
      <c r="D19" s="27">
        <f>+D15*D18</f>
        <v>1779810.4230899999</v>
      </c>
      <c r="E19" s="27">
        <f>+D19-C19</f>
        <v>173874.02341799997</v>
      </c>
      <c r="F19" s="28">
        <f>IF(C19=0,0,+E19/C19)</f>
        <v>0.10826955753260988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862</v>
      </c>
      <c r="C20" s="27">
        <f>IF(C13=0,0,+C19/C13)</f>
        <v>299.22422203689212</v>
      </c>
      <c r="D20" s="27">
        <f>IF(D13=0,0,+D19/D13)</f>
        <v>319.19125234756098</v>
      </c>
      <c r="E20" s="27">
        <f>+D20-C20</f>
        <v>19.967030310668861</v>
      </c>
      <c r="F20" s="28">
        <f>IF(C20=0,0,+E20/C20)</f>
        <v>6.672932483456194E-2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863</v>
      </c>
      <c r="C22" s="51">
        <v>1633562</v>
      </c>
      <c r="D22" s="51">
        <v>1487724</v>
      </c>
      <c r="E22" s="51">
        <f>+D22-C22</f>
        <v>-145838</v>
      </c>
      <c r="F22" s="70">
        <f>IF(C22=0,0,+E22/C22)</f>
        <v>-8.9276072778382454E-2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864</v>
      </c>
      <c r="C23" s="49">
        <v>486975</v>
      </c>
      <c r="D23" s="49">
        <v>694885</v>
      </c>
      <c r="E23" s="49">
        <f>+D23-C23</f>
        <v>207910</v>
      </c>
      <c r="F23" s="70">
        <f>IF(C23=0,0,+E23/C23)</f>
        <v>0.42694183479644748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865</v>
      </c>
      <c r="C24" s="49">
        <v>1250050</v>
      </c>
      <c r="D24" s="49">
        <v>1455374</v>
      </c>
      <c r="E24" s="49">
        <f>+D24-C24</f>
        <v>205324</v>
      </c>
      <c r="F24" s="70">
        <f>IF(C24=0,0,+E24/C24)</f>
        <v>0.16425262989480421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858</v>
      </c>
      <c r="C25" s="27">
        <f>+C22+C23+C24</f>
        <v>3370587</v>
      </c>
      <c r="D25" s="27">
        <f>+D22+D23+D24</f>
        <v>3637983</v>
      </c>
      <c r="E25" s="27">
        <f>+E22+E23+E24</f>
        <v>267396</v>
      </c>
      <c r="F25" s="28">
        <f>IF(C25=0,0,+E25/C25)</f>
        <v>7.9332175671477989E-2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866</v>
      </c>
      <c r="C27" s="49">
        <v>610</v>
      </c>
      <c r="D27" s="49">
        <v>594</v>
      </c>
      <c r="E27" s="49">
        <f>+D27-C27</f>
        <v>-16</v>
      </c>
      <c r="F27" s="70">
        <f>IF(C27=0,0,+E27/C27)</f>
        <v>-2.6229508196721311E-2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867</v>
      </c>
      <c r="C28" s="49">
        <v>363</v>
      </c>
      <c r="D28" s="49">
        <v>362</v>
      </c>
      <c r="E28" s="49">
        <f>+D28-C28</f>
        <v>-1</v>
      </c>
      <c r="F28" s="70">
        <f>IF(C28=0,0,+E28/C28)</f>
        <v>-2.7548209366391185E-3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868</v>
      </c>
      <c r="C29" s="49">
        <v>7166</v>
      </c>
      <c r="D29" s="49">
        <v>7683</v>
      </c>
      <c r="E29" s="49">
        <f>+D29-C29</f>
        <v>517</v>
      </c>
      <c r="F29" s="70">
        <f>IF(C29=0,0,+E29/C29)</f>
        <v>7.2146246162433716E-2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869</v>
      </c>
      <c r="C30" s="49">
        <v>998</v>
      </c>
      <c r="D30" s="49">
        <v>1184</v>
      </c>
      <c r="E30" s="49">
        <f>+D30-C30</f>
        <v>186</v>
      </c>
      <c r="F30" s="70">
        <f>IF(C30=0,0,+E30/C30)</f>
        <v>0.18637274549098196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870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871</v>
      </c>
      <c r="C33" s="51">
        <v>3009219</v>
      </c>
      <c r="D33" s="51">
        <v>3813934</v>
      </c>
      <c r="E33" s="51">
        <f>+D33-C33</f>
        <v>804715</v>
      </c>
      <c r="F33" s="70">
        <f>IF(C33=0,0,+E33/C33)</f>
        <v>0.26741656223757726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872</v>
      </c>
      <c r="C34" s="49">
        <v>1744183</v>
      </c>
      <c r="D34" s="49">
        <v>1555764</v>
      </c>
      <c r="E34" s="49">
        <f>+D34-C34</f>
        <v>-188419</v>
      </c>
      <c r="F34" s="70">
        <f>IF(C34=0,0,+E34/C34)</f>
        <v>-0.1080270820206366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873</v>
      </c>
      <c r="C35" s="49">
        <v>4964213</v>
      </c>
      <c r="D35" s="49">
        <v>5095844</v>
      </c>
      <c r="E35" s="49">
        <f>+D35-C35</f>
        <v>131631</v>
      </c>
      <c r="F35" s="70">
        <f>IF(C35=0,0,+E35/C35)</f>
        <v>2.6515985514723079E-2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874</v>
      </c>
      <c r="C36" s="27">
        <f>+C33+C34+C35</f>
        <v>9717615</v>
      </c>
      <c r="D36" s="27">
        <f>+D33+D34+D35</f>
        <v>10465542</v>
      </c>
      <c r="E36" s="27">
        <f>+E33+E34+E35</f>
        <v>747927</v>
      </c>
      <c r="F36" s="28">
        <f>IF(C36=0,0,+E36/C36)</f>
        <v>7.6966107424506935E-2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875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876</v>
      </c>
      <c r="C39" s="51">
        <f>+C25</f>
        <v>3370587</v>
      </c>
      <c r="D39" s="51">
        <f>+D25</f>
        <v>3637983</v>
      </c>
      <c r="E39" s="51">
        <f>+D39-C39</f>
        <v>267396</v>
      </c>
      <c r="F39" s="70">
        <f>IF(C39=0,0,+E39/C39)</f>
        <v>7.9332175671477989E-2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877</v>
      </c>
      <c r="C40" s="49">
        <f>+C36</f>
        <v>9717615</v>
      </c>
      <c r="D40" s="49">
        <f>+D36</f>
        <v>10465542</v>
      </c>
      <c r="E40" s="49">
        <f>+D40-C40</f>
        <v>747927</v>
      </c>
      <c r="F40" s="70">
        <f>IF(C40=0,0,+E40/C40)</f>
        <v>7.6966107424506935E-2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878</v>
      </c>
      <c r="C41" s="27">
        <f>+C39+C40</f>
        <v>13088202</v>
      </c>
      <c r="D41" s="27">
        <f>+D39+D40</f>
        <v>14103525</v>
      </c>
      <c r="E41" s="27">
        <f>+E39+E40</f>
        <v>1015323</v>
      </c>
      <c r="F41" s="28">
        <f>IF(C41=0,0,+E41/C41)</f>
        <v>7.757543778740579E-2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879</v>
      </c>
      <c r="C43" s="51">
        <f t="shared" ref="C43:D45" si="0">+C22+C33</f>
        <v>4642781</v>
      </c>
      <c r="D43" s="51">
        <f t="shared" si="0"/>
        <v>5301658</v>
      </c>
      <c r="E43" s="51">
        <f>+D43-C43</f>
        <v>658877</v>
      </c>
      <c r="F43" s="70">
        <f>IF(C43=0,0,+E43/C43)</f>
        <v>0.14191429662523389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880</v>
      </c>
      <c r="C44" s="49">
        <f t="shared" si="0"/>
        <v>2231158</v>
      </c>
      <c r="D44" s="49">
        <f t="shared" si="0"/>
        <v>2250649</v>
      </c>
      <c r="E44" s="49">
        <f>+D44-C44</f>
        <v>19491</v>
      </c>
      <c r="F44" s="70">
        <f>IF(C44=0,0,+E44/C44)</f>
        <v>8.735822384609248E-3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881</v>
      </c>
      <c r="C45" s="49">
        <f t="shared" si="0"/>
        <v>6214263</v>
      </c>
      <c r="D45" s="49">
        <f t="shared" si="0"/>
        <v>6551218</v>
      </c>
      <c r="E45" s="49">
        <f>+D45-C45</f>
        <v>336955</v>
      </c>
      <c r="F45" s="70">
        <f>IF(C45=0,0,+E45/C45)</f>
        <v>5.4222841871996726E-2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878</v>
      </c>
      <c r="C46" s="27">
        <f>+C43+C44+C45</f>
        <v>13088202</v>
      </c>
      <c r="D46" s="27">
        <f>+D43+D44+D45</f>
        <v>14103525</v>
      </c>
      <c r="E46" s="27">
        <f>+E43+E44+E45</f>
        <v>1015323</v>
      </c>
      <c r="F46" s="28">
        <f>IF(C46=0,0,+E46/C46)</f>
        <v>7.757543778740579E-2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882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FILING&amp;RMIDSTATE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3" sqref="A3:F3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883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884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599</v>
      </c>
      <c r="D9" s="35" t="s">
        <v>600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885</v>
      </c>
      <c r="D10" s="35" t="s">
        <v>885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886</v>
      </c>
      <c r="D11" s="605" t="s">
        <v>886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887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123130052</v>
      </c>
      <c r="D15" s="51">
        <v>132260378</v>
      </c>
      <c r="E15" s="51">
        <f>+D15-C15</f>
        <v>9130326</v>
      </c>
      <c r="F15" s="70">
        <f>+E15/C15</f>
        <v>7.4151889418514985E-2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888</v>
      </c>
      <c r="C17" s="51">
        <v>35779715</v>
      </c>
      <c r="D17" s="51">
        <v>39079123</v>
      </c>
      <c r="E17" s="51">
        <f>+D17-C17</f>
        <v>3299408</v>
      </c>
      <c r="F17" s="70">
        <f>+E17/C17</f>
        <v>9.2214485218789471E-2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889</v>
      </c>
      <c r="C19" s="27">
        <f>+C15-C17</f>
        <v>87350337</v>
      </c>
      <c r="D19" s="27">
        <f>+D15-D17</f>
        <v>93181255</v>
      </c>
      <c r="E19" s="27">
        <f>+D19-C19</f>
        <v>5830918</v>
      </c>
      <c r="F19" s="28">
        <f>+E19/C19</f>
        <v>6.6753239887328661E-2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890</v>
      </c>
      <c r="C21" s="628">
        <f>+C17/C15</f>
        <v>0.29058474693083053</v>
      </c>
      <c r="D21" s="628">
        <f>+D17/D15</f>
        <v>0.29547112741504489</v>
      </c>
      <c r="E21" s="628">
        <f>+D21-C21</f>
        <v>4.8863804842143588E-3</v>
      </c>
      <c r="F21" s="28">
        <f>+E21/C21</f>
        <v>1.6815681262779738E-2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891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FILING&amp;R&amp;12MIDSTATE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892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893</v>
      </c>
      <c r="B6" s="632" t="s">
        <v>894</v>
      </c>
      <c r="C6" s="632" t="s">
        <v>895</v>
      </c>
      <c r="D6" s="632" t="s">
        <v>896</v>
      </c>
      <c r="E6" s="632" t="s">
        <v>897</v>
      </c>
    </row>
    <row r="7" spans="1:6" ht="37.5" customHeight="1" x14ac:dyDescent="0.25">
      <c r="A7" s="633" t="s">
        <v>8</v>
      </c>
      <c r="B7" s="634" t="s">
        <v>898</v>
      </c>
      <c r="C7" s="631" t="s">
        <v>899</v>
      </c>
      <c r="D7" s="631" t="s">
        <v>900</v>
      </c>
      <c r="E7" s="631" t="s">
        <v>901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902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903</v>
      </c>
      <c r="C10" s="641">
        <v>162954853</v>
      </c>
      <c r="D10" s="641">
        <v>171870736</v>
      </c>
      <c r="E10" s="641">
        <v>181180626</v>
      </c>
    </row>
    <row r="11" spans="1:6" ht="26.1" customHeight="1" x14ac:dyDescent="0.25">
      <c r="A11" s="639">
        <v>2</v>
      </c>
      <c r="B11" s="640" t="s">
        <v>904</v>
      </c>
      <c r="C11" s="641">
        <v>165498088</v>
      </c>
      <c r="D11" s="641">
        <v>175756315</v>
      </c>
      <c r="E11" s="641">
        <v>193690236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328452941</v>
      </c>
      <c r="D12" s="641">
        <f>+D11+D10</f>
        <v>347627051</v>
      </c>
      <c r="E12" s="641">
        <f>+E11+E10</f>
        <v>374870862</v>
      </c>
    </row>
    <row r="13" spans="1:6" ht="26.1" customHeight="1" x14ac:dyDescent="0.25">
      <c r="A13" s="639">
        <v>4</v>
      </c>
      <c r="B13" s="640" t="s">
        <v>484</v>
      </c>
      <c r="C13" s="641">
        <v>166466604</v>
      </c>
      <c r="D13" s="641">
        <v>172470335</v>
      </c>
      <c r="E13" s="641">
        <v>182022152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905</v>
      </c>
      <c r="C16" s="641">
        <v>167113696</v>
      </c>
      <c r="D16" s="641">
        <v>173269841</v>
      </c>
      <c r="E16" s="641">
        <v>190181772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906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45363</v>
      </c>
      <c r="D19" s="644">
        <v>42873</v>
      </c>
      <c r="E19" s="644">
        <v>42359</v>
      </c>
    </row>
    <row r="20" spans="1:5" ht="26.1" customHeight="1" x14ac:dyDescent="0.25">
      <c r="A20" s="639">
        <v>2</v>
      </c>
      <c r="B20" s="640" t="s">
        <v>373</v>
      </c>
      <c r="C20" s="645">
        <v>9722</v>
      </c>
      <c r="D20" s="645">
        <v>9955</v>
      </c>
      <c r="E20" s="645">
        <v>9818</v>
      </c>
    </row>
    <row r="21" spans="1:5" ht="26.1" customHeight="1" x14ac:dyDescent="0.25">
      <c r="A21" s="639">
        <v>3</v>
      </c>
      <c r="B21" s="640" t="s">
        <v>907</v>
      </c>
      <c r="C21" s="646">
        <f>IF(C20=0,0,+C19/C20)</f>
        <v>4.6660152232051022</v>
      </c>
      <c r="D21" s="646">
        <f>IF(D20=0,0,+D19/D20)</f>
        <v>4.3066800602712201</v>
      </c>
      <c r="E21" s="646">
        <f>IF(E20=0,0,+E19/E20)</f>
        <v>4.3144224893053575</v>
      </c>
    </row>
    <row r="22" spans="1:5" ht="26.1" customHeight="1" x14ac:dyDescent="0.25">
      <c r="A22" s="639">
        <v>4</v>
      </c>
      <c r="B22" s="640" t="s">
        <v>908</v>
      </c>
      <c r="C22" s="645">
        <f>IF(C10=0,0,C19*(C12/C10))</f>
        <v>91433.979953840346</v>
      </c>
      <c r="D22" s="645">
        <f>IF(D10=0,0,D19*(D12/D10))</f>
        <v>86715.25417522504</v>
      </c>
      <c r="E22" s="645">
        <f>IF(E10=0,0,E19*(E12/E10))</f>
        <v>87642.675676912622</v>
      </c>
    </row>
    <row r="23" spans="1:5" ht="26.1" customHeight="1" x14ac:dyDescent="0.25">
      <c r="A23" s="639">
        <v>0</v>
      </c>
      <c r="B23" s="640" t="s">
        <v>909</v>
      </c>
      <c r="C23" s="645">
        <f>IF(C10=0,0,C20*(C12/C10))</f>
        <v>19595.731171025636</v>
      </c>
      <c r="D23" s="645">
        <f>IF(D10=0,0,D20*(D12/D10))</f>
        <v>20135.058319090462</v>
      </c>
      <c r="E23" s="645">
        <f>IF(E10=0,0,E20*(E12/E10))</f>
        <v>20313.883467407824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910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1.1660980281835014</v>
      </c>
      <c r="D26" s="647">
        <v>1.1781655298844802</v>
      </c>
      <c r="E26" s="647">
        <v>1.1806343389692402</v>
      </c>
    </row>
    <row r="27" spans="1:5" ht="26.1" customHeight="1" x14ac:dyDescent="0.25">
      <c r="A27" s="639">
        <v>2</v>
      </c>
      <c r="B27" s="640" t="s">
        <v>911</v>
      </c>
      <c r="C27" s="645">
        <f>C19*C26</f>
        <v>52897.704852488176</v>
      </c>
      <c r="D27" s="645">
        <f>D19*D26</f>
        <v>50511.490762737318</v>
      </c>
      <c r="E27" s="645">
        <f>E19*E26</f>
        <v>50010.489964398046</v>
      </c>
    </row>
    <row r="28" spans="1:5" ht="26.1" customHeight="1" x14ac:dyDescent="0.25">
      <c r="A28" s="639">
        <v>3</v>
      </c>
      <c r="B28" s="640" t="s">
        <v>912</v>
      </c>
      <c r="C28" s="645">
        <f>C20*C26</f>
        <v>11336.805030000001</v>
      </c>
      <c r="D28" s="645">
        <f>D20*D26</f>
        <v>11728.637850000001</v>
      </c>
      <c r="E28" s="645">
        <f>E20*E26</f>
        <v>11591.46794</v>
      </c>
    </row>
    <row r="29" spans="1:5" ht="26.1" customHeight="1" x14ac:dyDescent="0.25">
      <c r="A29" s="639">
        <v>4</v>
      </c>
      <c r="B29" s="640" t="s">
        <v>913</v>
      </c>
      <c r="C29" s="645">
        <f>C22*C26</f>
        <v>106620.98373314302</v>
      </c>
      <c r="D29" s="645">
        <f>D22*D26</f>
        <v>102164.92338442139</v>
      </c>
      <c r="E29" s="645">
        <f>E22*E26</f>
        <v>103473.95246330724</v>
      </c>
    </row>
    <row r="30" spans="1:5" ht="26.1" customHeight="1" x14ac:dyDescent="0.25">
      <c r="A30" s="639">
        <v>5</v>
      </c>
      <c r="B30" s="640" t="s">
        <v>914</v>
      </c>
      <c r="C30" s="645">
        <f>C23*C26</f>
        <v>22850.543479346969</v>
      </c>
      <c r="D30" s="645">
        <f>D23*D26</f>
        <v>23722.431653766125</v>
      </c>
      <c r="E30" s="645">
        <f>E23*E26</f>
        <v>23983.268379441215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915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916</v>
      </c>
      <c r="C33" s="641">
        <f>IF(C19=0,0,C12/C19)</f>
        <v>7240.5471639882726</v>
      </c>
      <c r="D33" s="641">
        <f>IF(D19=0,0,D12/D19)</f>
        <v>8108.2977864856666</v>
      </c>
      <c r="E33" s="641">
        <f>IF(E19=0,0,E12/E19)</f>
        <v>8849.8515545692771</v>
      </c>
    </row>
    <row r="34" spans="1:5" ht="26.1" customHeight="1" x14ac:dyDescent="0.25">
      <c r="A34" s="639">
        <v>2</v>
      </c>
      <c r="B34" s="640" t="s">
        <v>917</v>
      </c>
      <c r="C34" s="641">
        <f>IF(C20=0,0,C12/C20)</f>
        <v>33784.503291503803</v>
      </c>
      <c r="D34" s="641">
        <f>IF(D20=0,0,D12/D20)</f>
        <v>34919.844399799098</v>
      </c>
      <c r="E34" s="641">
        <f>IF(E20=0,0,E12/E20)</f>
        <v>38181.99857404767</v>
      </c>
    </row>
    <row r="35" spans="1:5" ht="26.1" customHeight="1" x14ac:dyDescent="0.25">
      <c r="A35" s="639">
        <v>3</v>
      </c>
      <c r="B35" s="640" t="s">
        <v>918</v>
      </c>
      <c r="C35" s="641">
        <f>IF(C22=0,0,C12/C22)</f>
        <v>3592.2415404624912</v>
      </c>
      <c r="D35" s="641">
        <f>IF(D22=0,0,D12/D22)</f>
        <v>4008.8339047885615</v>
      </c>
      <c r="E35" s="641">
        <f>IF(E22=0,0,E12/E22)</f>
        <v>4277.2640052881316</v>
      </c>
    </row>
    <row r="36" spans="1:5" ht="26.1" customHeight="1" x14ac:dyDescent="0.25">
      <c r="A36" s="639">
        <v>4</v>
      </c>
      <c r="B36" s="640" t="s">
        <v>919</v>
      </c>
      <c r="C36" s="641">
        <f>IF(C23=0,0,C12/C23)</f>
        <v>16761.453713227729</v>
      </c>
      <c r="D36" s="641">
        <f>IF(D23=0,0,D12/D23)</f>
        <v>17264.765042692114</v>
      </c>
      <c r="E36" s="641">
        <f>IF(E23=0,0,E12/E23)</f>
        <v>18453.924017111425</v>
      </c>
    </row>
    <row r="37" spans="1:5" ht="26.1" customHeight="1" x14ac:dyDescent="0.25">
      <c r="A37" s="639">
        <v>5</v>
      </c>
      <c r="B37" s="640" t="s">
        <v>920</v>
      </c>
      <c r="C37" s="641">
        <f>IF(C29=0,0,C12/C29)</f>
        <v>3080.56565883945</v>
      </c>
      <c r="D37" s="641">
        <f>IF(D29=0,0,D12/D29)</f>
        <v>3402.606682255956</v>
      </c>
      <c r="E37" s="641">
        <f>IF(E29=0,0,E12/E29)</f>
        <v>3622.8524481359927</v>
      </c>
    </row>
    <row r="38" spans="1:5" ht="26.1" customHeight="1" x14ac:dyDescent="0.25">
      <c r="A38" s="639">
        <v>6</v>
      </c>
      <c r="B38" s="640" t="s">
        <v>921</v>
      </c>
      <c r="C38" s="641">
        <f>IF(C30=0,0,C12/C30)</f>
        <v>14373.966260227726</v>
      </c>
      <c r="D38" s="641">
        <f>IF(D30=0,0,D12/D30)</f>
        <v>14653.938351417335</v>
      </c>
      <c r="E38" s="641">
        <f>IF(E30=0,0,E12/E30)</f>
        <v>15630.516077672901</v>
      </c>
    </row>
    <row r="39" spans="1:5" ht="26.1" customHeight="1" x14ac:dyDescent="0.25">
      <c r="A39" s="639">
        <v>7</v>
      </c>
      <c r="B39" s="640" t="s">
        <v>922</v>
      </c>
      <c r="C39" s="641">
        <f>IF(C22=0,0,C10/C22)</f>
        <v>1782.2132765331482</v>
      </c>
      <c r="D39" s="641">
        <f>IF(D22=0,0,D10/D22)</f>
        <v>1982.0127108513311</v>
      </c>
      <c r="E39" s="641">
        <f>IF(E22=0,0,E10/E22)</f>
        <v>2067.2648866621462</v>
      </c>
    </row>
    <row r="40" spans="1:5" ht="26.1" customHeight="1" x14ac:dyDescent="0.25">
      <c r="A40" s="639">
        <v>8</v>
      </c>
      <c r="B40" s="640" t="s">
        <v>923</v>
      </c>
      <c r="C40" s="641">
        <f>IF(C23=0,0,C10/C23)</f>
        <v>8315.8342793019128</v>
      </c>
      <c r="D40" s="641">
        <f>IF(D23=0,0,D10/D23)</f>
        <v>8535.8946210275353</v>
      </c>
      <c r="E40" s="641">
        <f>IF(E23=0,0,E10/E23)</f>
        <v>8919.0541183664554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924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925</v>
      </c>
      <c r="C43" s="641">
        <f>IF(C19=0,0,C13/C19)</f>
        <v>3669.6559751339196</v>
      </c>
      <c r="D43" s="641">
        <f>IF(D19=0,0,D13/D19)</f>
        <v>4022.819373498472</v>
      </c>
      <c r="E43" s="641">
        <f>IF(E19=0,0,E13/E19)</f>
        <v>4297.130527160698</v>
      </c>
    </row>
    <row r="44" spans="1:5" ht="26.1" customHeight="1" x14ac:dyDescent="0.25">
      <c r="A44" s="639">
        <v>2</v>
      </c>
      <c r="B44" s="640" t="s">
        <v>926</v>
      </c>
      <c r="C44" s="641">
        <f>IF(C20=0,0,C13/C20)</f>
        <v>17122.670643900434</v>
      </c>
      <c r="D44" s="641">
        <f>IF(D20=0,0,D13/D20)</f>
        <v>17324.995981918633</v>
      </c>
      <c r="E44" s="641">
        <f>IF(E20=0,0,E13/E20)</f>
        <v>18539.6365858627</v>
      </c>
    </row>
    <row r="45" spans="1:5" ht="26.1" customHeight="1" x14ac:dyDescent="0.25">
      <c r="A45" s="639">
        <v>3</v>
      </c>
      <c r="B45" s="640" t="s">
        <v>927</v>
      </c>
      <c r="C45" s="641">
        <f>IF(C22=0,0,C13/C22)</f>
        <v>1820.6207810710987</v>
      </c>
      <c r="D45" s="641">
        <f>IF(D22=0,0,D13/D22)</f>
        <v>1988.9272843678707</v>
      </c>
      <c r="E45" s="641">
        <f>IF(E22=0,0,E13/E22)</f>
        <v>2076.8666701939751</v>
      </c>
    </row>
    <row r="46" spans="1:5" ht="26.1" customHeight="1" x14ac:dyDescent="0.25">
      <c r="A46" s="639">
        <v>4</v>
      </c>
      <c r="B46" s="640" t="s">
        <v>928</v>
      </c>
      <c r="C46" s="641">
        <f>IF(C23=0,0,C13/C23)</f>
        <v>8495.0442801613081</v>
      </c>
      <c r="D46" s="641">
        <f>IF(D23=0,0,D13/D23)</f>
        <v>8565.6734769164959</v>
      </c>
      <c r="E46" s="641">
        <f>IF(E23=0,0,E13/E23)</f>
        <v>8960.4802691736186</v>
      </c>
    </row>
    <row r="47" spans="1:5" ht="26.1" customHeight="1" x14ac:dyDescent="0.25">
      <c r="A47" s="639">
        <v>5</v>
      </c>
      <c r="B47" s="640" t="s">
        <v>929</v>
      </c>
      <c r="C47" s="641">
        <f>IF(C29=0,0,C13/C29)</f>
        <v>1561.2930791995125</v>
      </c>
      <c r="D47" s="641">
        <f>IF(D29=0,0,D13/D29)</f>
        <v>1688.1560645921174</v>
      </c>
      <c r="E47" s="641">
        <f>IF(E29=0,0,E13/E29)</f>
        <v>1759.1108454521116</v>
      </c>
    </row>
    <row r="48" spans="1:5" ht="26.1" customHeight="1" x14ac:dyDescent="0.25">
      <c r="A48" s="639">
        <v>6</v>
      </c>
      <c r="B48" s="640" t="s">
        <v>930</v>
      </c>
      <c r="C48" s="641">
        <f>IF(C30=0,0,C13/C30)</f>
        <v>7285.0172754296937</v>
      </c>
      <c r="D48" s="641">
        <f>IF(D30=0,0,D13/D30)</f>
        <v>7270.3480620048058</v>
      </c>
      <c r="E48" s="641">
        <f>IF(E30=0,0,E13/E30)</f>
        <v>7589.5473927995517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931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932</v>
      </c>
      <c r="C51" s="641">
        <f>IF(C19=0,0,C16/C19)</f>
        <v>3683.9207283468904</v>
      </c>
      <c r="D51" s="641">
        <f>IF(D19=0,0,D16/D19)</f>
        <v>4041.4676136496164</v>
      </c>
      <c r="E51" s="641">
        <f>IF(E19=0,0,E16/E19)</f>
        <v>4489.7606647937864</v>
      </c>
    </row>
    <row r="52" spans="1:6" ht="26.1" customHeight="1" x14ac:dyDescent="0.25">
      <c r="A52" s="639">
        <v>2</v>
      </c>
      <c r="B52" s="640" t="s">
        <v>933</v>
      </c>
      <c r="C52" s="641">
        <f>IF(C20=0,0,C16/C20)</f>
        <v>17189.230199547419</v>
      </c>
      <c r="D52" s="641">
        <f>IF(D20=0,0,D16/D20)</f>
        <v>17405.307985936714</v>
      </c>
      <c r="E52" s="641">
        <f>IF(E20=0,0,E16/E20)</f>
        <v>19370.724383784884</v>
      </c>
    </row>
    <row r="53" spans="1:6" ht="26.1" customHeight="1" x14ac:dyDescent="0.25">
      <c r="A53" s="639">
        <v>3</v>
      </c>
      <c r="B53" s="640" t="s">
        <v>934</v>
      </c>
      <c r="C53" s="641">
        <f>IF(C22=0,0,C16/C22)</f>
        <v>1827.6979311670116</v>
      </c>
      <c r="D53" s="641">
        <f>IF(D22=0,0,D16/D22)</f>
        <v>1998.1471846911109</v>
      </c>
      <c r="E53" s="641">
        <f>IF(E22=0,0,E16/E22)</f>
        <v>2169.967661657081</v>
      </c>
    </row>
    <row r="54" spans="1:6" ht="26.1" customHeight="1" x14ac:dyDescent="0.25">
      <c r="A54" s="639">
        <v>4</v>
      </c>
      <c r="B54" s="640" t="s">
        <v>935</v>
      </c>
      <c r="C54" s="641">
        <f>IF(C23=0,0,C16/C23)</f>
        <v>8528.0663702457441</v>
      </c>
      <c r="D54" s="641">
        <f>IF(D23=0,0,D16/D23)</f>
        <v>8605.380637796281</v>
      </c>
      <c r="E54" s="641">
        <f>IF(E23=0,0,E16/E23)</f>
        <v>9362.1572805186697</v>
      </c>
    </row>
    <row r="55" spans="1:6" ht="26.1" customHeight="1" x14ac:dyDescent="0.25">
      <c r="A55" s="639">
        <v>5</v>
      </c>
      <c r="B55" s="640" t="s">
        <v>936</v>
      </c>
      <c r="C55" s="641">
        <f>IF(C29=0,0,C16/C29)</f>
        <v>1567.3621659528253</v>
      </c>
      <c r="D55" s="641">
        <f>IF(D29=0,0,D16/D29)</f>
        <v>1695.9817054629245</v>
      </c>
      <c r="E55" s="641">
        <f>IF(E29=0,0,E16/E29)</f>
        <v>1837.9675993090154</v>
      </c>
    </row>
    <row r="56" spans="1:6" ht="26.1" customHeight="1" x14ac:dyDescent="0.25">
      <c r="A56" s="639">
        <v>6</v>
      </c>
      <c r="B56" s="640" t="s">
        <v>937</v>
      </c>
      <c r="C56" s="641">
        <f>IF(C30=0,0,C16/C30)</f>
        <v>7313.3357266116036</v>
      </c>
      <c r="D56" s="641">
        <f>IF(D30=0,0,D16/D30)</f>
        <v>7304.0505935019537</v>
      </c>
      <c r="E56" s="641">
        <f>IF(E30=0,0,E16/E30)</f>
        <v>7929.7687450733947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938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939</v>
      </c>
      <c r="C59" s="649">
        <v>23131224</v>
      </c>
      <c r="D59" s="649">
        <v>24579480</v>
      </c>
      <c r="E59" s="649">
        <v>25964260</v>
      </c>
    </row>
    <row r="60" spans="1:6" ht="26.1" customHeight="1" x14ac:dyDescent="0.25">
      <c r="A60" s="639">
        <v>2</v>
      </c>
      <c r="B60" s="640" t="s">
        <v>940</v>
      </c>
      <c r="C60" s="649">
        <v>6593854</v>
      </c>
      <c r="D60" s="649">
        <v>6537518</v>
      </c>
      <c r="E60" s="649">
        <v>8009974</v>
      </c>
    </row>
    <row r="61" spans="1:6" ht="26.1" customHeight="1" x14ac:dyDescent="0.25">
      <c r="A61" s="650">
        <v>3</v>
      </c>
      <c r="B61" s="651" t="s">
        <v>941</v>
      </c>
      <c r="C61" s="652">
        <f>C59+C60</f>
        <v>29725078</v>
      </c>
      <c r="D61" s="652">
        <f>D59+D60</f>
        <v>31116998</v>
      </c>
      <c r="E61" s="652">
        <f>E59+E60</f>
        <v>33974234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942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943</v>
      </c>
      <c r="C64" s="641">
        <v>7910672</v>
      </c>
      <c r="D64" s="641">
        <v>8816052</v>
      </c>
      <c r="E64" s="649">
        <v>9314012</v>
      </c>
      <c r="F64" s="653"/>
    </row>
    <row r="65" spans="1:6" ht="26.1" customHeight="1" x14ac:dyDescent="0.25">
      <c r="A65" s="639">
        <v>2</v>
      </c>
      <c r="B65" s="640" t="s">
        <v>944</v>
      </c>
      <c r="C65" s="649">
        <v>2256152</v>
      </c>
      <c r="D65" s="649">
        <v>2399979</v>
      </c>
      <c r="E65" s="649">
        <v>2873372</v>
      </c>
      <c r="F65" s="653"/>
    </row>
    <row r="66" spans="1:6" ht="26.1" customHeight="1" x14ac:dyDescent="0.25">
      <c r="A66" s="650">
        <v>3</v>
      </c>
      <c r="B66" s="651" t="s">
        <v>945</v>
      </c>
      <c r="C66" s="654">
        <f>C64+C65</f>
        <v>10166824</v>
      </c>
      <c r="D66" s="654">
        <f>D64+D65</f>
        <v>11216031</v>
      </c>
      <c r="E66" s="654">
        <f>E64+E65</f>
        <v>12187384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946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947</v>
      </c>
      <c r="C69" s="649">
        <v>29002264</v>
      </c>
      <c r="D69" s="649">
        <v>31056879</v>
      </c>
      <c r="E69" s="649">
        <v>33947144</v>
      </c>
    </row>
    <row r="70" spans="1:6" ht="26.1" customHeight="1" x14ac:dyDescent="0.25">
      <c r="A70" s="639">
        <v>2</v>
      </c>
      <c r="B70" s="640" t="s">
        <v>948</v>
      </c>
      <c r="C70" s="649">
        <v>8267994</v>
      </c>
      <c r="D70" s="649">
        <v>8205208</v>
      </c>
      <c r="E70" s="649">
        <v>10476488</v>
      </c>
    </row>
    <row r="71" spans="1:6" ht="26.1" customHeight="1" x14ac:dyDescent="0.25">
      <c r="A71" s="650">
        <v>3</v>
      </c>
      <c r="B71" s="651" t="s">
        <v>949</v>
      </c>
      <c r="C71" s="652">
        <f>C69+C70</f>
        <v>37270258</v>
      </c>
      <c r="D71" s="652">
        <f>D69+D70</f>
        <v>39262087</v>
      </c>
      <c r="E71" s="652">
        <f>E69+E70</f>
        <v>44423632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950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951</v>
      </c>
      <c r="C75" s="641">
        <f t="shared" ref="C75:E76" si="0">+C59+C64+C69</f>
        <v>60044160</v>
      </c>
      <c r="D75" s="641">
        <f t="shared" si="0"/>
        <v>64452411</v>
      </c>
      <c r="E75" s="641">
        <f t="shared" si="0"/>
        <v>69225416</v>
      </c>
    </row>
    <row r="76" spans="1:6" ht="26.1" customHeight="1" x14ac:dyDescent="0.25">
      <c r="A76" s="639">
        <v>2</v>
      </c>
      <c r="B76" s="640" t="s">
        <v>952</v>
      </c>
      <c r="C76" s="641">
        <f t="shared" si="0"/>
        <v>17118000</v>
      </c>
      <c r="D76" s="641">
        <f t="shared" si="0"/>
        <v>17142705</v>
      </c>
      <c r="E76" s="641">
        <f t="shared" si="0"/>
        <v>21359834</v>
      </c>
    </row>
    <row r="77" spans="1:6" ht="26.1" customHeight="1" x14ac:dyDescent="0.25">
      <c r="A77" s="650">
        <v>3</v>
      </c>
      <c r="B77" s="651" t="s">
        <v>950</v>
      </c>
      <c r="C77" s="654">
        <f>C75+C76</f>
        <v>77162160</v>
      </c>
      <c r="D77" s="654">
        <f>D75+D76</f>
        <v>81595116</v>
      </c>
      <c r="E77" s="654">
        <f>E75+E76</f>
        <v>90585250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953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284</v>
      </c>
      <c r="D80" s="646">
        <v>304.2</v>
      </c>
      <c r="E80" s="646">
        <v>308</v>
      </c>
    </row>
    <row r="81" spans="1:5" ht="26.1" customHeight="1" x14ac:dyDescent="0.25">
      <c r="A81" s="639">
        <v>2</v>
      </c>
      <c r="B81" s="640" t="s">
        <v>579</v>
      </c>
      <c r="C81" s="646">
        <v>45.3</v>
      </c>
      <c r="D81" s="646">
        <v>47.6</v>
      </c>
      <c r="E81" s="646">
        <v>51.4</v>
      </c>
    </row>
    <row r="82" spans="1:5" ht="26.1" customHeight="1" x14ac:dyDescent="0.25">
      <c r="A82" s="639">
        <v>3</v>
      </c>
      <c r="B82" s="640" t="s">
        <v>954</v>
      </c>
      <c r="C82" s="646">
        <v>579.70000000000005</v>
      </c>
      <c r="D82" s="646">
        <v>598.70000000000005</v>
      </c>
      <c r="E82" s="646">
        <v>626.4</v>
      </c>
    </row>
    <row r="83" spans="1:5" ht="26.1" customHeight="1" x14ac:dyDescent="0.25">
      <c r="A83" s="650">
        <v>4</v>
      </c>
      <c r="B83" s="651" t="s">
        <v>953</v>
      </c>
      <c r="C83" s="656">
        <f>C80+C81+C82</f>
        <v>909</v>
      </c>
      <c r="D83" s="656">
        <f>D80+D81+D82</f>
        <v>950.5</v>
      </c>
      <c r="E83" s="656">
        <f>E80+E81+E82</f>
        <v>985.8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955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956</v>
      </c>
      <c r="C86" s="649">
        <f>IF(C80=0,0,C59/C80)</f>
        <v>81447.971830985916</v>
      </c>
      <c r="D86" s="649">
        <f>IF(D80=0,0,D59/D80)</f>
        <v>80800.394477317561</v>
      </c>
      <c r="E86" s="649">
        <f>IF(E80=0,0,E59/E80)</f>
        <v>84299.545454545456</v>
      </c>
    </row>
    <row r="87" spans="1:5" ht="26.1" customHeight="1" x14ac:dyDescent="0.25">
      <c r="A87" s="639">
        <v>2</v>
      </c>
      <c r="B87" s="640" t="s">
        <v>957</v>
      </c>
      <c r="C87" s="649">
        <f>IF(C80=0,0,C60/C80)</f>
        <v>23217.795774647886</v>
      </c>
      <c r="D87" s="649">
        <f>IF(D80=0,0,D60/D80)</f>
        <v>21490.854700854703</v>
      </c>
      <c r="E87" s="649">
        <f>IF(E80=0,0,E60/E80)</f>
        <v>26006.409090909092</v>
      </c>
    </row>
    <row r="88" spans="1:5" ht="26.1" customHeight="1" x14ac:dyDescent="0.25">
      <c r="A88" s="650">
        <v>3</v>
      </c>
      <c r="B88" s="651" t="s">
        <v>958</v>
      </c>
      <c r="C88" s="652">
        <f>+C86+C87</f>
        <v>104665.7676056338</v>
      </c>
      <c r="D88" s="652">
        <f>+D86+D87</f>
        <v>102291.24917817226</v>
      </c>
      <c r="E88" s="652">
        <f>+E86+E87</f>
        <v>110305.95454545454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959</v>
      </c>
    </row>
    <row r="91" spans="1:5" ht="26.1" customHeight="1" x14ac:dyDescent="0.25">
      <c r="A91" s="639">
        <v>1</v>
      </c>
      <c r="B91" s="640" t="s">
        <v>960</v>
      </c>
      <c r="C91" s="641">
        <f>IF(C81=0,0,C64/C81)</f>
        <v>174628.52097130244</v>
      </c>
      <c r="D91" s="641">
        <f>IF(D81=0,0,D64/D81)</f>
        <v>185211.17647058822</v>
      </c>
      <c r="E91" s="641">
        <f>IF(E81=0,0,E64/E81)</f>
        <v>181206.45914396888</v>
      </c>
    </row>
    <row r="92" spans="1:5" ht="26.1" customHeight="1" x14ac:dyDescent="0.25">
      <c r="A92" s="639">
        <v>2</v>
      </c>
      <c r="B92" s="640" t="s">
        <v>961</v>
      </c>
      <c r="C92" s="641">
        <f>IF(C81=0,0,C65/C81)</f>
        <v>49804.679911699779</v>
      </c>
      <c r="D92" s="641">
        <f>IF(D81=0,0,D65/D81)</f>
        <v>50419.726890756298</v>
      </c>
      <c r="E92" s="641">
        <f>IF(E81=0,0,E65/E81)</f>
        <v>55902.17898832685</v>
      </c>
    </row>
    <row r="93" spans="1:5" ht="26.1" customHeight="1" x14ac:dyDescent="0.25">
      <c r="A93" s="650">
        <v>3</v>
      </c>
      <c r="B93" s="651" t="s">
        <v>962</v>
      </c>
      <c r="C93" s="654">
        <f>+C91+C92</f>
        <v>224433.20088300222</v>
      </c>
      <c r="D93" s="654">
        <f>+D91+D92</f>
        <v>235630.90336134454</v>
      </c>
      <c r="E93" s="654">
        <f>+E91+E92</f>
        <v>237108.63813229575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963</v>
      </c>
      <c r="B95" s="642" t="s">
        <v>964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965</v>
      </c>
      <c r="C96" s="649">
        <f>IF(C82=0,0,C69/C82)</f>
        <v>50029.780921166115</v>
      </c>
      <c r="D96" s="649">
        <f>IF(D82=0,0,D69/D82)</f>
        <v>51873.858359779515</v>
      </c>
      <c r="E96" s="649">
        <f>IF(E82=0,0,E69/E82)</f>
        <v>54194.03575989783</v>
      </c>
    </row>
    <row r="97" spans="1:5" ht="26.1" customHeight="1" x14ac:dyDescent="0.25">
      <c r="A97" s="639">
        <v>2</v>
      </c>
      <c r="B97" s="640" t="s">
        <v>966</v>
      </c>
      <c r="C97" s="649">
        <f>IF(C82=0,0,C70/C82)</f>
        <v>14262.539244436777</v>
      </c>
      <c r="D97" s="649">
        <f>IF(D82=0,0,D70/D82)</f>
        <v>13705.040921997661</v>
      </c>
      <c r="E97" s="649">
        <f>IF(E82=0,0,E70/E82)</f>
        <v>16724.91698595147</v>
      </c>
    </row>
    <row r="98" spans="1:5" ht="26.1" customHeight="1" x14ac:dyDescent="0.25">
      <c r="A98" s="650">
        <v>3</v>
      </c>
      <c r="B98" s="651" t="s">
        <v>967</v>
      </c>
      <c r="C98" s="654">
        <f>+C96+C97</f>
        <v>64292.32016560289</v>
      </c>
      <c r="D98" s="654">
        <f>+D96+D97</f>
        <v>65578.89928177718</v>
      </c>
      <c r="E98" s="654">
        <f>+E96+E97</f>
        <v>70918.952745849296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968</v>
      </c>
      <c r="B100" s="642" t="s">
        <v>969</v>
      </c>
    </row>
    <row r="101" spans="1:5" ht="26.1" customHeight="1" x14ac:dyDescent="0.25">
      <c r="A101" s="639">
        <v>1</v>
      </c>
      <c r="B101" s="640" t="s">
        <v>970</v>
      </c>
      <c r="C101" s="641">
        <f>IF(C83=0,0,C75/C83)</f>
        <v>66055.181518151818</v>
      </c>
      <c r="D101" s="641">
        <f>IF(D83=0,0,D75/D83)</f>
        <v>67808.954234613368</v>
      </c>
      <c r="E101" s="641">
        <f>IF(E83=0,0,E75/E83)</f>
        <v>70222.57658754311</v>
      </c>
    </row>
    <row r="102" spans="1:5" ht="26.1" customHeight="1" x14ac:dyDescent="0.25">
      <c r="A102" s="639">
        <v>2</v>
      </c>
      <c r="B102" s="640" t="s">
        <v>971</v>
      </c>
      <c r="C102" s="658">
        <f>IF(C83=0,0,C76/C83)</f>
        <v>18831.683168316831</v>
      </c>
      <c r="D102" s="658">
        <f>IF(D83=0,0,D76/D83)</f>
        <v>18035.460284061021</v>
      </c>
      <c r="E102" s="658">
        <f>IF(E83=0,0,E76/E83)</f>
        <v>21667.512680056807</v>
      </c>
    </row>
    <row r="103" spans="1:5" ht="26.1" customHeight="1" x14ac:dyDescent="0.25">
      <c r="A103" s="650">
        <v>3</v>
      </c>
      <c r="B103" s="651" t="s">
        <v>969</v>
      </c>
      <c r="C103" s="654">
        <f>+C101+C102</f>
        <v>84886.864686468645</v>
      </c>
      <c r="D103" s="654">
        <f>+D101+D102</f>
        <v>85844.414518674384</v>
      </c>
      <c r="E103" s="654">
        <f>+E101+E102</f>
        <v>91890.08926759992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972</v>
      </c>
      <c r="B107" s="634" t="s">
        <v>973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974</v>
      </c>
      <c r="C108" s="641">
        <f>IF(C19=0,0,C77/C19)</f>
        <v>1700.9933205475829</v>
      </c>
      <c r="D108" s="641">
        <f>IF(D19=0,0,D77/D19)</f>
        <v>1903.1818627107971</v>
      </c>
      <c r="E108" s="641">
        <f>IF(E19=0,0,E77/E19)</f>
        <v>2138.5124766873628</v>
      </c>
    </row>
    <row r="109" spans="1:5" ht="26.1" customHeight="1" x14ac:dyDescent="0.25">
      <c r="A109" s="639">
        <v>2</v>
      </c>
      <c r="B109" s="640" t="s">
        <v>975</v>
      </c>
      <c r="C109" s="641">
        <f>IF(C20=0,0,C77/C20)</f>
        <v>7936.8607282452167</v>
      </c>
      <c r="D109" s="641">
        <f>IF(D20=0,0,D77/D20)</f>
        <v>8196.3953792064294</v>
      </c>
      <c r="E109" s="641">
        <f>IF(E20=0,0,E77/E20)</f>
        <v>9226.4463230800575</v>
      </c>
    </row>
    <row r="110" spans="1:5" ht="26.1" customHeight="1" x14ac:dyDescent="0.25">
      <c r="A110" s="639">
        <v>3</v>
      </c>
      <c r="B110" s="640" t="s">
        <v>976</v>
      </c>
      <c r="C110" s="641">
        <f>IF(C22=0,0,C77/C22)</f>
        <v>843.91120280397558</v>
      </c>
      <c r="D110" s="641">
        <f>IF(D22=0,0,D77/D22)</f>
        <v>940.95458493520869</v>
      </c>
      <c r="E110" s="641">
        <f>IF(E22=0,0,E77/E22)</f>
        <v>1033.5746746703048</v>
      </c>
    </row>
    <row r="111" spans="1:5" ht="26.1" customHeight="1" x14ac:dyDescent="0.25">
      <c r="A111" s="639">
        <v>4</v>
      </c>
      <c r="B111" s="640" t="s">
        <v>977</v>
      </c>
      <c r="C111" s="641">
        <f>IF(C23=0,0,C77/C23)</f>
        <v>3937.7025193166778</v>
      </c>
      <c r="D111" s="641">
        <f>IF(D23=0,0,D77/D23)</f>
        <v>4052.3903485612454</v>
      </c>
      <c r="E111" s="641">
        <f>IF(E23=0,0,E77/E23)</f>
        <v>4459.2778207740321</v>
      </c>
    </row>
    <row r="112" spans="1:5" ht="26.1" customHeight="1" x14ac:dyDescent="0.25">
      <c r="A112" s="639">
        <v>5</v>
      </c>
      <c r="B112" s="640" t="s">
        <v>978</v>
      </c>
      <c r="C112" s="641">
        <f>IF(C29=0,0,C77/C29)</f>
        <v>723.70519665365111</v>
      </c>
      <c r="D112" s="641">
        <f>IF(D29=0,0,D77/D29)</f>
        <v>798.6607663079991</v>
      </c>
      <c r="E112" s="641">
        <f>IF(E29=0,0,E77/E29)</f>
        <v>875.44012617206545</v>
      </c>
    </row>
    <row r="113" spans="1:7" ht="25.5" customHeight="1" x14ac:dyDescent="0.25">
      <c r="A113" s="639">
        <v>6</v>
      </c>
      <c r="B113" s="640" t="s">
        <v>979</v>
      </c>
      <c r="C113" s="641">
        <f>IF(C30=0,0,C77/C30)</f>
        <v>3376.8194646985776</v>
      </c>
      <c r="D113" s="641">
        <f>IF(D30=0,0,D77/D30)</f>
        <v>3439.5763971795918</v>
      </c>
      <c r="E113" s="641">
        <f>IF(E30=0,0,E77/E30)</f>
        <v>3777.0185683970794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FILING&amp;R&amp;12MIDSTATE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2" sqref="B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347627051</v>
      </c>
      <c r="D12" s="51">
        <v>374870862</v>
      </c>
      <c r="E12" s="51">
        <f t="shared" ref="E12:E19" si="0">D12-C12</f>
        <v>27243811</v>
      </c>
      <c r="F12" s="70">
        <f t="shared" ref="F12:F19" si="1">IF(C12=0,0,E12/C12)</f>
        <v>7.8370802622031846E-2</v>
      </c>
    </row>
    <row r="13" spans="1:8" ht="23.1" customHeight="1" x14ac:dyDescent="0.2">
      <c r="A13" s="25">
        <v>2</v>
      </c>
      <c r="B13" s="48" t="s">
        <v>72</v>
      </c>
      <c r="C13" s="51">
        <v>171786129</v>
      </c>
      <c r="D13" s="51">
        <v>189210727</v>
      </c>
      <c r="E13" s="51">
        <f t="shared" si="0"/>
        <v>17424598</v>
      </c>
      <c r="F13" s="70">
        <f t="shared" si="1"/>
        <v>0.10143192643918299</v>
      </c>
    </row>
    <row r="14" spans="1:8" ht="23.1" customHeight="1" x14ac:dyDescent="0.2">
      <c r="A14" s="25">
        <v>3</v>
      </c>
      <c r="B14" s="48" t="s">
        <v>73</v>
      </c>
      <c r="C14" s="51">
        <v>3370587</v>
      </c>
      <c r="D14" s="51">
        <v>3637983</v>
      </c>
      <c r="E14" s="51">
        <f t="shared" si="0"/>
        <v>267396</v>
      </c>
      <c r="F14" s="70">
        <f t="shared" si="1"/>
        <v>7.9332175671477989E-2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172470335</v>
      </c>
      <c r="D16" s="27">
        <f>D12-D13-D14-D15</f>
        <v>182022152</v>
      </c>
      <c r="E16" s="27">
        <f t="shared" si="0"/>
        <v>9551817</v>
      </c>
      <c r="F16" s="28">
        <f t="shared" si="1"/>
        <v>5.5382376337356799E-2</v>
      </c>
    </row>
    <row r="17" spans="1:7" ht="23.1" customHeight="1" x14ac:dyDescent="0.2">
      <c r="A17" s="25">
        <v>5</v>
      </c>
      <c r="B17" s="48" t="s">
        <v>76</v>
      </c>
      <c r="C17" s="51">
        <v>6266748</v>
      </c>
      <c r="D17" s="51">
        <v>18496119</v>
      </c>
      <c r="E17" s="51">
        <f t="shared" si="0"/>
        <v>12229371</v>
      </c>
      <c r="F17" s="70">
        <f t="shared" si="1"/>
        <v>1.9514700447504831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247839</v>
      </c>
      <c r="D18" s="51">
        <v>199314</v>
      </c>
      <c r="E18" s="51">
        <f t="shared" si="0"/>
        <v>-48525</v>
      </c>
      <c r="F18" s="70">
        <f t="shared" si="1"/>
        <v>-0.19579242976287026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178984922</v>
      </c>
      <c r="D19" s="27">
        <f>SUM(D16:D18)</f>
        <v>200717585</v>
      </c>
      <c r="E19" s="27">
        <f t="shared" si="0"/>
        <v>21732663</v>
      </c>
      <c r="F19" s="28">
        <f t="shared" si="1"/>
        <v>0.12142175305694186</v>
      </c>
    </row>
    <row r="20" spans="1:7" ht="10.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64452411</v>
      </c>
      <c r="D22" s="51">
        <v>69225416</v>
      </c>
      <c r="E22" s="51">
        <f t="shared" ref="E22:E31" si="2">D22-C22</f>
        <v>4773005</v>
      </c>
      <c r="F22" s="70">
        <f t="shared" ref="F22:F31" si="3">IF(C22=0,0,E22/C22)</f>
        <v>7.4054716122256461E-2</v>
      </c>
    </row>
    <row r="23" spans="1:7" ht="23.1" customHeight="1" x14ac:dyDescent="0.2">
      <c r="A23" s="25">
        <v>2</v>
      </c>
      <c r="B23" s="48" t="s">
        <v>81</v>
      </c>
      <c r="C23" s="51">
        <v>17142705</v>
      </c>
      <c r="D23" s="51">
        <v>21359834</v>
      </c>
      <c r="E23" s="51">
        <f t="shared" si="2"/>
        <v>4217129</v>
      </c>
      <c r="F23" s="70">
        <f t="shared" si="3"/>
        <v>0.24600137492886917</v>
      </c>
    </row>
    <row r="24" spans="1:7" ht="23.1" customHeight="1" x14ac:dyDescent="0.2">
      <c r="A24" s="25">
        <v>3</v>
      </c>
      <c r="B24" s="48" t="s">
        <v>82</v>
      </c>
      <c r="C24" s="51">
        <v>1394538</v>
      </c>
      <c r="D24" s="51">
        <v>1479671</v>
      </c>
      <c r="E24" s="51">
        <f t="shared" si="2"/>
        <v>85133</v>
      </c>
      <c r="F24" s="70">
        <f t="shared" si="3"/>
        <v>6.1047458011183629E-2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18898512</v>
      </c>
      <c r="D25" s="51">
        <v>19243667</v>
      </c>
      <c r="E25" s="51">
        <f t="shared" si="2"/>
        <v>345155</v>
      </c>
      <c r="F25" s="70">
        <f t="shared" si="3"/>
        <v>1.8263607208863851E-2</v>
      </c>
    </row>
    <row r="26" spans="1:7" ht="23.1" customHeight="1" x14ac:dyDescent="0.2">
      <c r="A26" s="25">
        <v>5</v>
      </c>
      <c r="B26" s="48" t="s">
        <v>84</v>
      </c>
      <c r="C26" s="51">
        <v>8728633</v>
      </c>
      <c r="D26" s="51">
        <v>10982105</v>
      </c>
      <c r="E26" s="51">
        <f t="shared" si="2"/>
        <v>2253472</v>
      </c>
      <c r="F26" s="70">
        <f t="shared" si="3"/>
        <v>0.25817009375924044</v>
      </c>
    </row>
    <row r="27" spans="1:7" ht="23.1" customHeight="1" x14ac:dyDescent="0.2">
      <c r="A27" s="25">
        <v>6</v>
      </c>
      <c r="B27" s="48" t="s">
        <v>85</v>
      </c>
      <c r="C27" s="51">
        <v>9717615</v>
      </c>
      <c r="D27" s="51">
        <v>10465542</v>
      </c>
      <c r="E27" s="51">
        <f t="shared" si="2"/>
        <v>747927</v>
      </c>
      <c r="F27" s="70">
        <f t="shared" si="3"/>
        <v>7.6966107424506935E-2</v>
      </c>
    </row>
    <row r="28" spans="1:7" ht="23.1" customHeight="1" x14ac:dyDescent="0.2">
      <c r="A28" s="25">
        <v>7</v>
      </c>
      <c r="B28" s="48" t="s">
        <v>86</v>
      </c>
      <c r="C28" s="51">
        <v>2456574</v>
      </c>
      <c r="D28" s="51">
        <v>2221191</v>
      </c>
      <c r="E28" s="51">
        <f t="shared" si="2"/>
        <v>-235383</v>
      </c>
      <c r="F28" s="70">
        <f t="shared" si="3"/>
        <v>-9.581758986295548E-2</v>
      </c>
    </row>
    <row r="29" spans="1:7" ht="23.1" customHeight="1" x14ac:dyDescent="0.2">
      <c r="A29" s="25">
        <v>8</v>
      </c>
      <c r="B29" s="48" t="s">
        <v>87</v>
      </c>
      <c r="C29" s="51">
        <v>5321837</v>
      </c>
      <c r="D29" s="51">
        <v>5917588</v>
      </c>
      <c r="E29" s="51">
        <f t="shared" si="2"/>
        <v>595751</v>
      </c>
      <c r="F29" s="70">
        <f t="shared" si="3"/>
        <v>0.11194461611657779</v>
      </c>
    </row>
    <row r="30" spans="1:7" ht="23.1" customHeight="1" x14ac:dyDescent="0.2">
      <c r="A30" s="25">
        <v>9</v>
      </c>
      <c r="B30" s="48" t="s">
        <v>88</v>
      </c>
      <c r="C30" s="51">
        <v>45157016</v>
      </c>
      <c r="D30" s="51">
        <v>49286758</v>
      </c>
      <c r="E30" s="51">
        <f t="shared" si="2"/>
        <v>4129742</v>
      </c>
      <c r="F30" s="70">
        <f t="shared" si="3"/>
        <v>9.1452942771949319E-2</v>
      </c>
    </row>
    <row r="31" spans="1:7" ht="23.1" customHeight="1" x14ac:dyDescent="0.25">
      <c r="A31" s="29"/>
      <c r="B31" s="71" t="s">
        <v>89</v>
      </c>
      <c r="C31" s="27">
        <f>SUM(C22:C30)</f>
        <v>173269841</v>
      </c>
      <c r="D31" s="27">
        <f>SUM(D22:D30)</f>
        <v>190181772</v>
      </c>
      <c r="E31" s="27">
        <f t="shared" si="2"/>
        <v>16911931</v>
      </c>
      <c r="F31" s="28">
        <f t="shared" si="3"/>
        <v>9.7604585439655361E-2</v>
      </c>
    </row>
    <row r="32" spans="1:7" ht="11.2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5715081</v>
      </c>
      <c r="D33" s="27">
        <f>+D19-D31</f>
        <v>10535813</v>
      </c>
      <c r="E33" s="27">
        <f>D33-C33</f>
        <v>4820732</v>
      </c>
      <c r="F33" s="28">
        <f>IF(C33=0,0,E33/C33)</f>
        <v>0.84351070439771547</v>
      </c>
    </row>
    <row r="34" spans="1:6" ht="10.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598843</v>
      </c>
      <c r="D36" s="51">
        <v>261107</v>
      </c>
      <c r="E36" s="51">
        <f>D36-C36</f>
        <v>-337736</v>
      </c>
      <c r="F36" s="70">
        <f>IF(C36=0,0,E36/C36)</f>
        <v>-0.56398087645676742</v>
      </c>
    </row>
    <row r="37" spans="1:6" ht="23.1" customHeight="1" x14ac:dyDescent="0.2">
      <c r="A37" s="44">
        <v>2</v>
      </c>
      <c r="B37" s="48" t="s">
        <v>93</v>
      </c>
      <c r="C37" s="51">
        <v>25000</v>
      </c>
      <c r="D37" s="51">
        <v>18750</v>
      </c>
      <c r="E37" s="51">
        <f>D37-C37</f>
        <v>-6250</v>
      </c>
      <c r="F37" s="70">
        <f>IF(C37=0,0,E37/C37)</f>
        <v>-0.25</v>
      </c>
    </row>
    <row r="38" spans="1:6" ht="23.1" customHeight="1" x14ac:dyDescent="0.2">
      <c r="A38" s="44">
        <v>3</v>
      </c>
      <c r="B38" s="48" t="s">
        <v>94</v>
      </c>
      <c r="C38" s="51">
        <v>148548</v>
      </c>
      <c r="D38" s="51">
        <v>973487</v>
      </c>
      <c r="E38" s="51">
        <f>D38-C38</f>
        <v>824939</v>
      </c>
      <c r="F38" s="70">
        <f>IF(C38=0,0,E38/C38)</f>
        <v>5.5533497590004579</v>
      </c>
    </row>
    <row r="39" spans="1:6" ht="23.1" customHeight="1" x14ac:dyDescent="0.25">
      <c r="A39" s="20"/>
      <c r="B39" s="71" t="s">
        <v>95</v>
      </c>
      <c r="C39" s="27">
        <f>SUM(C36:C38)</f>
        <v>772391</v>
      </c>
      <c r="D39" s="27">
        <f>SUM(D36:D38)</f>
        <v>1253344</v>
      </c>
      <c r="E39" s="27">
        <f>D39-C39</f>
        <v>480953</v>
      </c>
      <c r="F39" s="28">
        <f>IF(C39=0,0,E39/C39)</f>
        <v>0.62268074071292911</v>
      </c>
    </row>
    <row r="40" spans="1:6" ht="12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6487472</v>
      </c>
      <c r="D41" s="27">
        <f>D33+D39</f>
        <v>11789157</v>
      </c>
      <c r="E41" s="27">
        <f>D41-C41</f>
        <v>5301685</v>
      </c>
      <c r="F41" s="28">
        <f>IF(C41=0,0,E41/C41)</f>
        <v>0.81721894136884132</v>
      </c>
    </row>
    <row r="42" spans="1:6" ht="9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579781</v>
      </c>
      <c r="D44" s="51">
        <v>668077</v>
      </c>
      <c r="E44" s="51">
        <f>D44-C44</f>
        <v>88296</v>
      </c>
      <c r="F44" s="70">
        <f>IF(C44=0,0,E44/C44)</f>
        <v>0.15229198611199746</v>
      </c>
    </row>
    <row r="45" spans="1:6" ht="23.1" customHeight="1" x14ac:dyDescent="0.2">
      <c r="A45" s="44"/>
      <c r="B45" s="48" t="s">
        <v>99</v>
      </c>
      <c r="C45" s="51">
        <v>-1697922</v>
      </c>
      <c r="D45" s="51">
        <v>-1387309</v>
      </c>
      <c r="E45" s="51">
        <f>D45-C45</f>
        <v>310613</v>
      </c>
      <c r="F45" s="70">
        <f>IF(C45=0,0,E45/C45)</f>
        <v>-0.18293714316676501</v>
      </c>
    </row>
    <row r="46" spans="1:6" ht="23.1" customHeight="1" x14ac:dyDescent="0.25">
      <c r="A46" s="20"/>
      <c r="B46" s="74" t="s">
        <v>100</v>
      </c>
      <c r="C46" s="27">
        <f>SUM(C44:C45)</f>
        <v>-1118141</v>
      </c>
      <c r="D46" s="27">
        <f>SUM(D44:D45)</f>
        <v>-719232</v>
      </c>
      <c r="E46" s="27">
        <f>D46-C46</f>
        <v>398909</v>
      </c>
      <c r="F46" s="28">
        <f>IF(C46=0,0,E46/C46)</f>
        <v>-0.3567609094023026</v>
      </c>
    </row>
    <row r="47" spans="1:6" ht="9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5369331</v>
      </c>
      <c r="D48" s="27">
        <f>D41+D46</f>
        <v>11069925</v>
      </c>
      <c r="E48" s="27">
        <f>D48-C48</f>
        <v>5700594</v>
      </c>
      <c r="F48" s="28">
        <f>IF(C48=0,0,E48/C48)</f>
        <v>1.0616953955716271</v>
      </c>
    </row>
    <row r="49" spans="1:6" ht="23.1" customHeight="1" x14ac:dyDescent="0.2">
      <c r="A49" s="44"/>
      <c r="B49" s="48" t="s">
        <v>102</v>
      </c>
      <c r="C49" s="51">
        <v>2460000</v>
      </c>
      <c r="D49" s="51">
        <v>2390000</v>
      </c>
      <c r="E49" s="51">
        <f>D49-C49</f>
        <v>-70000</v>
      </c>
      <c r="F49" s="70">
        <f>IF(C49=0,0,E49/C49)</f>
        <v>-2.8455284552845527E-2</v>
      </c>
    </row>
  </sheetData>
  <printOptions gridLines="1"/>
  <pageMargins left="0.25" right="0.25" top="0.5" bottom="0.5" header="0.25" footer="0.25"/>
  <pageSetup scale="74" orientation="portrait" horizontalDpi="1200" verticalDpi="1200" r:id="rId1"/>
  <headerFooter>
    <oddHeader>&amp;LOFFICE OF HEALTH CARE ACCESS&amp;CTWELVE MONTHS ACTUAL FILING&amp;RMIDSTATE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A3" sqref="A3:F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71093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90235806</v>
      </c>
      <c r="D14" s="97">
        <v>88106748</v>
      </c>
      <c r="E14" s="97">
        <f t="shared" ref="E14:E25" si="0">D14-C14</f>
        <v>-2129058</v>
      </c>
      <c r="F14" s="98">
        <f t="shared" ref="F14:F25" si="1">IF(C14=0,0,E14/C14)</f>
        <v>-2.3594381148432365E-2</v>
      </c>
    </row>
    <row r="15" spans="1:6" ht="18" customHeight="1" x14ac:dyDescent="0.25">
      <c r="A15" s="99">
        <v>2</v>
      </c>
      <c r="B15" s="100" t="s">
        <v>113</v>
      </c>
      <c r="C15" s="97">
        <v>12565983</v>
      </c>
      <c r="D15" s="97">
        <v>17136048</v>
      </c>
      <c r="E15" s="97">
        <f t="shared" si="0"/>
        <v>4570065</v>
      </c>
      <c r="F15" s="98">
        <f t="shared" si="1"/>
        <v>0.36368543551268534</v>
      </c>
    </row>
    <row r="16" spans="1:6" ht="18" customHeight="1" x14ac:dyDescent="0.25">
      <c r="A16" s="99">
        <v>3</v>
      </c>
      <c r="B16" s="100" t="s">
        <v>114</v>
      </c>
      <c r="C16" s="97">
        <v>8800629</v>
      </c>
      <c r="D16" s="97">
        <v>11923947</v>
      </c>
      <c r="E16" s="97">
        <f t="shared" si="0"/>
        <v>3123318</v>
      </c>
      <c r="F16" s="98">
        <f t="shared" si="1"/>
        <v>0.35489713292084007</v>
      </c>
    </row>
    <row r="17" spans="1:6" ht="18" customHeight="1" x14ac:dyDescent="0.25">
      <c r="A17" s="99">
        <v>4</v>
      </c>
      <c r="B17" s="100" t="s">
        <v>115</v>
      </c>
      <c r="C17" s="97">
        <v>6999331</v>
      </c>
      <c r="D17" s="97">
        <v>8492542</v>
      </c>
      <c r="E17" s="97">
        <f t="shared" si="0"/>
        <v>1493211</v>
      </c>
      <c r="F17" s="98">
        <f t="shared" si="1"/>
        <v>0.21333624599265272</v>
      </c>
    </row>
    <row r="18" spans="1:6" ht="18" customHeight="1" x14ac:dyDescent="0.25">
      <c r="A18" s="99">
        <v>5</v>
      </c>
      <c r="B18" s="100" t="s">
        <v>116</v>
      </c>
      <c r="C18" s="97">
        <v>267316</v>
      </c>
      <c r="D18" s="97">
        <v>251124</v>
      </c>
      <c r="E18" s="97">
        <f t="shared" si="0"/>
        <v>-16192</v>
      </c>
      <c r="F18" s="98">
        <f t="shared" si="1"/>
        <v>-6.0572505948016581E-2</v>
      </c>
    </row>
    <row r="19" spans="1:6" ht="18" customHeight="1" x14ac:dyDescent="0.25">
      <c r="A19" s="99">
        <v>6</v>
      </c>
      <c r="B19" s="100" t="s">
        <v>117</v>
      </c>
      <c r="C19" s="97">
        <v>3625611</v>
      </c>
      <c r="D19" s="97">
        <v>2393449</v>
      </c>
      <c r="E19" s="97">
        <f t="shared" si="0"/>
        <v>-1232162</v>
      </c>
      <c r="F19" s="98">
        <f t="shared" si="1"/>
        <v>-0.33984947640549412</v>
      </c>
    </row>
    <row r="20" spans="1:6" ht="18" customHeight="1" x14ac:dyDescent="0.25">
      <c r="A20" s="99">
        <v>7</v>
      </c>
      <c r="B20" s="100" t="s">
        <v>118</v>
      </c>
      <c r="C20" s="97">
        <v>40024818</v>
      </c>
      <c r="D20" s="97">
        <v>45652482</v>
      </c>
      <c r="E20" s="97">
        <f t="shared" si="0"/>
        <v>5627664</v>
      </c>
      <c r="F20" s="98">
        <f t="shared" si="1"/>
        <v>0.14060436202358248</v>
      </c>
    </row>
    <row r="21" spans="1:6" ht="18" customHeight="1" x14ac:dyDescent="0.25">
      <c r="A21" s="99">
        <v>8</v>
      </c>
      <c r="B21" s="100" t="s">
        <v>119</v>
      </c>
      <c r="C21" s="97">
        <v>696841</v>
      </c>
      <c r="D21" s="97">
        <v>703113</v>
      </c>
      <c r="E21" s="97">
        <f t="shared" si="0"/>
        <v>6272</v>
      </c>
      <c r="F21" s="98">
        <f t="shared" si="1"/>
        <v>9.000618505512736E-3</v>
      </c>
    </row>
    <row r="22" spans="1:6" ht="18" customHeight="1" x14ac:dyDescent="0.25">
      <c r="A22" s="99">
        <v>9</v>
      </c>
      <c r="B22" s="100" t="s">
        <v>120</v>
      </c>
      <c r="C22" s="97">
        <v>4002999</v>
      </c>
      <c r="D22" s="97">
        <v>3934556</v>
      </c>
      <c r="E22" s="97">
        <f t="shared" si="0"/>
        <v>-68443</v>
      </c>
      <c r="F22" s="98">
        <f t="shared" si="1"/>
        <v>-1.7097930826362934E-2</v>
      </c>
    </row>
    <row r="23" spans="1:6" ht="18" customHeight="1" x14ac:dyDescent="0.25">
      <c r="A23" s="99">
        <v>10</v>
      </c>
      <c r="B23" s="100" t="s">
        <v>121</v>
      </c>
      <c r="C23" s="97">
        <v>4651402</v>
      </c>
      <c r="D23" s="97">
        <v>2586617</v>
      </c>
      <c r="E23" s="97">
        <f t="shared" si="0"/>
        <v>-2064785</v>
      </c>
      <c r="F23" s="98">
        <f t="shared" si="1"/>
        <v>-0.44390594491725288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171870736</v>
      </c>
      <c r="D25" s="103">
        <f>SUM(D14:D24)</f>
        <v>181180626</v>
      </c>
      <c r="E25" s="103">
        <f t="shared" si="0"/>
        <v>9309890</v>
      </c>
      <c r="F25" s="104">
        <f t="shared" si="1"/>
        <v>5.4167976565830264E-2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48194129</v>
      </c>
      <c r="D27" s="97">
        <v>49405253</v>
      </c>
      <c r="E27" s="97">
        <f t="shared" ref="E27:E38" si="2">D27-C27</f>
        <v>1211124</v>
      </c>
      <c r="F27" s="98">
        <f t="shared" ref="F27:F38" si="3">IF(C27=0,0,E27/C27)</f>
        <v>2.5130114915034567E-2</v>
      </c>
    </row>
    <row r="28" spans="1:6" ht="18" customHeight="1" x14ac:dyDescent="0.25">
      <c r="A28" s="99">
        <v>2</v>
      </c>
      <c r="B28" s="100" t="s">
        <v>113</v>
      </c>
      <c r="C28" s="97">
        <v>8895648</v>
      </c>
      <c r="D28" s="97">
        <v>11910936</v>
      </c>
      <c r="E28" s="97">
        <f t="shared" si="2"/>
        <v>3015288</v>
      </c>
      <c r="F28" s="98">
        <f t="shared" si="3"/>
        <v>0.33896215317872291</v>
      </c>
    </row>
    <row r="29" spans="1:6" ht="18" customHeight="1" x14ac:dyDescent="0.25">
      <c r="A29" s="99">
        <v>3</v>
      </c>
      <c r="B29" s="100" t="s">
        <v>114</v>
      </c>
      <c r="C29" s="97">
        <v>7798176</v>
      </c>
      <c r="D29" s="97">
        <v>11098634</v>
      </c>
      <c r="E29" s="97">
        <f t="shared" si="2"/>
        <v>3300458</v>
      </c>
      <c r="F29" s="98">
        <f t="shared" si="3"/>
        <v>0.42323461281202168</v>
      </c>
    </row>
    <row r="30" spans="1:6" ht="18" customHeight="1" x14ac:dyDescent="0.25">
      <c r="A30" s="99">
        <v>4</v>
      </c>
      <c r="B30" s="100" t="s">
        <v>115</v>
      </c>
      <c r="C30" s="97">
        <v>13807404</v>
      </c>
      <c r="D30" s="97">
        <v>18271615</v>
      </c>
      <c r="E30" s="97">
        <f t="shared" si="2"/>
        <v>4464211</v>
      </c>
      <c r="F30" s="98">
        <f t="shared" si="3"/>
        <v>0.32332008247169419</v>
      </c>
    </row>
    <row r="31" spans="1:6" ht="18" customHeight="1" x14ac:dyDescent="0.25">
      <c r="A31" s="99">
        <v>5</v>
      </c>
      <c r="B31" s="100" t="s">
        <v>116</v>
      </c>
      <c r="C31" s="97">
        <v>279643</v>
      </c>
      <c r="D31" s="97">
        <v>409664</v>
      </c>
      <c r="E31" s="97">
        <f t="shared" si="2"/>
        <v>130021</v>
      </c>
      <c r="F31" s="98">
        <f t="shared" si="3"/>
        <v>0.46495353003651085</v>
      </c>
    </row>
    <row r="32" spans="1:6" ht="18" customHeight="1" x14ac:dyDescent="0.25">
      <c r="A32" s="99">
        <v>6</v>
      </c>
      <c r="B32" s="100" t="s">
        <v>117</v>
      </c>
      <c r="C32" s="97">
        <v>5723438</v>
      </c>
      <c r="D32" s="97">
        <v>3506977</v>
      </c>
      <c r="E32" s="97">
        <f t="shared" si="2"/>
        <v>-2216461</v>
      </c>
      <c r="F32" s="98">
        <f t="shared" si="3"/>
        <v>-0.38726041934934913</v>
      </c>
    </row>
    <row r="33" spans="1:6" ht="18" customHeight="1" x14ac:dyDescent="0.25">
      <c r="A33" s="99">
        <v>7</v>
      </c>
      <c r="B33" s="100" t="s">
        <v>118</v>
      </c>
      <c r="C33" s="97">
        <v>75543101</v>
      </c>
      <c r="D33" s="97">
        <v>84004741</v>
      </c>
      <c r="E33" s="97">
        <f t="shared" si="2"/>
        <v>8461640</v>
      </c>
      <c r="F33" s="98">
        <f t="shared" si="3"/>
        <v>0.11201075793804123</v>
      </c>
    </row>
    <row r="34" spans="1:6" ht="18" customHeight="1" x14ac:dyDescent="0.25">
      <c r="A34" s="99">
        <v>8</v>
      </c>
      <c r="B34" s="100" t="s">
        <v>119</v>
      </c>
      <c r="C34" s="97">
        <v>2792538</v>
      </c>
      <c r="D34" s="97">
        <v>2557327</v>
      </c>
      <c r="E34" s="97">
        <f t="shared" si="2"/>
        <v>-235211</v>
      </c>
      <c r="F34" s="98">
        <f t="shared" si="3"/>
        <v>-8.422839725010009E-2</v>
      </c>
    </row>
    <row r="35" spans="1:6" ht="18" customHeight="1" x14ac:dyDescent="0.25">
      <c r="A35" s="99">
        <v>9</v>
      </c>
      <c r="B35" s="100" t="s">
        <v>120</v>
      </c>
      <c r="C35" s="97">
        <v>6982432</v>
      </c>
      <c r="D35" s="97">
        <v>7741172</v>
      </c>
      <c r="E35" s="97">
        <f t="shared" si="2"/>
        <v>758740</v>
      </c>
      <c r="F35" s="98">
        <f t="shared" si="3"/>
        <v>0.10866414452729364</v>
      </c>
    </row>
    <row r="36" spans="1:6" ht="18" customHeight="1" x14ac:dyDescent="0.25">
      <c r="A36" s="99">
        <v>10</v>
      </c>
      <c r="B36" s="100" t="s">
        <v>121</v>
      </c>
      <c r="C36" s="97">
        <v>5739806</v>
      </c>
      <c r="D36" s="97">
        <v>4783917</v>
      </c>
      <c r="E36" s="97">
        <f t="shared" si="2"/>
        <v>-955889</v>
      </c>
      <c r="F36" s="98">
        <f t="shared" si="3"/>
        <v>-0.16653681326511732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175756315</v>
      </c>
      <c r="D38" s="103">
        <f>SUM(D27:D37)</f>
        <v>193690236</v>
      </c>
      <c r="E38" s="103">
        <f t="shared" si="2"/>
        <v>17933921</v>
      </c>
      <c r="F38" s="104">
        <f t="shared" si="3"/>
        <v>0.10203855833003782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138429935</v>
      </c>
      <c r="D41" s="103">
        <f t="shared" si="4"/>
        <v>137512001</v>
      </c>
      <c r="E41" s="107">
        <f t="shared" ref="E41:E52" si="5">D41-C41</f>
        <v>-917934</v>
      </c>
      <c r="F41" s="108">
        <f t="shared" ref="F41:F52" si="6">IF(C41=0,0,E41/C41)</f>
        <v>-6.6310368490745874E-3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21461631</v>
      </c>
      <c r="D42" s="103">
        <f t="shared" si="4"/>
        <v>29046984</v>
      </c>
      <c r="E42" s="107">
        <f t="shared" si="5"/>
        <v>7585353</v>
      </c>
      <c r="F42" s="108">
        <f t="shared" si="6"/>
        <v>0.35343786313351488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16598805</v>
      </c>
      <c r="D43" s="103">
        <f t="shared" si="4"/>
        <v>23022581</v>
      </c>
      <c r="E43" s="107">
        <f t="shared" si="5"/>
        <v>6423776</v>
      </c>
      <c r="F43" s="108">
        <f t="shared" si="6"/>
        <v>0.38700231733549495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20806735</v>
      </c>
      <c r="D44" s="103">
        <f t="shared" si="4"/>
        <v>26764157</v>
      </c>
      <c r="E44" s="107">
        <f t="shared" si="5"/>
        <v>5957422</v>
      </c>
      <c r="F44" s="108">
        <f t="shared" si="6"/>
        <v>0.2863218087797052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546959</v>
      </c>
      <c r="D45" s="103">
        <f t="shared" si="4"/>
        <v>660788</v>
      </c>
      <c r="E45" s="107">
        <f t="shared" si="5"/>
        <v>113829</v>
      </c>
      <c r="F45" s="108">
        <f t="shared" si="6"/>
        <v>0.20811249106422969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9349049</v>
      </c>
      <c r="D46" s="103">
        <f t="shared" si="4"/>
        <v>5900426</v>
      </c>
      <c r="E46" s="107">
        <f t="shared" si="5"/>
        <v>-3448623</v>
      </c>
      <c r="F46" s="108">
        <f t="shared" si="6"/>
        <v>-0.3688742031408756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115567919</v>
      </c>
      <c r="D47" s="103">
        <f t="shared" si="4"/>
        <v>129657223</v>
      </c>
      <c r="E47" s="107">
        <f t="shared" si="5"/>
        <v>14089304</v>
      </c>
      <c r="F47" s="108">
        <f t="shared" si="6"/>
        <v>0.1219136255278595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3489379</v>
      </c>
      <c r="D48" s="103">
        <f t="shared" si="4"/>
        <v>3260440</v>
      </c>
      <c r="E48" s="107">
        <f t="shared" si="5"/>
        <v>-228939</v>
      </c>
      <c r="F48" s="108">
        <f t="shared" si="6"/>
        <v>-6.5610241822398774E-2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10985431</v>
      </c>
      <c r="D49" s="103">
        <f t="shared" si="4"/>
        <v>11675728</v>
      </c>
      <c r="E49" s="107">
        <f t="shared" si="5"/>
        <v>690297</v>
      </c>
      <c r="F49" s="108">
        <f t="shared" si="6"/>
        <v>6.2837498137305672E-2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10391208</v>
      </c>
      <c r="D50" s="103">
        <f t="shared" si="4"/>
        <v>7370534</v>
      </c>
      <c r="E50" s="107">
        <f t="shared" si="5"/>
        <v>-3020674</v>
      </c>
      <c r="F50" s="108">
        <f t="shared" si="6"/>
        <v>-0.2906951723033549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347627051</v>
      </c>
      <c r="D52" s="112">
        <f>SUM(D41:D51)</f>
        <v>374870862</v>
      </c>
      <c r="E52" s="111">
        <f t="shared" si="5"/>
        <v>27243811</v>
      </c>
      <c r="F52" s="113">
        <f t="shared" si="6"/>
        <v>7.8370802622031846E-2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38089274</v>
      </c>
      <c r="D57" s="97">
        <v>36815810</v>
      </c>
      <c r="E57" s="97">
        <f t="shared" ref="E57:E68" si="7">D57-C57</f>
        <v>-1273464</v>
      </c>
      <c r="F57" s="98">
        <f t="shared" ref="F57:F68" si="8">IF(C57=0,0,E57/C57)</f>
        <v>-3.3433664290897225E-2</v>
      </c>
    </row>
    <row r="58" spans="1:6" ht="18" customHeight="1" x14ac:dyDescent="0.25">
      <c r="A58" s="99">
        <v>2</v>
      </c>
      <c r="B58" s="100" t="s">
        <v>113</v>
      </c>
      <c r="C58" s="97">
        <v>5757808</v>
      </c>
      <c r="D58" s="97">
        <v>7108600</v>
      </c>
      <c r="E58" s="97">
        <f t="shared" si="7"/>
        <v>1350792</v>
      </c>
      <c r="F58" s="98">
        <f t="shared" si="8"/>
        <v>0.2346017790103456</v>
      </c>
    </row>
    <row r="59" spans="1:6" ht="18" customHeight="1" x14ac:dyDescent="0.25">
      <c r="A59" s="99">
        <v>3</v>
      </c>
      <c r="B59" s="100" t="s">
        <v>114</v>
      </c>
      <c r="C59" s="97">
        <v>3709833</v>
      </c>
      <c r="D59" s="97">
        <v>4396911</v>
      </c>
      <c r="E59" s="97">
        <f t="shared" si="7"/>
        <v>687078</v>
      </c>
      <c r="F59" s="98">
        <f t="shared" si="8"/>
        <v>0.18520456311645295</v>
      </c>
    </row>
    <row r="60" spans="1:6" ht="18" customHeight="1" x14ac:dyDescent="0.25">
      <c r="A60" s="99">
        <v>4</v>
      </c>
      <c r="B60" s="100" t="s">
        <v>115</v>
      </c>
      <c r="C60" s="97">
        <v>2989391</v>
      </c>
      <c r="D60" s="97">
        <v>3328078</v>
      </c>
      <c r="E60" s="97">
        <f t="shared" si="7"/>
        <v>338687</v>
      </c>
      <c r="F60" s="98">
        <f t="shared" si="8"/>
        <v>0.1132963202204061</v>
      </c>
    </row>
    <row r="61" spans="1:6" ht="18" customHeight="1" x14ac:dyDescent="0.25">
      <c r="A61" s="99">
        <v>5</v>
      </c>
      <c r="B61" s="100" t="s">
        <v>116</v>
      </c>
      <c r="C61" s="97">
        <v>86070</v>
      </c>
      <c r="D61" s="97">
        <v>103021</v>
      </c>
      <c r="E61" s="97">
        <f t="shared" si="7"/>
        <v>16951</v>
      </c>
      <c r="F61" s="98">
        <f t="shared" si="8"/>
        <v>0.19694434762402696</v>
      </c>
    </row>
    <row r="62" spans="1:6" ht="18" customHeight="1" x14ac:dyDescent="0.25">
      <c r="A62" s="99">
        <v>6</v>
      </c>
      <c r="B62" s="100" t="s">
        <v>117</v>
      </c>
      <c r="C62" s="97">
        <v>2404239</v>
      </c>
      <c r="D62" s="97">
        <v>1714399</v>
      </c>
      <c r="E62" s="97">
        <f t="shared" si="7"/>
        <v>-689840</v>
      </c>
      <c r="F62" s="98">
        <f t="shared" si="8"/>
        <v>-0.28692654931560463</v>
      </c>
    </row>
    <row r="63" spans="1:6" ht="18" customHeight="1" x14ac:dyDescent="0.25">
      <c r="A63" s="99">
        <v>7</v>
      </c>
      <c r="B63" s="100" t="s">
        <v>118</v>
      </c>
      <c r="C63" s="97">
        <v>27408463</v>
      </c>
      <c r="D63" s="97">
        <v>30284098</v>
      </c>
      <c r="E63" s="97">
        <f t="shared" si="7"/>
        <v>2875635</v>
      </c>
      <c r="F63" s="98">
        <f t="shared" si="8"/>
        <v>0.10491777667357706</v>
      </c>
    </row>
    <row r="64" spans="1:6" ht="18" customHeight="1" x14ac:dyDescent="0.25">
      <c r="A64" s="99">
        <v>8</v>
      </c>
      <c r="B64" s="100" t="s">
        <v>119</v>
      </c>
      <c r="C64" s="97">
        <v>594872</v>
      </c>
      <c r="D64" s="97">
        <v>568636</v>
      </c>
      <c r="E64" s="97">
        <f t="shared" si="7"/>
        <v>-26236</v>
      </c>
      <c r="F64" s="98">
        <f t="shared" si="8"/>
        <v>-4.4103605481515352E-2</v>
      </c>
    </row>
    <row r="65" spans="1:6" ht="18" customHeight="1" x14ac:dyDescent="0.25">
      <c r="A65" s="99">
        <v>9</v>
      </c>
      <c r="B65" s="100" t="s">
        <v>120</v>
      </c>
      <c r="C65" s="97">
        <v>125703</v>
      </c>
      <c r="D65" s="97">
        <v>102665</v>
      </c>
      <c r="E65" s="97">
        <f t="shared" si="7"/>
        <v>-23038</v>
      </c>
      <c r="F65" s="98">
        <f t="shared" si="8"/>
        <v>-0.1832732711232031</v>
      </c>
    </row>
    <row r="66" spans="1:6" ht="18" customHeight="1" x14ac:dyDescent="0.25">
      <c r="A66" s="99">
        <v>10</v>
      </c>
      <c r="B66" s="100" t="s">
        <v>121</v>
      </c>
      <c r="C66" s="97">
        <v>888557</v>
      </c>
      <c r="D66" s="97">
        <v>392213</v>
      </c>
      <c r="E66" s="97">
        <f t="shared" si="7"/>
        <v>-496344</v>
      </c>
      <c r="F66" s="98">
        <f t="shared" si="8"/>
        <v>-0.55859556561931312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82054210</v>
      </c>
      <c r="D68" s="103">
        <f>SUM(D57:D67)</f>
        <v>84814431</v>
      </c>
      <c r="E68" s="103">
        <f t="shared" si="7"/>
        <v>2760221</v>
      </c>
      <c r="F68" s="104">
        <f t="shared" si="8"/>
        <v>3.3638993051057345E-2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15714828</v>
      </c>
      <c r="D70" s="97">
        <v>15499035</v>
      </c>
      <c r="E70" s="97">
        <f t="shared" ref="E70:E81" si="9">D70-C70</f>
        <v>-215793</v>
      </c>
      <c r="F70" s="98">
        <f t="shared" ref="F70:F81" si="10">IF(C70=0,0,E70/C70)</f>
        <v>-1.3731807945973064E-2</v>
      </c>
    </row>
    <row r="71" spans="1:6" ht="18" customHeight="1" x14ac:dyDescent="0.25">
      <c r="A71" s="99">
        <v>2</v>
      </c>
      <c r="B71" s="100" t="s">
        <v>113</v>
      </c>
      <c r="C71" s="97">
        <v>2831705</v>
      </c>
      <c r="D71" s="97">
        <v>3734870</v>
      </c>
      <c r="E71" s="97">
        <f t="shared" si="9"/>
        <v>903165</v>
      </c>
      <c r="F71" s="98">
        <f t="shared" si="10"/>
        <v>0.31894741860469222</v>
      </c>
    </row>
    <row r="72" spans="1:6" ht="18" customHeight="1" x14ac:dyDescent="0.25">
      <c r="A72" s="99">
        <v>3</v>
      </c>
      <c r="B72" s="100" t="s">
        <v>114</v>
      </c>
      <c r="C72" s="97">
        <v>2393728</v>
      </c>
      <c r="D72" s="97">
        <v>3182821</v>
      </c>
      <c r="E72" s="97">
        <f t="shared" si="9"/>
        <v>789093</v>
      </c>
      <c r="F72" s="98">
        <f t="shared" si="10"/>
        <v>0.32965023594994919</v>
      </c>
    </row>
    <row r="73" spans="1:6" ht="18" customHeight="1" x14ac:dyDescent="0.25">
      <c r="A73" s="99">
        <v>4</v>
      </c>
      <c r="B73" s="100" t="s">
        <v>115</v>
      </c>
      <c r="C73" s="97">
        <v>4609407</v>
      </c>
      <c r="D73" s="97">
        <v>5513562</v>
      </c>
      <c r="E73" s="97">
        <f t="shared" si="9"/>
        <v>904155</v>
      </c>
      <c r="F73" s="98">
        <f t="shared" si="10"/>
        <v>0.19615429924066155</v>
      </c>
    </row>
    <row r="74" spans="1:6" ht="18" customHeight="1" x14ac:dyDescent="0.25">
      <c r="A74" s="99">
        <v>5</v>
      </c>
      <c r="B74" s="100" t="s">
        <v>116</v>
      </c>
      <c r="C74" s="97">
        <v>90039</v>
      </c>
      <c r="D74" s="97">
        <v>168060</v>
      </c>
      <c r="E74" s="97">
        <f t="shared" si="9"/>
        <v>78021</v>
      </c>
      <c r="F74" s="98">
        <f t="shared" si="10"/>
        <v>0.86652450604737952</v>
      </c>
    </row>
    <row r="75" spans="1:6" ht="18" customHeight="1" x14ac:dyDescent="0.25">
      <c r="A75" s="99">
        <v>6</v>
      </c>
      <c r="B75" s="100" t="s">
        <v>117</v>
      </c>
      <c r="C75" s="97">
        <v>3796759</v>
      </c>
      <c r="D75" s="97">
        <v>2873808</v>
      </c>
      <c r="E75" s="97">
        <f t="shared" si="9"/>
        <v>-922951</v>
      </c>
      <c r="F75" s="98">
        <f t="shared" si="10"/>
        <v>-0.24308917158028728</v>
      </c>
    </row>
    <row r="76" spans="1:6" ht="18" customHeight="1" x14ac:dyDescent="0.25">
      <c r="A76" s="99">
        <v>7</v>
      </c>
      <c r="B76" s="100" t="s">
        <v>118</v>
      </c>
      <c r="C76" s="97">
        <v>50897830</v>
      </c>
      <c r="D76" s="97">
        <v>56272298</v>
      </c>
      <c r="E76" s="97">
        <f t="shared" si="9"/>
        <v>5374468</v>
      </c>
      <c r="F76" s="98">
        <f t="shared" si="10"/>
        <v>0.1055932639957342</v>
      </c>
    </row>
    <row r="77" spans="1:6" ht="18" customHeight="1" x14ac:dyDescent="0.25">
      <c r="A77" s="99">
        <v>8</v>
      </c>
      <c r="B77" s="100" t="s">
        <v>119</v>
      </c>
      <c r="C77" s="97">
        <v>2371115</v>
      </c>
      <c r="D77" s="97">
        <v>2101858</v>
      </c>
      <c r="E77" s="97">
        <f t="shared" si="9"/>
        <v>-269257</v>
      </c>
      <c r="F77" s="98">
        <f t="shared" si="10"/>
        <v>-0.11355712396910314</v>
      </c>
    </row>
    <row r="78" spans="1:6" ht="18" customHeight="1" x14ac:dyDescent="0.25">
      <c r="A78" s="99">
        <v>9</v>
      </c>
      <c r="B78" s="100" t="s">
        <v>120</v>
      </c>
      <c r="C78" s="97">
        <v>369633</v>
      </c>
      <c r="D78" s="97">
        <v>540733</v>
      </c>
      <c r="E78" s="97">
        <f t="shared" si="9"/>
        <v>171100</v>
      </c>
      <c r="F78" s="98">
        <f t="shared" si="10"/>
        <v>0.46289157082836219</v>
      </c>
    </row>
    <row r="79" spans="1:6" ht="18" customHeight="1" x14ac:dyDescent="0.25">
      <c r="A79" s="99">
        <v>10</v>
      </c>
      <c r="B79" s="100" t="s">
        <v>121</v>
      </c>
      <c r="C79" s="97">
        <v>691793</v>
      </c>
      <c r="D79" s="97">
        <v>370710</v>
      </c>
      <c r="E79" s="97">
        <f t="shared" si="9"/>
        <v>-321083</v>
      </c>
      <c r="F79" s="98">
        <f t="shared" si="10"/>
        <v>-0.46413161162370825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83766837</v>
      </c>
      <c r="D81" s="103">
        <f>SUM(D70:D80)</f>
        <v>90257755</v>
      </c>
      <c r="E81" s="103">
        <f t="shared" si="9"/>
        <v>6490918</v>
      </c>
      <c r="F81" s="104">
        <f t="shared" si="10"/>
        <v>7.7487920428462642E-2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53804102</v>
      </c>
      <c r="D84" s="103">
        <f t="shared" si="11"/>
        <v>52314845</v>
      </c>
      <c r="E84" s="103">
        <f t="shared" ref="E84:E95" si="12">D84-C84</f>
        <v>-1489257</v>
      </c>
      <c r="F84" s="104">
        <f t="shared" ref="F84:F95" si="13">IF(C84=0,0,E84/C84)</f>
        <v>-2.767924646340162E-2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8589513</v>
      </c>
      <c r="D85" s="103">
        <f t="shared" si="11"/>
        <v>10843470</v>
      </c>
      <c r="E85" s="103">
        <f t="shared" si="12"/>
        <v>2253957</v>
      </c>
      <c r="F85" s="104">
        <f t="shared" si="13"/>
        <v>0.26240800846334361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6103561</v>
      </c>
      <c r="D86" s="103">
        <f t="shared" si="11"/>
        <v>7579732</v>
      </c>
      <c r="E86" s="103">
        <f t="shared" si="12"/>
        <v>1476171</v>
      </c>
      <c r="F86" s="104">
        <f t="shared" si="13"/>
        <v>0.2418540586388831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7598798</v>
      </c>
      <c r="D87" s="103">
        <f t="shared" si="11"/>
        <v>8841640</v>
      </c>
      <c r="E87" s="103">
        <f t="shared" si="12"/>
        <v>1242842</v>
      </c>
      <c r="F87" s="104">
        <f t="shared" si="13"/>
        <v>0.16355771004835237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176109</v>
      </c>
      <c r="D88" s="103">
        <f t="shared" si="11"/>
        <v>271081</v>
      </c>
      <c r="E88" s="103">
        <f t="shared" si="12"/>
        <v>94972</v>
      </c>
      <c r="F88" s="104">
        <f t="shared" si="13"/>
        <v>0.53927965067089134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6200998</v>
      </c>
      <c r="D89" s="103">
        <f t="shared" si="11"/>
        <v>4588207</v>
      </c>
      <c r="E89" s="103">
        <f t="shared" si="12"/>
        <v>-1612791</v>
      </c>
      <c r="F89" s="104">
        <f t="shared" si="13"/>
        <v>-0.26008571523487028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78306293</v>
      </c>
      <c r="D90" s="103">
        <f t="shared" si="11"/>
        <v>86556396</v>
      </c>
      <c r="E90" s="103">
        <f t="shared" si="12"/>
        <v>8250103</v>
      </c>
      <c r="F90" s="104">
        <f t="shared" si="13"/>
        <v>0.10535683256006002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2965987</v>
      </c>
      <c r="D91" s="103">
        <f t="shared" si="11"/>
        <v>2670494</v>
      </c>
      <c r="E91" s="103">
        <f t="shared" si="12"/>
        <v>-295493</v>
      </c>
      <c r="F91" s="104">
        <f t="shared" si="13"/>
        <v>-9.9627206727473855E-2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495336</v>
      </c>
      <c r="D92" s="103">
        <f t="shared" si="11"/>
        <v>643398</v>
      </c>
      <c r="E92" s="103">
        <f t="shared" si="12"/>
        <v>148062</v>
      </c>
      <c r="F92" s="104">
        <f t="shared" si="13"/>
        <v>0.29891225350065409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1580350</v>
      </c>
      <c r="D93" s="103">
        <f t="shared" si="11"/>
        <v>762923</v>
      </c>
      <c r="E93" s="103">
        <f t="shared" si="12"/>
        <v>-817427</v>
      </c>
      <c r="F93" s="104">
        <f t="shared" si="13"/>
        <v>-0.51724428133008515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165821047</v>
      </c>
      <c r="D95" s="112">
        <f>SUM(D84:D94)</f>
        <v>175072186</v>
      </c>
      <c r="E95" s="112">
        <f t="shared" si="12"/>
        <v>9251139</v>
      </c>
      <c r="F95" s="113">
        <f t="shared" si="13"/>
        <v>5.5789896200570968E-2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4105</v>
      </c>
      <c r="D100" s="117">
        <v>3870</v>
      </c>
      <c r="E100" s="117">
        <f t="shared" ref="E100:E111" si="14">D100-C100</f>
        <v>-235</v>
      </c>
      <c r="F100" s="98">
        <f t="shared" ref="F100:F111" si="15">IF(C100=0,0,E100/C100)</f>
        <v>-5.7247259439707675E-2</v>
      </c>
    </row>
    <row r="101" spans="1:6" ht="18" customHeight="1" x14ac:dyDescent="0.25">
      <c r="A101" s="99">
        <v>2</v>
      </c>
      <c r="B101" s="100" t="s">
        <v>113</v>
      </c>
      <c r="C101" s="117">
        <v>603</v>
      </c>
      <c r="D101" s="117">
        <v>749</v>
      </c>
      <c r="E101" s="117">
        <f t="shared" si="14"/>
        <v>146</v>
      </c>
      <c r="F101" s="98">
        <f t="shared" si="15"/>
        <v>0.24212271973466004</v>
      </c>
    </row>
    <row r="102" spans="1:6" ht="18" customHeight="1" x14ac:dyDescent="0.25">
      <c r="A102" s="99">
        <v>3</v>
      </c>
      <c r="B102" s="100" t="s">
        <v>114</v>
      </c>
      <c r="C102" s="117">
        <v>605</v>
      </c>
      <c r="D102" s="117">
        <v>754</v>
      </c>
      <c r="E102" s="117">
        <f t="shared" si="14"/>
        <v>149</v>
      </c>
      <c r="F102" s="98">
        <f t="shared" si="15"/>
        <v>0.24628099173553719</v>
      </c>
    </row>
    <row r="103" spans="1:6" ht="18" customHeight="1" x14ac:dyDescent="0.25">
      <c r="A103" s="99">
        <v>4</v>
      </c>
      <c r="B103" s="100" t="s">
        <v>115</v>
      </c>
      <c r="C103" s="117">
        <v>937</v>
      </c>
      <c r="D103" s="117">
        <v>987</v>
      </c>
      <c r="E103" s="117">
        <f t="shared" si="14"/>
        <v>50</v>
      </c>
      <c r="F103" s="98">
        <f t="shared" si="15"/>
        <v>5.3361792956243333E-2</v>
      </c>
    </row>
    <row r="104" spans="1:6" ht="18" customHeight="1" x14ac:dyDescent="0.25">
      <c r="A104" s="99">
        <v>5</v>
      </c>
      <c r="B104" s="100" t="s">
        <v>116</v>
      </c>
      <c r="C104" s="117">
        <v>10</v>
      </c>
      <c r="D104" s="117">
        <v>20</v>
      </c>
      <c r="E104" s="117">
        <f t="shared" si="14"/>
        <v>10</v>
      </c>
      <c r="F104" s="98">
        <f t="shared" si="15"/>
        <v>1</v>
      </c>
    </row>
    <row r="105" spans="1:6" ht="18" customHeight="1" x14ac:dyDescent="0.25">
      <c r="A105" s="99">
        <v>6</v>
      </c>
      <c r="B105" s="100" t="s">
        <v>117</v>
      </c>
      <c r="C105" s="117">
        <v>244</v>
      </c>
      <c r="D105" s="117">
        <v>158</v>
      </c>
      <c r="E105" s="117">
        <f t="shared" si="14"/>
        <v>-86</v>
      </c>
      <c r="F105" s="98">
        <f t="shared" si="15"/>
        <v>-0.35245901639344263</v>
      </c>
    </row>
    <row r="106" spans="1:6" ht="18" customHeight="1" x14ac:dyDescent="0.25">
      <c r="A106" s="99">
        <v>7</v>
      </c>
      <c r="B106" s="100" t="s">
        <v>118</v>
      </c>
      <c r="C106" s="117">
        <v>2816</v>
      </c>
      <c r="D106" s="117">
        <v>2850</v>
      </c>
      <c r="E106" s="117">
        <f t="shared" si="14"/>
        <v>34</v>
      </c>
      <c r="F106" s="98">
        <f t="shared" si="15"/>
        <v>1.2073863636363636E-2</v>
      </c>
    </row>
    <row r="107" spans="1:6" ht="18" customHeight="1" x14ac:dyDescent="0.25">
      <c r="A107" s="99">
        <v>8</v>
      </c>
      <c r="B107" s="100" t="s">
        <v>119</v>
      </c>
      <c r="C107" s="117">
        <v>28</v>
      </c>
      <c r="D107" s="117">
        <v>28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302</v>
      </c>
      <c r="D108" s="117">
        <v>234</v>
      </c>
      <c r="E108" s="117">
        <f t="shared" si="14"/>
        <v>-68</v>
      </c>
      <c r="F108" s="98">
        <f t="shared" si="15"/>
        <v>-0.2251655629139073</v>
      </c>
    </row>
    <row r="109" spans="1:6" ht="18" customHeight="1" x14ac:dyDescent="0.25">
      <c r="A109" s="99">
        <v>10</v>
      </c>
      <c r="B109" s="100" t="s">
        <v>121</v>
      </c>
      <c r="C109" s="117">
        <v>305</v>
      </c>
      <c r="D109" s="117">
        <v>168</v>
      </c>
      <c r="E109" s="117">
        <f t="shared" si="14"/>
        <v>-137</v>
      </c>
      <c r="F109" s="98">
        <f t="shared" si="15"/>
        <v>-0.44918032786885248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9955</v>
      </c>
      <c r="D111" s="118">
        <f>SUM(D100:D110)</f>
        <v>9818</v>
      </c>
      <c r="E111" s="118">
        <f t="shared" si="14"/>
        <v>-137</v>
      </c>
      <c r="F111" s="104">
        <f t="shared" si="15"/>
        <v>-1.3761928679055751E-2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21601</v>
      </c>
      <c r="D113" s="117">
        <v>20097</v>
      </c>
      <c r="E113" s="117">
        <f t="shared" ref="E113:E124" si="16">D113-C113</f>
        <v>-1504</v>
      </c>
      <c r="F113" s="98">
        <f t="shared" ref="F113:F124" si="17">IF(C113=0,0,E113/C113)</f>
        <v>-6.9626406184898848E-2</v>
      </c>
    </row>
    <row r="114" spans="1:6" ht="18" customHeight="1" x14ac:dyDescent="0.25">
      <c r="A114" s="99">
        <v>2</v>
      </c>
      <c r="B114" s="100" t="s">
        <v>113</v>
      </c>
      <c r="C114" s="117">
        <v>2856</v>
      </c>
      <c r="D114" s="117">
        <v>3628</v>
      </c>
      <c r="E114" s="117">
        <f t="shared" si="16"/>
        <v>772</v>
      </c>
      <c r="F114" s="98">
        <f t="shared" si="17"/>
        <v>0.2703081232492997</v>
      </c>
    </row>
    <row r="115" spans="1:6" ht="18" customHeight="1" x14ac:dyDescent="0.25">
      <c r="A115" s="99">
        <v>3</v>
      </c>
      <c r="B115" s="100" t="s">
        <v>114</v>
      </c>
      <c r="C115" s="117">
        <v>2661</v>
      </c>
      <c r="D115" s="117">
        <v>3560</v>
      </c>
      <c r="E115" s="117">
        <f t="shared" si="16"/>
        <v>899</v>
      </c>
      <c r="F115" s="98">
        <f t="shared" si="17"/>
        <v>0.33784291619691847</v>
      </c>
    </row>
    <row r="116" spans="1:6" ht="18" customHeight="1" x14ac:dyDescent="0.25">
      <c r="A116" s="99">
        <v>4</v>
      </c>
      <c r="B116" s="100" t="s">
        <v>115</v>
      </c>
      <c r="C116" s="117">
        <v>2499</v>
      </c>
      <c r="D116" s="117">
        <v>2641</v>
      </c>
      <c r="E116" s="117">
        <f t="shared" si="16"/>
        <v>142</v>
      </c>
      <c r="F116" s="98">
        <f t="shared" si="17"/>
        <v>5.6822729091636652E-2</v>
      </c>
    </row>
    <row r="117" spans="1:6" ht="18" customHeight="1" x14ac:dyDescent="0.25">
      <c r="A117" s="99">
        <v>5</v>
      </c>
      <c r="B117" s="100" t="s">
        <v>116</v>
      </c>
      <c r="C117" s="117">
        <v>57</v>
      </c>
      <c r="D117" s="117">
        <v>58</v>
      </c>
      <c r="E117" s="117">
        <f t="shared" si="16"/>
        <v>1</v>
      </c>
      <c r="F117" s="98">
        <f t="shared" si="17"/>
        <v>1.7543859649122806E-2</v>
      </c>
    </row>
    <row r="118" spans="1:6" ht="18" customHeight="1" x14ac:dyDescent="0.25">
      <c r="A118" s="99">
        <v>6</v>
      </c>
      <c r="B118" s="100" t="s">
        <v>117</v>
      </c>
      <c r="C118" s="117">
        <v>824</v>
      </c>
      <c r="D118" s="117">
        <v>624</v>
      </c>
      <c r="E118" s="117">
        <f t="shared" si="16"/>
        <v>-200</v>
      </c>
      <c r="F118" s="98">
        <f t="shared" si="17"/>
        <v>-0.24271844660194175</v>
      </c>
    </row>
    <row r="119" spans="1:6" ht="18" customHeight="1" x14ac:dyDescent="0.25">
      <c r="A119" s="99">
        <v>7</v>
      </c>
      <c r="B119" s="100" t="s">
        <v>118</v>
      </c>
      <c r="C119" s="117">
        <v>9804</v>
      </c>
      <c r="D119" s="117">
        <v>9854</v>
      </c>
      <c r="E119" s="117">
        <f t="shared" si="16"/>
        <v>50</v>
      </c>
      <c r="F119" s="98">
        <f t="shared" si="17"/>
        <v>5.0999592003263972E-3</v>
      </c>
    </row>
    <row r="120" spans="1:6" ht="18" customHeight="1" x14ac:dyDescent="0.25">
      <c r="A120" s="99">
        <v>8</v>
      </c>
      <c r="B120" s="100" t="s">
        <v>119</v>
      </c>
      <c r="C120" s="117">
        <v>62</v>
      </c>
      <c r="D120" s="117">
        <v>79</v>
      </c>
      <c r="E120" s="117">
        <f t="shared" si="16"/>
        <v>17</v>
      </c>
      <c r="F120" s="98">
        <f t="shared" si="17"/>
        <v>0.27419354838709675</v>
      </c>
    </row>
    <row r="121" spans="1:6" ht="18" customHeight="1" x14ac:dyDescent="0.25">
      <c r="A121" s="99">
        <v>9</v>
      </c>
      <c r="B121" s="100" t="s">
        <v>120</v>
      </c>
      <c r="C121" s="117">
        <v>1077</v>
      </c>
      <c r="D121" s="117">
        <v>969</v>
      </c>
      <c r="E121" s="117">
        <f t="shared" si="16"/>
        <v>-108</v>
      </c>
      <c r="F121" s="98">
        <f t="shared" si="17"/>
        <v>-0.10027855153203342</v>
      </c>
    </row>
    <row r="122" spans="1:6" ht="18" customHeight="1" x14ac:dyDescent="0.25">
      <c r="A122" s="99">
        <v>10</v>
      </c>
      <c r="B122" s="100" t="s">
        <v>121</v>
      </c>
      <c r="C122" s="117">
        <v>1432</v>
      </c>
      <c r="D122" s="117">
        <v>849</v>
      </c>
      <c r="E122" s="117">
        <f t="shared" si="16"/>
        <v>-583</v>
      </c>
      <c r="F122" s="98">
        <f t="shared" si="17"/>
        <v>-0.40712290502793297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42873</v>
      </c>
      <c r="D124" s="118">
        <f>SUM(D113:D123)</f>
        <v>42359</v>
      </c>
      <c r="E124" s="118">
        <f t="shared" si="16"/>
        <v>-514</v>
      </c>
      <c r="F124" s="104">
        <f t="shared" si="17"/>
        <v>-1.1988897441280059E-2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29930</v>
      </c>
      <c r="D126" s="117">
        <v>28244</v>
      </c>
      <c r="E126" s="117">
        <f t="shared" ref="E126:E137" si="18">D126-C126</f>
        <v>-1686</v>
      </c>
      <c r="F126" s="98">
        <f t="shared" ref="F126:F137" si="19">IF(C126=0,0,E126/C126)</f>
        <v>-5.6331440026729032E-2</v>
      </c>
    </row>
    <row r="127" spans="1:6" ht="18" customHeight="1" x14ac:dyDescent="0.25">
      <c r="A127" s="99">
        <v>2</v>
      </c>
      <c r="B127" s="100" t="s">
        <v>113</v>
      </c>
      <c r="C127" s="117">
        <v>5675</v>
      </c>
      <c r="D127" s="117">
        <v>6981</v>
      </c>
      <c r="E127" s="117">
        <f t="shared" si="18"/>
        <v>1306</v>
      </c>
      <c r="F127" s="98">
        <f t="shared" si="19"/>
        <v>0.23013215859030836</v>
      </c>
    </row>
    <row r="128" spans="1:6" ht="18" customHeight="1" x14ac:dyDescent="0.25">
      <c r="A128" s="99">
        <v>3</v>
      </c>
      <c r="B128" s="100" t="s">
        <v>114</v>
      </c>
      <c r="C128" s="117">
        <v>7341</v>
      </c>
      <c r="D128" s="117">
        <v>8674</v>
      </c>
      <c r="E128" s="117">
        <f t="shared" si="18"/>
        <v>1333</v>
      </c>
      <c r="F128" s="98">
        <f t="shared" si="19"/>
        <v>0.18158289061435773</v>
      </c>
    </row>
    <row r="129" spans="1:6" ht="18" customHeight="1" x14ac:dyDescent="0.25">
      <c r="A129" s="99">
        <v>4</v>
      </c>
      <c r="B129" s="100" t="s">
        <v>115</v>
      </c>
      <c r="C129" s="117">
        <v>21239</v>
      </c>
      <c r="D129" s="117">
        <v>23987</v>
      </c>
      <c r="E129" s="117">
        <f t="shared" si="18"/>
        <v>2748</v>
      </c>
      <c r="F129" s="98">
        <f t="shared" si="19"/>
        <v>0.12938462262818401</v>
      </c>
    </row>
    <row r="130" spans="1:6" ht="18" customHeight="1" x14ac:dyDescent="0.25">
      <c r="A130" s="99">
        <v>5</v>
      </c>
      <c r="B130" s="100" t="s">
        <v>116</v>
      </c>
      <c r="C130" s="117">
        <v>356</v>
      </c>
      <c r="D130" s="117">
        <v>417</v>
      </c>
      <c r="E130" s="117">
        <f t="shared" si="18"/>
        <v>61</v>
      </c>
      <c r="F130" s="98">
        <f t="shared" si="19"/>
        <v>0.17134831460674158</v>
      </c>
    </row>
    <row r="131" spans="1:6" ht="18" customHeight="1" x14ac:dyDescent="0.25">
      <c r="A131" s="99">
        <v>6</v>
      </c>
      <c r="B131" s="100" t="s">
        <v>117</v>
      </c>
      <c r="C131" s="117">
        <v>5181</v>
      </c>
      <c r="D131" s="117">
        <v>3441</v>
      </c>
      <c r="E131" s="117">
        <f t="shared" si="18"/>
        <v>-1740</v>
      </c>
      <c r="F131" s="98">
        <f t="shared" si="19"/>
        <v>-0.33584250144759697</v>
      </c>
    </row>
    <row r="132" spans="1:6" ht="18" customHeight="1" x14ac:dyDescent="0.25">
      <c r="A132" s="99">
        <v>7</v>
      </c>
      <c r="B132" s="100" t="s">
        <v>118</v>
      </c>
      <c r="C132" s="117">
        <v>62235</v>
      </c>
      <c r="D132" s="117">
        <v>64594</v>
      </c>
      <c r="E132" s="117">
        <f t="shared" si="18"/>
        <v>2359</v>
      </c>
      <c r="F132" s="98">
        <f t="shared" si="19"/>
        <v>3.7904715995822284E-2</v>
      </c>
    </row>
    <row r="133" spans="1:6" ht="18" customHeight="1" x14ac:dyDescent="0.25">
      <c r="A133" s="99">
        <v>8</v>
      </c>
      <c r="B133" s="100" t="s">
        <v>119</v>
      </c>
      <c r="C133" s="117">
        <v>2377</v>
      </c>
      <c r="D133" s="117">
        <v>2207</v>
      </c>
      <c r="E133" s="117">
        <f t="shared" si="18"/>
        <v>-170</v>
      </c>
      <c r="F133" s="98">
        <f t="shared" si="19"/>
        <v>-7.1518721076987798E-2</v>
      </c>
    </row>
    <row r="134" spans="1:6" ht="18" customHeight="1" x14ac:dyDescent="0.25">
      <c r="A134" s="99">
        <v>9</v>
      </c>
      <c r="B134" s="100" t="s">
        <v>120</v>
      </c>
      <c r="C134" s="117">
        <v>9564</v>
      </c>
      <c r="D134" s="117">
        <v>9549</v>
      </c>
      <c r="E134" s="117">
        <f t="shared" si="18"/>
        <v>-15</v>
      </c>
      <c r="F134" s="98">
        <f t="shared" si="19"/>
        <v>-1.5683814303638645E-3</v>
      </c>
    </row>
    <row r="135" spans="1:6" ht="18" customHeight="1" x14ac:dyDescent="0.25">
      <c r="A135" s="99">
        <v>10</v>
      </c>
      <c r="B135" s="100" t="s">
        <v>121</v>
      </c>
      <c r="C135" s="117">
        <v>5765</v>
      </c>
      <c r="D135" s="117">
        <v>3931</v>
      </c>
      <c r="E135" s="117">
        <f t="shared" si="18"/>
        <v>-1834</v>
      </c>
      <c r="F135" s="98">
        <f t="shared" si="19"/>
        <v>-0.31812662619254117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149663</v>
      </c>
      <c r="D137" s="118">
        <f>SUM(D126:D136)</f>
        <v>152025</v>
      </c>
      <c r="E137" s="118">
        <f t="shared" si="18"/>
        <v>2362</v>
      </c>
      <c r="F137" s="104">
        <f t="shared" si="19"/>
        <v>1.5782123838223208E-2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12500000</v>
      </c>
      <c r="D142" s="97">
        <v>13300000</v>
      </c>
      <c r="E142" s="97">
        <f t="shared" ref="E142:E153" si="20">D142-C142</f>
        <v>800000</v>
      </c>
      <c r="F142" s="98">
        <f t="shared" ref="F142:F153" si="21">IF(C142=0,0,E142/C142)</f>
        <v>6.4000000000000001E-2</v>
      </c>
    </row>
    <row r="143" spans="1:6" ht="18" customHeight="1" x14ac:dyDescent="0.25">
      <c r="A143" s="99">
        <v>2</v>
      </c>
      <c r="B143" s="100" t="s">
        <v>113</v>
      </c>
      <c r="C143" s="97">
        <v>1900000</v>
      </c>
      <c r="D143" s="97">
        <v>2300000</v>
      </c>
      <c r="E143" s="97">
        <f t="shared" si="20"/>
        <v>400000</v>
      </c>
      <c r="F143" s="98">
        <f t="shared" si="21"/>
        <v>0.21052631578947367</v>
      </c>
    </row>
    <row r="144" spans="1:6" ht="18" customHeight="1" x14ac:dyDescent="0.25">
      <c r="A144" s="99">
        <v>3</v>
      </c>
      <c r="B144" s="100" t="s">
        <v>114</v>
      </c>
      <c r="C144" s="97">
        <v>4150000</v>
      </c>
      <c r="D144" s="97">
        <v>5800000</v>
      </c>
      <c r="E144" s="97">
        <f t="shared" si="20"/>
        <v>1650000</v>
      </c>
      <c r="F144" s="98">
        <f t="shared" si="21"/>
        <v>0.39759036144578314</v>
      </c>
    </row>
    <row r="145" spans="1:6" ht="18" customHeight="1" x14ac:dyDescent="0.25">
      <c r="A145" s="99">
        <v>4</v>
      </c>
      <c r="B145" s="100" t="s">
        <v>115</v>
      </c>
      <c r="C145" s="97">
        <v>8300000</v>
      </c>
      <c r="D145" s="97">
        <v>11200000</v>
      </c>
      <c r="E145" s="97">
        <f t="shared" si="20"/>
        <v>2900000</v>
      </c>
      <c r="F145" s="98">
        <f t="shared" si="21"/>
        <v>0.3493975903614458</v>
      </c>
    </row>
    <row r="146" spans="1:6" ht="18" customHeight="1" x14ac:dyDescent="0.25">
      <c r="A146" s="99">
        <v>5</v>
      </c>
      <c r="B146" s="100" t="s">
        <v>116</v>
      </c>
      <c r="C146" s="97">
        <v>165000</v>
      </c>
      <c r="D146" s="97">
        <v>250000</v>
      </c>
      <c r="E146" s="97">
        <f t="shared" si="20"/>
        <v>85000</v>
      </c>
      <c r="F146" s="98">
        <f t="shared" si="21"/>
        <v>0.51515151515151514</v>
      </c>
    </row>
    <row r="147" spans="1:6" ht="18" customHeight="1" x14ac:dyDescent="0.25">
      <c r="A147" s="99">
        <v>6</v>
      </c>
      <c r="B147" s="100" t="s">
        <v>117</v>
      </c>
      <c r="C147" s="97">
        <v>1700000</v>
      </c>
      <c r="D147" s="97">
        <v>1300000</v>
      </c>
      <c r="E147" s="97">
        <f t="shared" si="20"/>
        <v>-400000</v>
      </c>
      <c r="F147" s="98">
        <f t="shared" si="21"/>
        <v>-0.23529411764705882</v>
      </c>
    </row>
    <row r="148" spans="1:6" ht="18" customHeight="1" x14ac:dyDescent="0.25">
      <c r="A148" s="99">
        <v>7</v>
      </c>
      <c r="B148" s="100" t="s">
        <v>118</v>
      </c>
      <c r="C148" s="97">
        <v>20785000</v>
      </c>
      <c r="D148" s="97">
        <v>22950000</v>
      </c>
      <c r="E148" s="97">
        <f t="shared" si="20"/>
        <v>2165000</v>
      </c>
      <c r="F148" s="98">
        <f t="shared" si="21"/>
        <v>0.10416165503969209</v>
      </c>
    </row>
    <row r="149" spans="1:6" ht="18" customHeight="1" x14ac:dyDescent="0.25">
      <c r="A149" s="99">
        <v>8</v>
      </c>
      <c r="B149" s="100" t="s">
        <v>119</v>
      </c>
      <c r="C149" s="97">
        <v>700000</v>
      </c>
      <c r="D149" s="97">
        <v>700000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5700000</v>
      </c>
      <c r="D150" s="97">
        <v>6300000</v>
      </c>
      <c r="E150" s="97">
        <f t="shared" si="20"/>
        <v>600000</v>
      </c>
      <c r="F150" s="98">
        <f t="shared" si="21"/>
        <v>0.10526315789473684</v>
      </c>
    </row>
    <row r="151" spans="1:6" ht="18" customHeight="1" x14ac:dyDescent="0.25">
      <c r="A151" s="99">
        <v>10</v>
      </c>
      <c r="B151" s="100" t="s">
        <v>121</v>
      </c>
      <c r="C151" s="97">
        <v>3600000</v>
      </c>
      <c r="D151" s="97">
        <v>2400000</v>
      </c>
      <c r="E151" s="97">
        <f t="shared" si="20"/>
        <v>-1200000</v>
      </c>
      <c r="F151" s="98">
        <f t="shared" si="21"/>
        <v>-0.33333333333333331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59500000</v>
      </c>
      <c r="D153" s="103">
        <f>SUM(D142:D152)</f>
        <v>66500000</v>
      </c>
      <c r="E153" s="103">
        <f t="shared" si="20"/>
        <v>7000000</v>
      </c>
      <c r="F153" s="104">
        <f t="shared" si="21"/>
        <v>0.11764705882352941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3050000</v>
      </c>
      <c r="D155" s="97">
        <v>2800000</v>
      </c>
      <c r="E155" s="97">
        <f t="shared" ref="E155:E166" si="22">D155-C155</f>
        <v>-250000</v>
      </c>
      <c r="F155" s="98">
        <f t="shared" ref="F155:F166" si="23">IF(C155=0,0,E155/C155)</f>
        <v>-8.1967213114754092E-2</v>
      </c>
    </row>
    <row r="156" spans="1:6" ht="18" customHeight="1" x14ac:dyDescent="0.25">
      <c r="A156" s="99">
        <v>2</v>
      </c>
      <c r="B156" s="100" t="s">
        <v>113</v>
      </c>
      <c r="C156" s="97">
        <v>560000</v>
      </c>
      <c r="D156" s="97">
        <v>660000</v>
      </c>
      <c r="E156" s="97">
        <f t="shared" si="22"/>
        <v>100000</v>
      </c>
      <c r="F156" s="98">
        <f t="shared" si="23"/>
        <v>0.17857142857142858</v>
      </c>
    </row>
    <row r="157" spans="1:6" ht="18" customHeight="1" x14ac:dyDescent="0.25">
      <c r="A157" s="99">
        <v>3</v>
      </c>
      <c r="B157" s="100" t="s">
        <v>114</v>
      </c>
      <c r="C157" s="97">
        <v>1050000</v>
      </c>
      <c r="D157" s="97">
        <v>1100000</v>
      </c>
      <c r="E157" s="97">
        <f t="shared" si="22"/>
        <v>50000</v>
      </c>
      <c r="F157" s="98">
        <f t="shared" si="23"/>
        <v>4.7619047619047616E-2</v>
      </c>
    </row>
    <row r="158" spans="1:6" ht="18" customHeight="1" x14ac:dyDescent="0.25">
      <c r="A158" s="99">
        <v>4</v>
      </c>
      <c r="B158" s="100" t="s">
        <v>115</v>
      </c>
      <c r="C158" s="97">
        <v>2700000</v>
      </c>
      <c r="D158" s="97">
        <v>3000000</v>
      </c>
      <c r="E158" s="97">
        <f t="shared" si="22"/>
        <v>300000</v>
      </c>
      <c r="F158" s="98">
        <f t="shared" si="23"/>
        <v>0.1111111111111111</v>
      </c>
    </row>
    <row r="159" spans="1:6" ht="18" customHeight="1" x14ac:dyDescent="0.25">
      <c r="A159" s="99">
        <v>5</v>
      </c>
      <c r="B159" s="100" t="s">
        <v>116</v>
      </c>
      <c r="C159" s="97">
        <v>65000</v>
      </c>
      <c r="D159" s="97">
        <v>80000</v>
      </c>
      <c r="E159" s="97">
        <f t="shared" si="22"/>
        <v>15000</v>
      </c>
      <c r="F159" s="98">
        <f t="shared" si="23"/>
        <v>0.23076923076923078</v>
      </c>
    </row>
    <row r="160" spans="1:6" ht="18" customHeight="1" x14ac:dyDescent="0.25">
      <c r="A160" s="99">
        <v>6</v>
      </c>
      <c r="B160" s="100" t="s">
        <v>117</v>
      </c>
      <c r="C160" s="97">
        <v>1071000</v>
      </c>
      <c r="D160" s="97">
        <v>770000</v>
      </c>
      <c r="E160" s="97">
        <f t="shared" si="22"/>
        <v>-301000</v>
      </c>
      <c r="F160" s="98">
        <f t="shared" si="23"/>
        <v>-0.28104575163398693</v>
      </c>
    </row>
    <row r="161" spans="1:6" ht="18" customHeight="1" x14ac:dyDescent="0.25">
      <c r="A161" s="99">
        <v>7</v>
      </c>
      <c r="B161" s="100" t="s">
        <v>118</v>
      </c>
      <c r="C161" s="97">
        <v>12665000</v>
      </c>
      <c r="D161" s="97">
        <v>13800000</v>
      </c>
      <c r="E161" s="97">
        <f t="shared" si="22"/>
        <v>1135000</v>
      </c>
      <c r="F161" s="98">
        <f t="shared" si="23"/>
        <v>8.9617054875641533E-2</v>
      </c>
    </row>
    <row r="162" spans="1:6" ht="18" customHeight="1" x14ac:dyDescent="0.25">
      <c r="A162" s="99">
        <v>8</v>
      </c>
      <c r="B162" s="100" t="s">
        <v>119</v>
      </c>
      <c r="C162" s="97">
        <v>673000</v>
      </c>
      <c r="D162" s="97">
        <v>600000</v>
      </c>
      <c r="E162" s="97">
        <f t="shared" si="22"/>
        <v>-73000</v>
      </c>
      <c r="F162" s="98">
        <f t="shared" si="23"/>
        <v>-0.10846953937592868</v>
      </c>
    </row>
    <row r="163" spans="1:6" ht="18" customHeight="1" x14ac:dyDescent="0.25">
      <c r="A163" s="99">
        <v>9</v>
      </c>
      <c r="B163" s="100" t="s">
        <v>120</v>
      </c>
      <c r="C163" s="97">
        <v>260000</v>
      </c>
      <c r="D163" s="97">
        <v>350000</v>
      </c>
      <c r="E163" s="97">
        <f t="shared" si="22"/>
        <v>90000</v>
      </c>
      <c r="F163" s="98">
        <f t="shared" si="23"/>
        <v>0.34615384615384615</v>
      </c>
    </row>
    <row r="164" spans="1:6" ht="18" customHeight="1" x14ac:dyDescent="0.25">
      <c r="A164" s="99">
        <v>10</v>
      </c>
      <c r="B164" s="100" t="s">
        <v>121</v>
      </c>
      <c r="C164" s="97">
        <v>406000</v>
      </c>
      <c r="D164" s="97">
        <v>240000</v>
      </c>
      <c r="E164" s="97">
        <f t="shared" si="22"/>
        <v>-166000</v>
      </c>
      <c r="F164" s="98">
        <f t="shared" si="23"/>
        <v>-0.40886699507389163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22500000</v>
      </c>
      <c r="D166" s="103">
        <f>SUM(D155:D165)</f>
        <v>23400000</v>
      </c>
      <c r="E166" s="103">
        <f t="shared" si="22"/>
        <v>900000</v>
      </c>
      <c r="F166" s="104">
        <f t="shared" si="23"/>
        <v>0.04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7736</v>
      </c>
      <c r="D168" s="117">
        <v>8355</v>
      </c>
      <c r="E168" s="117">
        <f t="shared" ref="E168:E179" si="24">D168-C168</f>
        <v>619</v>
      </c>
      <c r="F168" s="98">
        <f t="shared" ref="F168:F179" si="25">IF(C168=0,0,E168/C168)</f>
        <v>8.0015511892450875E-2</v>
      </c>
    </row>
    <row r="169" spans="1:6" ht="18" customHeight="1" x14ac:dyDescent="0.25">
      <c r="A169" s="99">
        <v>2</v>
      </c>
      <c r="B169" s="100" t="s">
        <v>113</v>
      </c>
      <c r="C169" s="117">
        <v>998</v>
      </c>
      <c r="D169" s="117">
        <v>1466</v>
      </c>
      <c r="E169" s="117">
        <f t="shared" si="24"/>
        <v>468</v>
      </c>
      <c r="F169" s="98">
        <f t="shared" si="25"/>
        <v>0.46893787575150303</v>
      </c>
    </row>
    <row r="170" spans="1:6" ht="18" customHeight="1" x14ac:dyDescent="0.25">
      <c r="A170" s="99">
        <v>3</v>
      </c>
      <c r="B170" s="100" t="s">
        <v>114</v>
      </c>
      <c r="C170" s="117">
        <v>3981</v>
      </c>
      <c r="D170" s="117">
        <v>5220</v>
      </c>
      <c r="E170" s="117">
        <f t="shared" si="24"/>
        <v>1239</v>
      </c>
      <c r="F170" s="98">
        <f t="shared" si="25"/>
        <v>0.31122833458929916</v>
      </c>
    </row>
    <row r="171" spans="1:6" ht="18" customHeight="1" x14ac:dyDescent="0.25">
      <c r="A171" s="99">
        <v>4</v>
      </c>
      <c r="B171" s="100" t="s">
        <v>115</v>
      </c>
      <c r="C171" s="117">
        <v>13979</v>
      </c>
      <c r="D171" s="117">
        <v>16598</v>
      </c>
      <c r="E171" s="117">
        <f t="shared" si="24"/>
        <v>2619</v>
      </c>
      <c r="F171" s="98">
        <f t="shared" si="25"/>
        <v>0.18735245725731453</v>
      </c>
    </row>
    <row r="172" spans="1:6" ht="18" customHeight="1" x14ac:dyDescent="0.25">
      <c r="A172" s="99">
        <v>5</v>
      </c>
      <c r="B172" s="100" t="s">
        <v>116</v>
      </c>
      <c r="C172" s="117">
        <v>216</v>
      </c>
      <c r="D172" s="117">
        <v>302</v>
      </c>
      <c r="E172" s="117">
        <f t="shared" si="24"/>
        <v>86</v>
      </c>
      <c r="F172" s="98">
        <f t="shared" si="25"/>
        <v>0.39814814814814814</v>
      </c>
    </row>
    <row r="173" spans="1:6" ht="18" customHeight="1" x14ac:dyDescent="0.25">
      <c r="A173" s="99">
        <v>6</v>
      </c>
      <c r="B173" s="100" t="s">
        <v>117</v>
      </c>
      <c r="C173" s="117">
        <v>1973</v>
      </c>
      <c r="D173" s="117">
        <v>1366</v>
      </c>
      <c r="E173" s="117">
        <f t="shared" si="24"/>
        <v>-607</v>
      </c>
      <c r="F173" s="98">
        <f t="shared" si="25"/>
        <v>-0.30765331981753674</v>
      </c>
    </row>
    <row r="174" spans="1:6" ht="18" customHeight="1" x14ac:dyDescent="0.25">
      <c r="A174" s="99">
        <v>7</v>
      </c>
      <c r="B174" s="100" t="s">
        <v>118</v>
      </c>
      <c r="C174" s="117">
        <v>19922</v>
      </c>
      <c r="D174" s="117">
        <v>24624</v>
      </c>
      <c r="E174" s="117">
        <f t="shared" si="24"/>
        <v>4702</v>
      </c>
      <c r="F174" s="98">
        <f t="shared" si="25"/>
        <v>0.23602047987149885</v>
      </c>
    </row>
    <row r="175" spans="1:6" ht="18" customHeight="1" x14ac:dyDescent="0.25">
      <c r="A175" s="99">
        <v>8</v>
      </c>
      <c r="B175" s="100" t="s">
        <v>119</v>
      </c>
      <c r="C175" s="117">
        <v>969</v>
      </c>
      <c r="D175" s="117">
        <v>943</v>
      </c>
      <c r="E175" s="117">
        <f t="shared" si="24"/>
        <v>-26</v>
      </c>
      <c r="F175" s="98">
        <f t="shared" si="25"/>
        <v>-2.6831785345717233E-2</v>
      </c>
    </row>
    <row r="176" spans="1:6" ht="18" customHeight="1" x14ac:dyDescent="0.25">
      <c r="A176" s="99">
        <v>9</v>
      </c>
      <c r="B176" s="100" t="s">
        <v>120</v>
      </c>
      <c r="C176" s="117">
        <v>7025</v>
      </c>
      <c r="D176" s="117">
        <v>7524</v>
      </c>
      <c r="E176" s="117">
        <f t="shared" si="24"/>
        <v>499</v>
      </c>
      <c r="F176" s="98">
        <f t="shared" si="25"/>
        <v>7.1032028469750888E-2</v>
      </c>
    </row>
    <row r="177" spans="1:6" ht="18" customHeight="1" x14ac:dyDescent="0.25">
      <c r="A177" s="99">
        <v>10</v>
      </c>
      <c r="B177" s="100" t="s">
        <v>121</v>
      </c>
      <c r="C177" s="117">
        <v>3681</v>
      </c>
      <c r="D177" s="117">
        <v>2544</v>
      </c>
      <c r="E177" s="117">
        <f t="shared" si="24"/>
        <v>-1137</v>
      </c>
      <c r="F177" s="98">
        <f t="shared" si="25"/>
        <v>-0.30888345558272207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60480</v>
      </c>
      <c r="D179" s="118">
        <f>SUM(D168:D178)</f>
        <v>68942</v>
      </c>
      <c r="E179" s="118">
        <f t="shared" si="24"/>
        <v>8462</v>
      </c>
      <c r="F179" s="104">
        <f t="shared" si="25"/>
        <v>0.13991402116402116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FILING&amp;RMIDSTATE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A2" sqref="A2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24579480</v>
      </c>
      <c r="D15" s="146">
        <v>25964260</v>
      </c>
      <c r="E15" s="146">
        <f>+D15-C15</f>
        <v>1384780</v>
      </c>
      <c r="F15" s="150">
        <f>IF(C15=0,0,E15/C15)</f>
        <v>5.6338864776634821E-2</v>
      </c>
    </row>
    <row r="16" spans="1:7" ht="15" customHeight="1" x14ac:dyDescent="0.2">
      <c r="A16" s="141">
        <v>2</v>
      </c>
      <c r="B16" s="149" t="s">
        <v>158</v>
      </c>
      <c r="C16" s="146">
        <v>8816052</v>
      </c>
      <c r="D16" s="146">
        <v>9314012</v>
      </c>
      <c r="E16" s="146">
        <f>+D16-C16</f>
        <v>497960</v>
      </c>
      <c r="F16" s="150">
        <f>IF(C16=0,0,E16/C16)</f>
        <v>5.6483332902301391E-2</v>
      </c>
    </row>
    <row r="17" spans="1:7" ht="15" customHeight="1" x14ac:dyDescent="0.2">
      <c r="A17" s="141">
        <v>3</v>
      </c>
      <c r="B17" s="149" t="s">
        <v>159</v>
      </c>
      <c r="C17" s="146">
        <v>31056879</v>
      </c>
      <c r="D17" s="146">
        <v>33947144</v>
      </c>
      <c r="E17" s="146">
        <f>+D17-C17</f>
        <v>2890265</v>
      </c>
      <c r="F17" s="150">
        <f>IF(C17=0,0,E17/C17)</f>
        <v>9.3063601142922309E-2</v>
      </c>
    </row>
    <row r="18" spans="1:7" ht="15.75" customHeight="1" x14ac:dyDescent="0.25">
      <c r="A18" s="141"/>
      <c r="B18" s="151" t="s">
        <v>160</v>
      </c>
      <c r="C18" s="147">
        <f>SUM(C15:C17)</f>
        <v>64452411</v>
      </c>
      <c r="D18" s="147">
        <f>SUM(D15:D17)</f>
        <v>69225416</v>
      </c>
      <c r="E18" s="147">
        <f>+D18-C18</f>
        <v>4773005</v>
      </c>
      <c r="F18" s="148">
        <f>IF(C18=0,0,E18/C18)</f>
        <v>7.4054716122256461E-2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6537518</v>
      </c>
      <c r="D21" s="146">
        <v>8009974</v>
      </c>
      <c r="E21" s="146">
        <f>+D21-C21</f>
        <v>1472456</v>
      </c>
      <c r="F21" s="150">
        <f>IF(C21=0,0,E21/C21)</f>
        <v>0.22523165519391306</v>
      </c>
    </row>
    <row r="22" spans="1:7" ht="15" customHeight="1" x14ac:dyDescent="0.2">
      <c r="A22" s="141">
        <v>2</v>
      </c>
      <c r="B22" s="149" t="s">
        <v>163</v>
      </c>
      <c r="C22" s="146">
        <v>2399979</v>
      </c>
      <c r="D22" s="146">
        <v>2873372</v>
      </c>
      <c r="E22" s="146">
        <f>+D22-C22</f>
        <v>473393</v>
      </c>
      <c r="F22" s="150">
        <f>IF(C22=0,0,E22/C22)</f>
        <v>0.19724880926041435</v>
      </c>
    </row>
    <row r="23" spans="1:7" ht="15" customHeight="1" x14ac:dyDescent="0.2">
      <c r="A23" s="141">
        <v>3</v>
      </c>
      <c r="B23" s="149" t="s">
        <v>164</v>
      </c>
      <c r="C23" s="146">
        <v>8205208</v>
      </c>
      <c r="D23" s="146">
        <v>10476488</v>
      </c>
      <c r="E23" s="146">
        <f>+D23-C23</f>
        <v>2271280</v>
      </c>
      <c r="F23" s="150">
        <f>IF(C23=0,0,E23/C23)</f>
        <v>0.27680955802704821</v>
      </c>
    </row>
    <row r="24" spans="1:7" ht="15.75" customHeight="1" x14ac:dyDescent="0.25">
      <c r="A24" s="141"/>
      <c r="B24" s="151" t="s">
        <v>165</v>
      </c>
      <c r="C24" s="147">
        <f>SUM(C21:C23)</f>
        <v>17142705</v>
      </c>
      <c r="D24" s="147">
        <f>SUM(D21:D23)</f>
        <v>21359834</v>
      </c>
      <c r="E24" s="147">
        <f>+D24-C24</f>
        <v>4217129</v>
      </c>
      <c r="F24" s="148">
        <f>IF(C24=0,0,E24/C24)</f>
        <v>0.24600137492886917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942232</v>
      </c>
      <c r="D27" s="146">
        <v>254247</v>
      </c>
      <c r="E27" s="146">
        <f>+D27-C27</f>
        <v>-687985</v>
      </c>
      <c r="F27" s="150">
        <f>IF(C27=0,0,E27/C27)</f>
        <v>-0.73016518224810878</v>
      </c>
    </row>
    <row r="28" spans="1:7" ht="15" customHeight="1" x14ac:dyDescent="0.2">
      <c r="A28" s="141">
        <v>2</v>
      </c>
      <c r="B28" s="149" t="s">
        <v>168</v>
      </c>
      <c r="C28" s="146">
        <v>1394538</v>
      </c>
      <c r="D28" s="146">
        <v>1479671</v>
      </c>
      <c r="E28" s="146">
        <f>+D28-C28</f>
        <v>85133</v>
      </c>
      <c r="F28" s="150">
        <f>IF(C28=0,0,E28/C28)</f>
        <v>6.1047458011183629E-2</v>
      </c>
    </row>
    <row r="29" spans="1:7" ht="15" customHeight="1" x14ac:dyDescent="0.2">
      <c r="A29" s="141">
        <v>3</v>
      </c>
      <c r="B29" s="149" t="s">
        <v>169</v>
      </c>
      <c r="C29" s="146">
        <v>16741709</v>
      </c>
      <c r="D29" s="146">
        <v>17627594</v>
      </c>
      <c r="E29" s="146">
        <f>+D29-C29</f>
        <v>885885</v>
      </c>
      <c r="F29" s="150">
        <f>IF(C29=0,0,E29/C29)</f>
        <v>5.2914848776788558E-2</v>
      </c>
    </row>
    <row r="30" spans="1:7" ht="15.75" customHeight="1" x14ac:dyDescent="0.25">
      <c r="A30" s="141"/>
      <c r="B30" s="151" t="s">
        <v>170</v>
      </c>
      <c r="C30" s="147">
        <f>SUM(C27:C29)</f>
        <v>19078479</v>
      </c>
      <c r="D30" s="147">
        <f>SUM(D27:D29)</f>
        <v>19361512</v>
      </c>
      <c r="E30" s="147">
        <f>+D30-C30</f>
        <v>283033</v>
      </c>
      <c r="F30" s="148">
        <f>IF(C30=0,0,E30/C30)</f>
        <v>1.4835197292195044E-2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13806330</v>
      </c>
      <c r="D33" s="146">
        <v>13667837</v>
      </c>
      <c r="E33" s="146">
        <f>+D33-C33</f>
        <v>-138493</v>
      </c>
      <c r="F33" s="150">
        <f>IF(C33=0,0,E33/C33)</f>
        <v>-1.0031123404988872E-2</v>
      </c>
    </row>
    <row r="34" spans="1:7" ht="15" customHeight="1" x14ac:dyDescent="0.2">
      <c r="A34" s="141">
        <v>2</v>
      </c>
      <c r="B34" s="149" t="s">
        <v>174</v>
      </c>
      <c r="C34" s="146">
        <v>5092182</v>
      </c>
      <c r="D34" s="146">
        <v>5575830</v>
      </c>
      <c r="E34" s="146">
        <f>+D34-C34</f>
        <v>483648</v>
      </c>
      <c r="F34" s="150">
        <f>IF(C34=0,0,E34/C34)</f>
        <v>9.4978537687773146E-2</v>
      </c>
    </row>
    <row r="35" spans="1:7" ht="15.75" customHeight="1" x14ac:dyDescent="0.25">
      <c r="A35" s="141"/>
      <c r="B35" s="151" t="s">
        <v>175</v>
      </c>
      <c r="C35" s="147">
        <f>SUM(C33:C34)</f>
        <v>18898512</v>
      </c>
      <c r="D35" s="147">
        <f>SUM(D33:D34)</f>
        <v>19243667</v>
      </c>
      <c r="E35" s="147">
        <f>+D35-C35</f>
        <v>345155</v>
      </c>
      <c r="F35" s="148">
        <f>IF(C35=0,0,E35/C35)</f>
        <v>1.8263607208863851E-2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3668711</v>
      </c>
      <c r="D38" s="146">
        <v>4678169</v>
      </c>
      <c r="E38" s="146">
        <f>+D38-C38</f>
        <v>1009458</v>
      </c>
      <c r="F38" s="150">
        <f>IF(C38=0,0,E38/C38)</f>
        <v>0.27515331679164701</v>
      </c>
    </row>
    <row r="39" spans="1:7" ht="15" customHeight="1" x14ac:dyDescent="0.2">
      <c r="A39" s="141">
        <v>2</v>
      </c>
      <c r="B39" s="149" t="s">
        <v>179</v>
      </c>
      <c r="C39" s="146">
        <v>4997455</v>
      </c>
      <c r="D39" s="146">
        <v>6241469</v>
      </c>
      <c r="E39" s="146">
        <f>+D39-C39</f>
        <v>1244014</v>
      </c>
      <c r="F39" s="150">
        <f>IF(C39=0,0,E39/C39)</f>
        <v>0.2489295051181051</v>
      </c>
    </row>
    <row r="40" spans="1:7" ht="15" customHeight="1" x14ac:dyDescent="0.2">
      <c r="A40" s="141">
        <v>3</v>
      </c>
      <c r="B40" s="149" t="s">
        <v>180</v>
      </c>
      <c r="C40" s="146">
        <v>62467</v>
      </c>
      <c r="D40" s="146">
        <v>62467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8728633</v>
      </c>
      <c r="D41" s="147">
        <f>SUM(D38:D40)</f>
        <v>10982105</v>
      </c>
      <c r="E41" s="147">
        <f>+D41-C41</f>
        <v>2253472</v>
      </c>
      <c r="F41" s="148">
        <f>IF(C41=0,0,E41/C41)</f>
        <v>0.25817009375924044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9717615</v>
      </c>
      <c r="D44" s="146">
        <v>10465542</v>
      </c>
      <c r="E44" s="146">
        <f>+D44-C44</f>
        <v>747927</v>
      </c>
      <c r="F44" s="150">
        <f>IF(C44=0,0,E44/C44)</f>
        <v>7.6966107424506935E-2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2456574</v>
      </c>
      <c r="D47" s="146">
        <v>2221191</v>
      </c>
      <c r="E47" s="146">
        <f>+D47-C47</f>
        <v>-235383</v>
      </c>
      <c r="F47" s="150">
        <f>IF(C47=0,0,E47/C47)</f>
        <v>-9.581758986295548E-2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5321837</v>
      </c>
      <c r="D50" s="146">
        <v>5917588</v>
      </c>
      <c r="E50" s="146">
        <f>+D50-C50</f>
        <v>595751</v>
      </c>
      <c r="F50" s="150">
        <f>IF(C50=0,0,E50/C50)</f>
        <v>0.11194461611657779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180000</v>
      </c>
      <c r="D53" s="146">
        <v>180000</v>
      </c>
      <c r="E53" s="146">
        <f t="shared" ref="E53:E59" si="0">+D53-C53</f>
        <v>0</v>
      </c>
      <c r="F53" s="150">
        <f t="shared" ref="F53:F59" si="1">IF(C53=0,0,E53/C53)</f>
        <v>0</v>
      </c>
    </row>
    <row r="54" spans="1:7" ht="15" customHeight="1" x14ac:dyDescent="0.2">
      <c r="A54" s="141">
        <v>2</v>
      </c>
      <c r="B54" s="149" t="s">
        <v>193</v>
      </c>
      <c r="C54" s="146">
        <v>883695</v>
      </c>
      <c r="D54" s="146">
        <v>1111959</v>
      </c>
      <c r="E54" s="146">
        <f t="shared" si="0"/>
        <v>228264</v>
      </c>
      <c r="F54" s="150">
        <f t="shared" si="1"/>
        <v>0.25830631609322219</v>
      </c>
    </row>
    <row r="55" spans="1:7" ht="15" customHeight="1" x14ac:dyDescent="0.2">
      <c r="A55" s="141">
        <v>3</v>
      </c>
      <c r="B55" s="149" t="s">
        <v>194</v>
      </c>
      <c r="C55" s="146">
        <v>64538</v>
      </c>
      <c r="D55" s="146">
        <v>29752</v>
      </c>
      <c r="E55" s="146">
        <f t="shared" si="0"/>
        <v>-34786</v>
      </c>
      <c r="F55" s="150">
        <f t="shared" si="1"/>
        <v>-0.5390002789054511</v>
      </c>
    </row>
    <row r="56" spans="1:7" ht="15" customHeight="1" x14ac:dyDescent="0.2">
      <c r="A56" s="141">
        <v>4</v>
      </c>
      <c r="B56" s="149" t="s">
        <v>195</v>
      </c>
      <c r="C56" s="146">
        <v>1479807</v>
      </c>
      <c r="D56" s="146">
        <v>1619465</v>
      </c>
      <c r="E56" s="146">
        <f t="shared" si="0"/>
        <v>139658</v>
      </c>
      <c r="F56" s="150">
        <f t="shared" si="1"/>
        <v>9.4375820630663326E-2</v>
      </c>
    </row>
    <row r="57" spans="1:7" ht="15" customHeight="1" x14ac:dyDescent="0.2">
      <c r="A57" s="141">
        <v>5</v>
      </c>
      <c r="B57" s="149" t="s">
        <v>196</v>
      </c>
      <c r="C57" s="146">
        <v>347670</v>
      </c>
      <c r="D57" s="146">
        <v>315518</v>
      </c>
      <c r="E57" s="146">
        <f t="shared" si="0"/>
        <v>-32152</v>
      </c>
      <c r="F57" s="150">
        <f t="shared" si="1"/>
        <v>-9.2478499726752386E-2</v>
      </c>
    </row>
    <row r="58" spans="1:7" ht="15" customHeight="1" x14ac:dyDescent="0.2">
      <c r="A58" s="141">
        <v>6</v>
      </c>
      <c r="B58" s="149" t="s">
        <v>197</v>
      </c>
      <c r="C58" s="146">
        <v>12240</v>
      </c>
      <c r="D58" s="146">
        <v>13856</v>
      </c>
      <c r="E58" s="146">
        <f t="shared" si="0"/>
        <v>1616</v>
      </c>
      <c r="F58" s="150">
        <f t="shared" si="1"/>
        <v>0.13202614379084968</v>
      </c>
    </row>
    <row r="59" spans="1:7" ht="15.75" customHeight="1" x14ac:dyDescent="0.25">
      <c r="A59" s="141"/>
      <c r="B59" s="151" t="s">
        <v>198</v>
      </c>
      <c r="C59" s="147">
        <f>SUM(C53:C58)</f>
        <v>2967950</v>
      </c>
      <c r="D59" s="147">
        <f>SUM(D53:D58)</f>
        <v>3270550</v>
      </c>
      <c r="E59" s="147">
        <f t="shared" si="0"/>
        <v>302600</v>
      </c>
      <c r="F59" s="148">
        <f t="shared" si="1"/>
        <v>0.10195589548341448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206107</v>
      </c>
      <c r="D62" s="146">
        <v>162170</v>
      </c>
      <c r="E62" s="146">
        <f t="shared" ref="E62:E78" si="2">+D62-C62</f>
        <v>-43937</v>
      </c>
      <c r="F62" s="150">
        <f t="shared" ref="F62:F78" si="3">IF(C62=0,0,E62/C62)</f>
        <v>-0.21317568059309</v>
      </c>
    </row>
    <row r="63" spans="1:7" ht="15" customHeight="1" x14ac:dyDescent="0.2">
      <c r="A63" s="141">
        <v>2</v>
      </c>
      <c r="B63" s="149" t="s">
        <v>202</v>
      </c>
      <c r="C63" s="146">
        <v>246226</v>
      </c>
      <c r="D63" s="146">
        <v>155210</v>
      </c>
      <c r="E63" s="146">
        <f t="shared" si="2"/>
        <v>-91016</v>
      </c>
      <c r="F63" s="150">
        <f t="shared" si="3"/>
        <v>-0.36964414805910017</v>
      </c>
    </row>
    <row r="64" spans="1:7" ht="15" customHeight="1" x14ac:dyDescent="0.2">
      <c r="A64" s="141">
        <v>3</v>
      </c>
      <c r="B64" s="149" t="s">
        <v>203</v>
      </c>
      <c r="C64" s="146">
        <v>668084</v>
      </c>
      <c r="D64" s="146">
        <v>896077</v>
      </c>
      <c r="E64" s="146">
        <f t="shared" si="2"/>
        <v>227993</v>
      </c>
      <c r="F64" s="150">
        <f t="shared" si="3"/>
        <v>0.3412639727938403</v>
      </c>
    </row>
    <row r="65" spans="1:7" ht="15" customHeight="1" x14ac:dyDescent="0.2">
      <c r="A65" s="141">
        <v>4</v>
      </c>
      <c r="B65" s="149" t="s">
        <v>204</v>
      </c>
      <c r="C65" s="146">
        <v>2127533</v>
      </c>
      <c r="D65" s="146">
        <v>2615994</v>
      </c>
      <c r="E65" s="146">
        <f t="shared" si="2"/>
        <v>488461</v>
      </c>
      <c r="F65" s="150">
        <f t="shared" si="3"/>
        <v>0.22959032832863227</v>
      </c>
    </row>
    <row r="66" spans="1:7" ht="15" customHeight="1" x14ac:dyDescent="0.2">
      <c r="A66" s="141">
        <v>5</v>
      </c>
      <c r="B66" s="149" t="s">
        <v>205</v>
      </c>
      <c r="C66" s="146">
        <v>810470</v>
      </c>
      <c r="D66" s="146">
        <v>934206</v>
      </c>
      <c r="E66" s="146">
        <f t="shared" si="2"/>
        <v>123736</v>
      </c>
      <c r="F66" s="150">
        <f t="shared" si="3"/>
        <v>0.15267190642466716</v>
      </c>
    </row>
    <row r="67" spans="1:7" ht="15" customHeight="1" x14ac:dyDescent="0.2">
      <c r="A67" s="141">
        <v>6</v>
      </c>
      <c r="B67" s="149" t="s">
        <v>206</v>
      </c>
      <c r="C67" s="146">
        <v>710410</v>
      </c>
      <c r="D67" s="146">
        <v>2653015</v>
      </c>
      <c r="E67" s="146">
        <f t="shared" si="2"/>
        <v>1942605</v>
      </c>
      <c r="F67" s="150">
        <f t="shared" si="3"/>
        <v>2.7344843118762405</v>
      </c>
    </row>
    <row r="68" spans="1:7" ht="15" customHeight="1" x14ac:dyDescent="0.2">
      <c r="A68" s="141">
        <v>7</v>
      </c>
      <c r="B68" s="149" t="s">
        <v>207</v>
      </c>
      <c r="C68" s="146">
        <v>2824644</v>
      </c>
      <c r="D68" s="146">
        <v>3336389</v>
      </c>
      <c r="E68" s="146">
        <f t="shared" si="2"/>
        <v>511745</v>
      </c>
      <c r="F68" s="150">
        <f t="shared" si="3"/>
        <v>0.18117150338237314</v>
      </c>
    </row>
    <row r="69" spans="1:7" ht="15" customHeight="1" x14ac:dyDescent="0.2">
      <c r="A69" s="141">
        <v>8</v>
      </c>
      <c r="B69" s="149" t="s">
        <v>208</v>
      </c>
      <c r="C69" s="146">
        <v>444396</v>
      </c>
      <c r="D69" s="146">
        <v>341801</v>
      </c>
      <c r="E69" s="146">
        <f t="shared" si="2"/>
        <v>-102595</v>
      </c>
      <c r="F69" s="150">
        <f t="shared" si="3"/>
        <v>-0.23086391416664417</v>
      </c>
    </row>
    <row r="70" spans="1:7" ht="15" customHeight="1" x14ac:dyDescent="0.2">
      <c r="A70" s="141">
        <v>9</v>
      </c>
      <c r="B70" s="149" t="s">
        <v>209</v>
      </c>
      <c r="C70" s="146">
        <v>83005</v>
      </c>
      <c r="D70" s="146">
        <v>74530</v>
      </c>
      <c r="E70" s="146">
        <f t="shared" si="2"/>
        <v>-8475</v>
      </c>
      <c r="F70" s="150">
        <f t="shared" si="3"/>
        <v>-0.10210228299500031</v>
      </c>
    </row>
    <row r="71" spans="1:7" ht="15" customHeight="1" x14ac:dyDescent="0.2">
      <c r="A71" s="141">
        <v>10</v>
      </c>
      <c r="B71" s="149" t="s">
        <v>210</v>
      </c>
      <c r="C71" s="146">
        <v>38293</v>
      </c>
      <c r="D71" s="146">
        <v>56275</v>
      </c>
      <c r="E71" s="146">
        <f t="shared" si="2"/>
        <v>17982</v>
      </c>
      <c r="F71" s="150">
        <f t="shared" si="3"/>
        <v>0.4695897422505419</v>
      </c>
    </row>
    <row r="72" spans="1:7" ht="15" customHeight="1" x14ac:dyDescent="0.2">
      <c r="A72" s="141">
        <v>11</v>
      </c>
      <c r="B72" s="149" t="s">
        <v>211</v>
      </c>
      <c r="C72" s="146">
        <v>18449</v>
      </c>
      <c r="D72" s="146">
        <v>107671</v>
      </c>
      <c r="E72" s="146">
        <f t="shared" si="2"/>
        <v>89222</v>
      </c>
      <c r="F72" s="150">
        <f t="shared" si="3"/>
        <v>4.8361428803729201</v>
      </c>
    </row>
    <row r="73" spans="1:7" ht="15" customHeight="1" x14ac:dyDescent="0.2">
      <c r="A73" s="141">
        <v>12</v>
      </c>
      <c r="B73" s="149" t="s">
        <v>212</v>
      </c>
      <c r="C73" s="146">
        <v>1245711</v>
      </c>
      <c r="D73" s="146">
        <v>1477098</v>
      </c>
      <c r="E73" s="146">
        <f t="shared" si="2"/>
        <v>231387</v>
      </c>
      <c r="F73" s="150">
        <f t="shared" si="3"/>
        <v>0.18574693488297045</v>
      </c>
    </row>
    <row r="74" spans="1:7" ht="15" customHeight="1" x14ac:dyDescent="0.2">
      <c r="A74" s="141">
        <v>13</v>
      </c>
      <c r="B74" s="149" t="s">
        <v>213</v>
      </c>
      <c r="C74" s="146">
        <v>188740</v>
      </c>
      <c r="D74" s="146">
        <v>159512</v>
      </c>
      <c r="E74" s="146">
        <f t="shared" si="2"/>
        <v>-29228</v>
      </c>
      <c r="F74" s="150">
        <f t="shared" si="3"/>
        <v>-0.15485853555155241</v>
      </c>
    </row>
    <row r="75" spans="1:7" ht="15" customHeight="1" x14ac:dyDescent="0.2">
      <c r="A75" s="141">
        <v>14</v>
      </c>
      <c r="B75" s="149" t="s">
        <v>214</v>
      </c>
      <c r="C75" s="146">
        <v>175218</v>
      </c>
      <c r="D75" s="146">
        <v>179407</v>
      </c>
      <c r="E75" s="146">
        <f t="shared" si="2"/>
        <v>4189</v>
      </c>
      <c r="F75" s="150">
        <f t="shared" si="3"/>
        <v>2.3907361115867092E-2</v>
      </c>
    </row>
    <row r="76" spans="1:7" ht="15" customHeight="1" x14ac:dyDescent="0.2">
      <c r="A76" s="141">
        <v>15</v>
      </c>
      <c r="B76" s="149" t="s">
        <v>215</v>
      </c>
      <c r="C76" s="146">
        <v>791616</v>
      </c>
      <c r="D76" s="146">
        <v>912871</v>
      </c>
      <c r="E76" s="146">
        <f t="shared" si="2"/>
        <v>121255</v>
      </c>
      <c r="F76" s="150">
        <f t="shared" si="3"/>
        <v>0.15317401366319022</v>
      </c>
    </row>
    <row r="77" spans="1:7" ht="15" customHeight="1" x14ac:dyDescent="0.2">
      <c r="A77" s="141">
        <v>16</v>
      </c>
      <c r="B77" s="149" t="s">
        <v>216</v>
      </c>
      <c r="C77" s="146">
        <v>9896340</v>
      </c>
      <c r="D77" s="146">
        <v>9953603</v>
      </c>
      <c r="E77" s="146">
        <f t="shared" si="2"/>
        <v>57263</v>
      </c>
      <c r="F77" s="150">
        <f t="shared" si="3"/>
        <v>5.7862805845393349E-3</v>
      </c>
    </row>
    <row r="78" spans="1:7" ht="15.75" customHeight="1" x14ac:dyDescent="0.25">
      <c r="A78" s="141"/>
      <c r="B78" s="151" t="s">
        <v>217</v>
      </c>
      <c r="C78" s="147">
        <f>SUM(C62:C77)</f>
        <v>20475242</v>
      </c>
      <c r="D78" s="147">
        <f>SUM(D62:D77)</f>
        <v>24015829</v>
      </c>
      <c r="E78" s="147">
        <f t="shared" si="2"/>
        <v>3540587</v>
      </c>
      <c r="F78" s="148">
        <f t="shared" si="3"/>
        <v>0.17292039820579411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4029883</v>
      </c>
      <c r="D81" s="146">
        <v>4118538</v>
      </c>
      <c r="E81" s="146">
        <f>+D81-C81</f>
        <v>88655</v>
      </c>
      <c r="F81" s="150">
        <f>IF(C81=0,0,E81/C81)</f>
        <v>2.1999397997410842E-2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173269841</v>
      </c>
      <c r="D83" s="147">
        <f>+D81+D78+D59+D50+D47+D44+D41+D35+D30+D24+D18</f>
        <v>190181772</v>
      </c>
      <c r="E83" s="147">
        <f>+D83-C83</f>
        <v>16911931</v>
      </c>
      <c r="F83" s="148">
        <f>IF(C83=0,0,E83/C83)</f>
        <v>9.7604585439655361E-2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42798181</v>
      </c>
      <c r="D91" s="146">
        <v>52906410</v>
      </c>
      <c r="E91" s="146">
        <f t="shared" ref="E91:E109" si="4">D91-C91</f>
        <v>10108229</v>
      </c>
      <c r="F91" s="150">
        <f t="shared" ref="F91:F109" si="5">IF(C91=0,0,E91/C91)</f>
        <v>0.23618361256988937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1985843</v>
      </c>
      <c r="D92" s="146">
        <v>1963323</v>
      </c>
      <c r="E92" s="146">
        <f t="shared" si="4"/>
        <v>-22520</v>
      </c>
      <c r="F92" s="150">
        <f t="shared" si="5"/>
        <v>-1.1340272116174339E-2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1961815</v>
      </c>
      <c r="D93" s="146">
        <v>1862117</v>
      </c>
      <c r="E93" s="146">
        <f t="shared" si="4"/>
        <v>-99698</v>
      </c>
      <c r="F93" s="150">
        <f t="shared" si="5"/>
        <v>-5.0819266852379044E-2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1541895</v>
      </c>
      <c r="D94" s="146">
        <v>1571762</v>
      </c>
      <c r="E94" s="146">
        <f t="shared" si="4"/>
        <v>29867</v>
      </c>
      <c r="F94" s="150">
        <f t="shared" si="5"/>
        <v>1.9370320287697931E-2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4397271</v>
      </c>
      <c r="D95" s="146">
        <v>4890521</v>
      </c>
      <c r="E95" s="146">
        <f t="shared" si="4"/>
        <v>493250</v>
      </c>
      <c r="F95" s="150">
        <f t="shared" si="5"/>
        <v>0.11217184476462788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915042</v>
      </c>
      <c r="D97" s="146">
        <v>1092966</v>
      </c>
      <c r="E97" s="146">
        <f t="shared" si="4"/>
        <v>177924</v>
      </c>
      <c r="F97" s="150">
        <f t="shared" si="5"/>
        <v>0.1944435337394349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1491151</v>
      </c>
      <c r="D98" s="146">
        <v>1606780</v>
      </c>
      <c r="E98" s="146">
        <f t="shared" si="4"/>
        <v>115629</v>
      </c>
      <c r="F98" s="150">
        <f t="shared" si="5"/>
        <v>7.7543454687016941E-2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881368</v>
      </c>
      <c r="D99" s="146">
        <v>920698</v>
      </c>
      <c r="E99" s="146">
        <f t="shared" si="4"/>
        <v>39330</v>
      </c>
      <c r="F99" s="150">
        <f t="shared" si="5"/>
        <v>4.4623812073957755E-2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3023048</v>
      </c>
      <c r="D100" s="146">
        <v>3154969</v>
      </c>
      <c r="E100" s="146">
        <f t="shared" si="4"/>
        <v>131921</v>
      </c>
      <c r="F100" s="150">
        <f t="shared" si="5"/>
        <v>4.3638407329291494E-2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2696469</v>
      </c>
      <c r="D101" s="146">
        <v>2903696</v>
      </c>
      <c r="E101" s="146">
        <f t="shared" si="4"/>
        <v>207227</v>
      </c>
      <c r="F101" s="150">
        <f t="shared" si="5"/>
        <v>7.6851245091265646E-2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5535338</v>
      </c>
      <c r="D103" s="146">
        <v>6086577</v>
      </c>
      <c r="E103" s="146">
        <f t="shared" si="4"/>
        <v>551239</v>
      </c>
      <c r="F103" s="150">
        <f t="shared" si="5"/>
        <v>9.9585427303626267E-2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6207339</v>
      </c>
      <c r="D107" s="146">
        <v>6918307</v>
      </c>
      <c r="E107" s="146">
        <f t="shared" si="4"/>
        <v>710968</v>
      </c>
      <c r="F107" s="150">
        <f t="shared" si="5"/>
        <v>0.11453667988811309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12174189</v>
      </c>
      <c r="D108" s="146">
        <v>13181617</v>
      </c>
      <c r="E108" s="146">
        <f t="shared" si="4"/>
        <v>1007428</v>
      </c>
      <c r="F108" s="150">
        <f t="shared" si="5"/>
        <v>8.2751138494728482E-2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85608949</v>
      </c>
      <c r="D109" s="147">
        <f>SUM(D91:D108)</f>
        <v>99059743</v>
      </c>
      <c r="E109" s="147">
        <f t="shared" si="4"/>
        <v>13450794</v>
      </c>
      <c r="F109" s="148">
        <f t="shared" si="5"/>
        <v>0.15711901801294162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533472</v>
      </c>
      <c r="D112" s="146">
        <v>479266</v>
      </c>
      <c r="E112" s="146">
        <f t="shared" ref="E112:E118" si="6">D112-C112</f>
        <v>-54206</v>
      </c>
      <c r="F112" s="150">
        <f t="shared" ref="F112:F118" si="7">IF(C112=0,0,E112/C112)</f>
        <v>-0.1016098314438246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1733731</v>
      </c>
      <c r="D114" s="146">
        <v>1898950</v>
      </c>
      <c r="E114" s="146">
        <f t="shared" si="6"/>
        <v>165219</v>
      </c>
      <c r="F114" s="150">
        <f t="shared" si="7"/>
        <v>9.5296790563241932E-2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1832198</v>
      </c>
      <c r="D115" s="146">
        <v>1939591</v>
      </c>
      <c r="E115" s="146">
        <f t="shared" si="6"/>
        <v>107393</v>
      </c>
      <c r="F115" s="150">
        <f t="shared" si="7"/>
        <v>5.8614298236325989E-2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1109951</v>
      </c>
      <c r="D116" s="146">
        <v>1302432</v>
      </c>
      <c r="E116" s="146">
        <f t="shared" si="6"/>
        <v>192481</v>
      </c>
      <c r="F116" s="150">
        <f t="shared" si="7"/>
        <v>0.17341396151722013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2888514</v>
      </c>
      <c r="D117" s="146">
        <v>3533148</v>
      </c>
      <c r="E117" s="146">
        <f t="shared" si="6"/>
        <v>644634</v>
      </c>
      <c r="F117" s="150">
        <f t="shared" si="7"/>
        <v>0.22317149925532645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8097866</v>
      </c>
      <c r="D118" s="147">
        <f>SUM(D112:D117)</f>
        <v>9153387</v>
      </c>
      <c r="E118" s="147">
        <f t="shared" si="6"/>
        <v>1055521</v>
      </c>
      <c r="F118" s="148">
        <f t="shared" si="7"/>
        <v>0.13034557499469612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13544648</v>
      </c>
      <c r="D121" s="146">
        <v>13962042</v>
      </c>
      <c r="E121" s="146">
        <f t="shared" ref="E121:E155" si="8">D121-C121</f>
        <v>417394</v>
      </c>
      <c r="F121" s="150">
        <f t="shared" ref="F121:F155" si="9">IF(C121=0,0,E121/C121)</f>
        <v>3.0816157053324678E-2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2210605</v>
      </c>
      <c r="D122" s="146">
        <v>2396394</v>
      </c>
      <c r="E122" s="146">
        <f t="shared" si="8"/>
        <v>185789</v>
      </c>
      <c r="F122" s="150">
        <f t="shared" si="9"/>
        <v>8.4044413181007013E-2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505528</v>
      </c>
      <c r="D123" s="146">
        <v>394417</v>
      </c>
      <c r="E123" s="146">
        <f t="shared" si="8"/>
        <v>-111111</v>
      </c>
      <c r="F123" s="150">
        <f t="shared" si="9"/>
        <v>-0.21979197987055119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6006240</v>
      </c>
      <c r="D125" s="146">
        <v>6185177</v>
      </c>
      <c r="E125" s="146">
        <f t="shared" si="8"/>
        <v>178937</v>
      </c>
      <c r="F125" s="150">
        <f t="shared" si="9"/>
        <v>2.979184980953142E-2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907305</v>
      </c>
      <c r="D126" s="146">
        <v>895866</v>
      </c>
      <c r="E126" s="146">
        <f t="shared" si="8"/>
        <v>-11439</v>
      </c>
      <c r="F126" s="150">
        <f t="shared" si="9"/>
        <v>-1.2607667763321045E-2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2141746</v>
      </c>
      <c r="D127" s="146">
        <v>1939729</v>
      </c>
      <c r="E127" s="146">
        <f t="shared" si="8"/>
        <v>-202017</v>
      </c>
      <c r="F127" s="150">
        <f t="shared" si="9"/>
        <v>-9.4323509883991852E-2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884454</v>
      </c>
      <c r="D128" s="146">
        <v>885973</v>
      </c>
      <c r="E128" s="146">
        <f t="shared" si="8"/>
        <v>1519</v>
      </c>
      <c r="F128" s="150">
        <f t="shared" si="9"/>
        <v>1.7174437562609249E-3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1022271</v>
      </c>
      <c r="D129" s="146">
        <v>1006091</v>
      </c>
      <c r="E129" s="146">
        <f t="shared" si="8"/>
        <v>-16180</v>
      </c>
      <c r="F129" s="150">
        <f t="shared" si="9"/>
        <v>-1.5827505622286069E-2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7320195</v>
      </c>
      <c r="D130" s="146">
        <v>7484776</v>
      </c>
      <c r="E130" s="146">
        <f t="shared" si="8"/>
        <v>164581</v>
      </c>
      <c r="F130" s="150">
        <f t="shared" si="9"/>
        <v>2.248314423317958E-2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1017664</v>
      </c>
      <c r="D133" s="146">
        <v>1052110</v>
      </c>
      <c r="E133" s="146">
        <f t="shared" si="8"/>
        <v>34446</v>
      </c>
      <c r="F133" s="150">
        <f t="shared" si="9"/>
        <v>3.3848107037293254E-2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0</v>
      </c>
      <c r="D134" s="146">
        <v>0</v>
      </c>
      <c r="E134" s="146">
        <f t="shared" si="8"/>
        <v>0</v>
      </c>
      <c r="F134" s="150">
        <f t="shared" si="9"/>
        <v>0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1187367</v>
      </c>
      <c r="D138" s="146">
        <v>1224949</v>
      </c>
      <c r="E138" s="146">
        <f t="shared" si="8"/>
        <v>37582</v>
      </c>
      <c r="F138" s="150">
        <f t="shared" si="9"/>
        <v>3.1651544973036981E-2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85534</v>
      </c>
      <c r="D139" s="146">
        <v>87868</v>
      </c>
      <c r="E139" s="146">
        <f t="shared" si="8"/>
        <v>2334</v>
      </c>
      <c r="F139" s="150">
        <f t="shared" si="9"/>
        <v>2.7287394486403067E-2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471889</v>
      </c>
      <c r="D140" s="146">
        <v>425337</v>
      </c>
      <c r="E140" s="146">
        <f t="shared" si="8"/>
        <v>-46552</v>
      </c>
      <c r="F140" s="150">
        <f t="shared" si="9"/>
        <v>-9.8650318189235184E-2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11725038</v>
      </c>
      <c r="D144" s="146">
        <v>12604234</v>
      </c>
      <c r="E144" s="146">
        <f t="shared" si="8"/>
        <v>879196</v>
      </c>
      <c r="F144" s="150">
        <f t="shared" si="9"/>
        <v>7.4984490455382746E-2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1420526</v>
      </c>
      <c r="D145" s="146">
        <v>1405934</v>
      </c>
      <c r="E145" s="146">
        <f t="shared" si="8"/>
        <v>-14592</v>
      </c>
      <c r="F145" s="150">
        <f t="shared" si="9"/>
        <v>-1.0272251264672383E-2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474645</v>
      </c>
      <c r="D146" s="146">
        <v>371405</v>
      </c>
      <c r="E146" s="146">
        <f t="shared" si="8"/>
        <v>-103240</v>
      </c>
      <c r="F146" s="150">
        <f t="shared" si="9"/>
        <v>-0.21750992847285866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2521860</v>
      </c>
      <c r="D148" s="146">
        <v>2675091</v>
      </c>
      <c r="E148" s="146">
        <f t="shared" si="8"/>
        <v>153231</v>
      </c>
      <c r="F148" s="150">
        <f t="shared" si="9"/>
        <v>6.0761104898765197E-2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502762</v>
      </c>
      <c r="D149" s="146">
        <v>737951</v>
      </c>
      <c r="E149" s="146">
        <f t="shared" si="8"/>
        <v>235189</v>
      </c>
      <c r="F149" s="150">
        <f t="shared" si="9"/>
        <v>0.46779390646071101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122625</v>
      </c>
      <c r="D151" s="146">
        <v>121228</v>
      </c>
      <c r="E151" s="146">
        <f t="shared" si="8"/>
        <v>-1397</v>
      </c>
      <c r="F151" s="150">
        <f t="shared" si="9"/>
        <v>-1.1392456676860346E-2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625080</v>
      </c>
      <c r="D152" s="146">
        <v>735065</v>
      </c>
      <c r="E152" s="146">
        <f t="shared" si="8"/>
        <v>109985</v>
      </c>
      <c r="F152" s="150">
        <f t="shared" si="9"/>
        <v>0.17595347795482177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1605082</v>
      </c>
      <c r="D154" s="146">
        <v>1607978</v>
      </c>
      <c r="E154" s="146">
        <f t="shared" si="8"/>
        <v>2896</v>
      </c>
      <c r="F154" s="150">
        <f t="shared" si="9"/>
        <v>1.8042691899853092E-3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56303064</v>
      </c>
      <c r="D155" s="147">
        <f>SUM(D121:D154)</f>
        <v>58199615</v>
      </c>
      <c r="E155" s="147">
        <f t="shared" si="8"/>
        <v>1896551</v>
      </c>
      <c r="F155" s="148">
        <f t="shared" si="9"/>
        <v>3.368468543736803E-2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16929652</v>
      </c>
      <c r="D158" s="146">
        <v>17265434</v>
      </c>
      <c r="E158" s="146">
        <f t="shared" ref="E158:E171" si="10">D158-C158</f>
        <v>335782</v>
      </c>
      <c r="F158" s="150">
        <f t="shared" ref="F158:F171" si="11">IF(C158=0,0,E158/C158)</f>
        <v>1.9833957602908788E-2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0</v>
      </c>
      <c r="D159" s="146">
        <v>0</v>
      </c>
      <c r="E159" s="146">
        <f t="shared" si="10"/>
        <v>0</v>
      </c>
      <c r="F159" s="150">
        <f t="shared" si="11"/>
        <v>0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2142940</v>
      </c>
      <c r="D161" s="146">
        <v>2219914</v>
      </c>
      <c r="E161" s="146">
        <f t="shared" si="10"/>
        <v>76974</v>
      </c>
      <c r="F161" s="150">
        <f t="shared" si="11"/>
        <v>3.5919811100637439E-2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4187370</v>
      </c>
      <c r="D163" s="146">
        <v>4283679</v>
      </c>
      <c r="E163" s="146">
        <f t="shared" si="10"/>
        <v>96309</v>
      </c>
      <c r="F163" s="150">
        <f t="shared" si="11"/>
        <v>2.2999878205174129E-2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23259962</v>
      </c>
      <c r="D171" s="147">
        <f>SUM(D158:D170)</f>
        <v>23769027</v>
      </c>
      <c r="E171" s="147">
        <f t="shared" si="10"/>
        <v>509065</v>
      </c>
      <c r="F171" s="148">
        <f t="shared" si="11"/>
        <v>2.1885891301112185E-2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173269841</v>
      </c>
      <c r="D176" s="147">
        <f>+D174+D171+D155+D118+D109</f>
        <v>190181772</v>
      </c>
      <c r="E176" s="147">
        <f>D176-C176</f>
        <v>16911931</v>
      </c>
      <c r="F176" s="148">
        <f>IF(C176=0,0,E176/C176)</f>
        <v>9.7604585439655361E-2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FILING&amp;RMIDSTATE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B1" sqref="B1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166466604</v>
      </c>
      <c r="D11" s="164">
        <v>172470335</v>
      </c>
      <c r="E11" s="51">
        <v>182022152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5307321</v>
      </c>
      <c r="D12" s="49">
        <v>6514587</v>
      </c>
      <c r="E12" s="49">
        <v>18695433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171773925</v>
      </c>
      <c r="D13" s="51">
        <f>+D11+D12</f>
        <v>178984922</v>
      </c>
      <c r="E13" s="51">
        <f>+E11+E12</f>
        <v>200717585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167113696</v>
      </c>
      <c r="D14" s="49">
        <v>173269841</v>
      </c>
      <c r="E14" s="49">
        <v>190181772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4660229</v>
      </c>
      <c r="D15" s="51">
        <f>+D13-D14</f>
        <v>5715081</v>
      </c>
      <c r="E15" s="51">
        <f>+E13-E14</f>
        <v>10535813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-908510</v>
      </c>
      <c r="D16" s="49">
        <v>-345750</v>
      </c>
      <c r="E16" s="49">
        <v>534112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3751719</v>
      </c>
      <c r="D17" s="51">
        <f>D15+D16</f>
        <v>5369331</v>
      </c>
      <c r="E17" s="51">
        <f>E15+E16</f>
        <v>11069925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2.7274267293940089E-2</v>
      </c>
      <c r="D20" s="169">
        <f>IF(+D27=0,0,+D24/+D27)</f>
        <v>3.1992316892288326E-2</v>
      </c>
      <c r="E20" s="169">
        <f>IF(+E27=0,0,+E24/+E27)</f>
        <v>5.2351424395690932E-2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-5.3171087899795289E-3</v>
      </c>
      <c r="D21" s="169">
        <f>IF(D27=0,0,+D26/D27)</f>
        <v>-1.9354657555174964E-3</v>
      </c>
      <c r="E21" s="169">
        <f>IF(E27=0,0,+E26/E27)</f>
        <v>2.6539502919073524E-3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2.1957158503960558E-2</v>
      </c>
      <c r="D22" s="169">
        <f>IF(D27=0,0,+D28/D27)</f>
        <v>3.005685113677083E-2</v>
      </c>
      <c r="E22" s="169">
        <f>IF(E27=0,0,+E28/E27)</f>
        <v>5.5005374687598287E-2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4660229</v>
      </c>
      <c r="D24" s="51">
        <f>+D15</f>
        <v>5715081</v>
      </c>
      <c r="E24" s="51">
        <f>+E15</f>
        <v>10535813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171773925</v>
      </c>
      <c r="D25" s="51">
        <f>+D13</f>
        <v>178984922</v>
      </c>
      <c r="E25" s="51">
        <f>+E13</f>
        <v>200717585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-908510</v>
      </c>
      <c r="D26" s="51">
        <f>+D16</f>
        <v>-345750</v>
      </c>
      <c r="E26" s="51">
        <f>+E16</f>
        <v>534112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170865415</v>
      </c>
      <c r="D27" s="51">
        <f>+D25+D26</f>
        <v>178639172</v>
      </c>
      <c r="E27" s="51">
        <f>+E25+E26</f>
        <v>201251697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3751719</v>
      </c>
      <c r="D28" s="51">
        <f>+D17</f>
        <v>5369331</v>
      </c>
      <c r="E28" s="51">
        <f>+E17</f>
        <v>11069925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63218152</v>
      </c>
      <c r="D31" s="51">
        <v>48490546</v>
      </c>
      <c r="E31" s="51">
        <v>58808950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71309938</v>
      </c>
      <c r="D32" s="51">
        <v>62932116</v>
      </c>
      <c r="E32" s="51">
        <v>73744007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-5890846</v>
      </c>
      <c r="D33" s="51">
        <f>+D32-C32</f>
        <v>-8377822</v>
      </c>
      <c r="E33" s="51">
        <f>+E32-D32</f>
        <v>10811891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0.92359999999999998</v>
      </c>
      <c r="D34" s="171">
        <f>IF(C32=0,0,+D33/C32)</f>
        <v>-0.11748463446988272</v>
      </c>
      <c r="E34" s="171">
        <f>IF(D32=0,0,+E33/D32)</f>
        <v>0.17180243867852782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0.47645635237426798</v>
      </c>
      <c r="D38" s="172">
        <f>IF((D40+D41)=0,0,+D39/(D40+D41))</f>
        <v>0.48922976912484273</v>
      </c>
      <c r="E38" s="172">
        <f>IF((E40+E41)=0,0,+E39/(E40+E41))</f>
        <v>0.48322677631731648</v>
      </c>
      <c r="F38" s="5"/>
    </row>
    <row r="39" spans="1:6" ht="24" customHeight="1" x14ac:dyDescent="0.2">
      <c r="A39" s="21">
        <v>2</v>
      </c>
      <c r="B39" s="48" t="s">
        <v>324</v>
      </c>
      <c r="C39" s="51">
        <v>159022197</v>
      </c>
      <c r="D39" s="51">
        <v>173269841</v>
      </c>
      <c r="E39" s="23">
        <v>190181772</v>
      </c>
      <c r="F39" s="5"/>
    </row>
    <row r="40" spans="1:6" ht="24" customHeight="1" x14ac:dyDescent="0.2">
      <c r="A40" s="21">
        <v>3</v>
      </c>
      <c r="B40" s="48" t="s">
        <v>325</v>
      </c>
      <c r="C40" s="51">
        <v>328452941</v>
      </c>
      <c r="D40" s="51">
        <v>347627051</v>
      </c>
      <c r="E40" s="23">
        <v>374870862</v>
      </c>
      <c r="F40" s="5"/>
    </row>
    <row r="41" spans="1:6" ht="24" customHeight="1" x14ac:dyDescent="0.2">
      <c r="A41" s="21">
        <v>4</v>
      </c>
      <c r="B41" s="48" t="s">
        <v>326</v>
      </c>
      <c r="C41" s="51">
        <v>5307321</v>
      </c>
      <c r="D41" s="51">
        <v>6541587</v>
      </c>
      <c r="E41" s="23">
        <v>18695433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1.4365157290347408</v>
      </c>
      <c r="D43" s="173">
        <f>IF(D38=0,0,IF((D46-D47)=0,0,((+D44-D45)/(D46-D47)/D38)))</f>
        <v>1.3924385398474355</v>
      </c>
      <c r="E43" s="173">
        <f>IF(E38=0,0,IF((E46-E47)=0,0,((+E44-E45)/(E46-E47)/E38)))</f>
        <v>1.3985425343081628</v>
      </c>
      <c r="F43" s="5"/>
    </row>
    <row r="44" spans="1:6" ht="24" customHeight="1" x14ac:dyDescent="0.2">
      <c r="A44" s="21">
        <v>6</v>
      </c>
      <c r="B44" s="48" t="s">
        <v>328</v>
      </c>
      <c r="C44" s="51">
        <v>83772490</v>
      </c>
      <c r="D44" s="51">
        <v>87968614</v>
      </c>
      <c r="E44" s="23">
        <v>94458495</v>
      </c>
      <c r="F44" s="5"/>
    </row>
    <row r="45" spans="1:6" ht="24" customHeight="1" x14ac:dyDescent="0.2">
      <c r="A45" s="21">
        <v>7</v>
      </c>
      <c r="B45" s="48" t="s">
        <v>329</v>
      </c>
      <c r="C45" s="51">
        <v>478208</v>
      </c>
      <c r="D45" s="51">
        <v>495336</v>
      </c>
      <c r="E45" s="23">
        <v>643398</v>
      </c>
      <c r="F45" s="5"/>
    </row>
    <row r="46" spans="1:6" ht="24" customHeight="1" x14ac:dyDescent="0.2">
      <c r="A46" s="21">
        <v>8</v>
      </c>
      <c r="B46" s="48" t="s">
        <v>330</v>
      </c>
      <c r="C46" s="51">
        <v>132543662</v>
      </c>
      <c r="D46" s="51">
        <v>139391778</v>
      </c>
      <c r="E46" s="23">
        <v>150493817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10846155</v>
      </c>
      <c r="D47" s="51">
        <v>10985431</v>
      </c>
      <c r="E47" s="174">
        <v>11675728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0.84766035599662892</v>
      </c>
      <c r="D49" s="175">
        <f>IF(D38=0,0,IF(D51=0,0,(D50/D51)/D38))</f>
        <v>0.7976304355026772</v>
      </c>
      <c r="E49" s="175">
        <f>IF(E38=0,0,IF(E51=0,0,(E50/E51)/E38))</f>
        <v>0.78471413962709602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62007684</v>
      </c>
      <c r="D50" s="176">
        <v>62393615</v>
      </c>
      <c r="E50" s="176">
        <v>63158315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153532569</v>
      </c>
      <c r="D51" s="176">
        <v>159891566</v>
      </c>
      <c r="E51" s="176">
        <v>166558985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0.7202054924221607</v>
      </c>
      <c r="D53" s="175">
        <f>IF(D38=0,0,IF(D55=0,0,(D54/D55)/D38))</f>
        <v>0.74876672719076742</v>
      </c>
      <c r="E53" s="175">
        <f>IF(E38=0,0,IF(E55=0,0,(E54/E55)/E38))</f>
        <v>0.68256619552947861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11947667</v>
      </c>
      <c r="D54" s="176">
        <v>13702359</v>
      </c>
      <c r="E54" s="176">
        <v>16421372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34817979</v>
      </c>
      <c r="D55" s="176">
        <v>37405540</v>
      </c>
      <c r="E55" s="176">
        <v>49786738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6173099.5268579191</v>
      </c>
      <c r="D57" s="53">
        <f>+D60*D38</f>
        <v>6403138.0427193046</v>
      </c>
      <c r="E57" s="53">
        <f>+E60*E38</f>
        <v>6815200.9204606805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3077163</v>
      </c>
      <c r="D58" s="51">
        <v>3370587</v>
      </c>
      <c r="E58" s="52">
        <v>3637983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9879112</v>
      </c>
      <c r="D59" s="51">
        <v>9717615</v>
      </c>
      <c r="E59" s="52">
        <v>10465542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12956275</v>
      </c>
      <c r="D60" s="51">
        <v>13088202</v>
      </c>
      <c r="E60" s="52">
        <v>14103525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3.8819106032461109E-2</v>
      </c>
      <c r="D62" s="178">
        <f>IF(D63=0,0,+D57/D63)</f>
        <v>3.6954717599811872E-2</v>
      </c>
      <c r="E62" s="178">
        <f>IF(E63=0,0,+E57/E63)</f>
        <v>3.5835195186112161E-2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159022197</v>
      </c>
      <c r="D63" s="176">
        <v>173269841</v>
      </c>
      <c r="E63" s="176">
        <v>190181772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3.7815212897891692</v>
      </c>
      <c r="D67" s="179">
        <f>IF(D69=0,0,D68/D69)</f>
        <v>2.3763281362119679</v>
      </c>
      <c r="E67" s="179">
        <f>IF(E69=0,0,E68/E69)</f>
        <v>1.9313975118085833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66849930</v>
      </c>
      <c r="D68" s="180">
        <v>65521020</v>
      </c>
      <c r="E68" s="180">
        <v>56637135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17678052</v>
      </c>
      <c r="D69" s="180">
        <v>27572379</v>
      </c>
      <c r="E69" s="180">
        <v>29324432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101.38051018342681</v>
      </c>
      <c r="D71" s="181">
        <f>IF((D77/365)=0,0,+D74/(D77/365))</f>
        <v>91.27485149495196</v>
      </c>
      <c r="E71" s="181">
        <f>IF((E77/365)=0,0,+E74/(E77/365))</f>
        <v>57.400077953269857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43912798</v>
      </c>
      <c r="D72" s="182">
        <v>41146505</v>
      </c>
      <c r="E72" s="182">
        <v>28181027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43912798</v>
      </c>
      <c r="D74" s="180">
        <f>+D72+D73</f>
        <v>41146505</v>
      </c>
      <c r="E74" s="180">
        <f>+E72+E73</f>
        <v>28181027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167113696</v>
      </c>
      <c r="D75" s="180">
        <f>+D14</f>
        <v>173269841</v>
      </c>
      <c r="E75" s="180">
        <f>+E14</f>
        <v>190181772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9014558</v>
      </c>
      <c r="D76" s="180">
        <v>8728633</v>
      </c>
      <c r="E76" s="180">
        <v>10982105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158099138</v>
      </c>
      <c r="D77" s="180">
        <f>+D75-D76</f>
        <v>164541208</v>
      </c>
      <c r="E77" s="180">
        <f>+E75-E76</f>
        <v>179199667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40.409144016658139</v>
      </c>
      <c r="D79" s="179">
        <f>IF((D84/365)=0,0,+D83/(D84/365))</f>
        <v>39.442889584461</v>
      </c>
      <c r="E79" s="179">
        <f>IF((E84/365)=0,0,+E83/(E84/365))</f>
        <v>44.816707611499943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18867122</v>
      </c>
      <c r="D80" s="189">
        <v>19523079</v>
      </c>
      <c r="E80" s="189">
        <v>23291912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437607</v>
      </c>
      <c r="D82" s="190">
        <v>885467</v>
      </c>
      <c r="E82" s="190">
        <v>942231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18429515</v>
      </c>
      <c r="D83" s="191">
        <f>+D80+D81-D82</f>
        <v>18637612</v>
      </c>
      <c r="E83" s="191">
        <f>+E80+E81-E82</f>
        <v>22349681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166466604</v>
      </c>
      <c r="D84" s="191">
        <f>+D11</f>
        <v>172470335</v>
      </c>
      <c r="E84" s="191">
        <f>+E11</f>
        <v>182022152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40.812929542980811</v>
      </c>
      <c r="D86" s="179">
        <f>IF((D90/365)=0,0,+D87/(D90/365))</f>
        <v>61.163513124323245</v>
      </c>
      <c r="E86" s="179">
        <f>IF((E90/365)=0,0,+E87/(E90/365))</f>
        <v>59.729004295526956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17678052</v>
      </c>
      <c r="D87" s="51">
        <f>+D69</f>
        <v>27572379</v>
      </c>
      <c r="E87" s="51">
        <f>+E69</f>
        <v>29324432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167113696</v>
      </c>
      <c r="D88" s="51">
        <f t="shared" si="0"/>
        <v>173269841</v>
      </c>
      <c r="E88" s="51">
        <f t="shared" si="0"/>
        <v>190181772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9014558</v>
      </c>
      <c r="D89" s="52">
        <f t="shared" si="0"/>
        <v>8728633</v>
      </c>
      <c r="E89" s="52">
        <f t="shared" si="0"/>
        <v>10982105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158099138</v>
      </c>
      <c r="D90" s="51">
        <f>+D88-D89</f>
        <v>164541208</v>
      </c>
      <c r="E90" s="51">
        <f>+E88-E89</f>
        <v>179199667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34.299353590097361</v>
      </c>
      <c r="D94" s="192">
        <f>IF(D96=0,0,(D95/D96)*100)</f>
        <v>27.662448630146923</v>
      </c>
      <c r="E94" s="192">
        <f>IF(E96=0,0,(E95/E96)*100)</f>
        <v>31.019061851899988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71309938</v>
      </c>
      <c r="D95" s="51">
        <f>+D32</f>
        <v>62932116</v>
      </c>
      <c r="E95" s="51">
        <f>+E32</f>
        <v>73744007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207904612</v>
      </c>
      <c r="D96" s="51">
        <v>227500164</v>
      </c>
      <c r="E96" s="51">
        <v>237737709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12.396483452442252</v>
      </c>
      <c r="D98" s="192">
        <f>IF(D104=0,0,(D101/D104)*100)</f>
        <v>12.759795849623693</v>
      </c>
      <c r="E98" s="192">
        <f>IF(E104=0,0,(E101/E104)*100)</f>
        <v>20.064732239369565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3751719</v>
      </c>
      <c r="D99" s="51">
        <f>+D28</f>
        <v>5369331</v>
      </c>
      <c r="E99" s="51">
        <f>+E28</f>
        <v>11069925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9014558</v>
      </c>
      <c r="D100" s="52">
        <f>+D76</f>
        <v>8728633</v>
      </c>
      <c r="E100" s="52">
        <f>+E76</f>
        <v>10982105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12766277</v>
      </c>
      <c r="D101" s="51">
        <f>+D99+D100</f>
        <v>14097964</v>
      </c>
      <c r="E101" s="51">
        <f>+E99+E100</f>
        <v>22052030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17678052</v>
      </c>
      <c r="D102" s="180">
        <f>+D69</f>
        <v>27572379</v>
      </c>
      <c r="E102" s="180">
        <f>+E69</f>
        <v>29324432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85305000</v>
      </c>
      <c r="D103" s="194">
        <v>82915000</v>
      </c>
      <c r="E103" s="194">
        <v>80580000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102983052</v>
      </c>
      <c r="D104" s="180">
        <f>+D102+D103</f>
        <v>110487379</v>
      </c>
      <c r="E104" s="180">
        <f>+E102+E103</f>
        <v>109904432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54.467984401334689</v>
      </c>
      <c r="D106" s="197">
        <f>IF(D109=0,0,(D107/D109)*100)</f>
        <v>56.850627063479266</v>
      </c>
      <c r="E106" s="197">
        <f>IF(E109=0,0,(E107/E109)*100)</f>
        <v>52.214818398280705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85305000</v>
      </c>
      <c r="D107" s="180">
        <f>+D103</f>
        <v>82915000</v>
      </c>
      <c r="E107" s="180">
        <f>+E103</f>
        <v>80580000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71309938</v>
      </c>
      <c r="D108" s="180">
        <f>+D32</f>
        <v>62932116</v>
      </c>
      <c r="E108" s="180">
        <f>+E32</f>
        <v>73744007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156614938</v>
      </c>
      <c r="D109" s="180">
        <f>+D107+D108</f>
        <v>145847116</v>
      </c>
      <c r="E109" s="180">
        <f>+E107+E108</f>
        <v>154324007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5.5672844137198734</v>
      </c>
      <c r="D111" s="197">
        <f>IF((+D113+D115)=0,0,((+D112+D113+D114)/(+D113+D115)))</f>
        <v>3.3670881390171288</v>
      </c>
      <c r="E111" s="197">
        <f>IF((+E113+E115)=0,0,((+E112+E113+E114)/(+E113+E115)))</f>
        <v>5.263980824043073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3751719</v>
      </c>
      <c r="D112" s="180">
        <f>+D17</f>
        <v>5369331</v>
      </c>
      <c r="E112" s="180">
        <f>+E17</f>
        <v>11069925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2795157</v>
      </c>
      <c r="D113" s="180">
        <v>2456574</v>
      </c>
      <c r="E113" s="180">
        <v>2221191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9014558</v>
      </c>
      <c r="D114" s="180">
        <v>8728633</v>
      </c>
      <c r="E114" s="180">
        <v>10982105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2460000</v>
      </c>
      <c r="E115" s="180">
        <v>2390000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9.0216097117573604</v>
      </c>
      <c r="D119" s="197">
        <f>IF(+D121=0,0,(+D120)/(+D121))</f>
        <v>10.310376206675203</v>
      </c>
      <c r="E119" s="197">
        <f>IF(+E121=0,0,(+E120)/(+E121))</f>
        <v>8.9753751216183062</v>
      </c>
    </row>
    <row r="120" spans="1:8" ht="24" customHeight="1" x14ac:dyDescent="0.25">
      <c r="A120" s="17">
        <v>21</v>
      </c>
      <c r="B120" s="48" t="s">
        <v>369</v>
      </c>
      <c r="C120" s="180">
        <v>81325824</v>
      </c>
      <c r="D120" s="180">
        <v>89995490</v>
      </c>
      <c r="E120" s="180">
        <v>98568512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9014558</v>
      </c>
      <c r="D121" s="180">
        <v>8728633</v>
      </c>
      <c r="E121" s="180">
        <v>10982105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45363</v>
      </c>
      <c r="D124" s="198">
        <v>42873</v>
      </c>
      <c r="E124" s="198">
        <v>42359</v>
      </c>
    </row>
    <row r="125" spans="1:8" ht="24" customHeight="1" x14ac:dyDescent="0.2">
      <c r="A125" s="44">
        <v>2</v>
      </c>
      <c r="B125" s="48" t="s">
        <v>373</v>
      </c>
      <c r="C125" s="198">
        <v>9722</v>
      </c>
      <c r="D125" s="198">
        <v>9955</v>
      </c>
      <c r="E125" s="198">
        <v>9818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4.6660152232051022</v>
      </c>
      <c r="D126" s="199">
        <f>IF(D125=0,0,D124/D125)</f>
        <v>4.3066800602712201</v>
      </c>
      <c r="E126" s="199">
        <f>IF(E125=0,0,E124/E125)</f>
        <v>4.3144224893053575</v>
      </c>
    </row>
    <row r="127" spans="1:8" ht="24" customHeight="1" x14ac:dyDescent="0.2">
      <c r="A127" s="44">
        <v>4</v>
      </c>
      <c r="B127" s="48" t="s">
        <v>375</v>
      </c>
      <c r="C127" s="198">
        <v>136</v>
      </c>
      <c r="D127" s="198">
        <v>140</v>
      </c>
      <c r="E127" s="198">
        <v>142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142</v>
      </c>
      <c r="E128" s="198">
        <v>156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156</v>
      </c>
      <c r="D129" s="198">
        <v>156</v>
      </c>
      <c r="E129" s="198">
        <v>156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0.91379999999999995</v>
      </c>
      <c r="D130" s="171">
        <v>0.83899999999999997</v>
      </c>
      <c r="E130" s="171">
        <v>0.81720000000000004</v>
      </c>
    </row>
    <row r="131" spans="1:8" ht="24" customHeight="1" x14ac:dyDescent="0.2">
      <c r="A131" s="44">
        <v>7</v>
      </c>
      <c r="B131" s="48" t="s">
        <v>379</v>
      </c>
      <c r="C131" s="171">
        <v>0.87519999999999998</v>
      </c>
      <c r="D131" s="171">
        <v>0.82709999999999995</v>
      </c>
      <c r="E131" s="171">
        <v>0.74390000000000001</v>
      </c>
    </row>
    <row r="132" spans="1:8" ht="24" customHeight="1" x14ac:dyDescent="0.2">
      <c r="A132" s="44">
        <v>8</v>
      </c>
      <c r="B132" s="48" t="s">
        <v>380</v>
      </c>
      <c r="C132" s="199">
        <v>909</v>
      </c>
      <c r="D132" s="199">
        <v>950.5</v>
      </c>
      <c r="E132" s="199">
        <v>985.8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0.37051733082213445</v>
      </c>
      <c r="D135" s="203">
        <f>IF(D149=0,0,D143/D149)</f>
        <v>0.36937961712306444</v>
      </c>
      <c r="E135" s="203">
        <f>IF(E149=0,0,E143/E149)</f>
        <v>0.37030909326849737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0.46744160223549347</v>
      </c>
      <c r="D136" s="203">
        <f>IF(D149=0,0,D144/D149)</f>
        <v>0.45995144952053801</v>
      </c>
      <c r="E136" s="203">
        <f>IF(E149=0,0,E144/E149)</f>
        <v>0.44431029958258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0.1060059894546659</v>
      </c>
      <c r="D137" s="203">
        <f>IF(D149=0,0,D145/D149)</f>
        <v>0.10760250070412386</v>
      </c>
      <c r="E137" s="203">
        <f>IF(E149=0,0,E145/E149)</f>
        <v>0.13281037030826898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2.1990246085207076E-2</v>
      </c>
      <c r="D138" s="203">
        <f>IF(D149=0,0,D146/D149)</f>
        <v>2.9891827952134829E-2</v>
      </c>
      <c r="E138" s="203">
        <f>IF(E149=0,0,E146/E149)</f>
        <v>1.9661528134453939E-2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3.3021945143733696E-2</v>
      </c>
      <c r="D139" s="203">
        <f>IF(D149=0,0,D147/D149)</f>
        <v>3.1601197226737113E-2</v>
      </c>
      <c r="E139" s="203">
        <f>IF(E149=0,0,E147/E149)</f>
        <v>3.1146000352516062E-2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1.0228862587654528E-3</v>
      </c>
      <c r="D140" s="203">
        <f>IF(D149=0,0,D148/D149)</f>
        <v>1.5734074734017175E-3</v>
      </c>
      <c r="E140" s="203">
        <f>IF(E149=0,0,E148/E149)</f>
        <v>1.7627083536836748E-3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1.0000000000000002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121697507</v>
      </c>
      <c r="D143" s="205">
        <f>+D46-D147</f>
        <v>128406347</v>
      </c>
      <c r="E143" s="205">
        <f>+E46-E147</f>
        <v>138818089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153532569</v>
      </c>
      <c r="D144" s="205">
        <f>+D51</f>
        <v>159891566</v>
      </c>
      <c r="E144" s="205">
        <f>+E51</f>
        <v>166558985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34817979</v>
      </c>
      <c r="D145" s="205">
        <f>+D55</f>
        <v>37405540</v>
      </c>
      <c r="E145" s="205">
        <f>+E55</f>
        <v>49786738</v>
      </c>
    </row>
    <row r="146" spans="1:7" ht="20.100000000000001" customHeight="1" x14ac:dyDescent="0.2">
      <c r="A146" s="202">
        <v>11</v>
      </c>
      <c r="B146" s="201" t="s">
        <v>392</v>
      </c>
      <c r="C146" s="204">
        <v>7222761</v>
      </c>
      <c r="D146" s="205">
        <v>10391208</v>
      </c>
      <c r="E146" s="205">
        <v>7370534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10846155</v>
      </c>
      <c r="D147" s="205">
        <f>+D47</f>
        <v>10985431</v>
      </c>
      <c r="E147" s="205">
        <f>+E47</f>
        <v>11675728</v>
      </c>
    </row>
    <row r="148" spans="1:7" ht="20.100000000000001" customHeight="1" x14ac:dyDescent="0.2">
      <c r="A148" s="202">
        <v>13</v>
      </c>
      <c r="B148" s="201" t="s">
        <v>394</v>
      </c>
      <c r="C148" s="206">
        <v>335970</v>
      </c>
      <c r="D148" s="205">
        <v>546959</v>
      </c>
      <c r="E148" s="205">
        <v>660788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328452941</v>
      </c>
      <c r="D149" s="205">
        <f>SUM(D143:D148)</f>
        <v>347627051</v>
      </c>
      <c r="E149" s="205">
        <f>SUM(E143:E148)</f>
        <v>374870862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0.52290246863633216</v>
      </c>
      <c r="D152" s="203">
        <f>IF(D166=0,0,D160/D166)</f>
        <v>0.52751613611509762</v>
      </c>
      <c r="E152" s="203">
        <f>IF(E166=0,0,E160/E166)</f>
        <v>0.5358652287576966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0.389270070639682</v>
      </c>
      <c r="D153" s="203">
        <f>IF(D166=0,0,D161/D166)</f>
        <v>0.37627078183868901</v>
      </c>
      <c r="E153" s="203">
        <f>IF(E166=0,0,E161/E166)</f>
        <v>0.36075584844756553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7.5004723238323134E-2</v>
      </c>
      <c r="D154" s="203">
        <f>IF(D166=0,0,D162/D166)</f>
        <v>8.2633412633077871E-2</v>
      </c>
      <c r="E154" s="203">
        <f>IF(E166=0,0,E162/E166)</f>
        <v>9.3797720672774379E-2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8.8287941540387462E-3</v>
      </c>
      <c r="D155" s="203">
        <f>IF(D166=0,0,D163/D166)</f>
        <v>9.5304548402712717E-3</v>
      </c>
      <c r="E155" s="203">
        <f>IF(E166=0,0,E163/E166)</f>
        <v>4.3577624603373605E-3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3.0020805476376291E-3</v>
      </c>
      <c r="D156" s="203">
        <f>IF(D166=0,0,D164/D166)</f>
        <v>2.9871720686940302E-3</v>
      </c>
      <c r="E156" s="203">
        <f>IF(E166=0,0,E164/E166)</f>
        <v>3.6750440758191024E-3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9.9186278398637174E-4</v>
      </c>
      <c r="D157" s="203">
        <f>IF(D166=0,0,D165/D166)</f>
        <v>1.0620425041701733E-3</v>
      </c>
      <c r="E157" s="203">
        <f>IF(E166=0,0,E165/E166)</f>
        <v>1.5483955858071024E-3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83294282</v>
      </c>
      <c r="D160" s="208">
        <f>+D44-D164</f>
        <v>87473278</v>
      </c>
      <c r="E160" s="208">
        <f>+E44-E164</f>
        <v>93815097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62007684</v>
      </c>
      <c r="D161" s="208">
        <f>+D50</f>
        <v>62393615</v>
      </c>
      <c r="E161" s="208">
        <f>+E50</f>
        <v>63158315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11947667</v>
      </c>
      <c r="D162" s="208">
        <f>+D54</f>
        <v>13702359</v>
      </c>
      <c r="E162" s="208">
        <f>+E54</f>
        <v>16421372</v>
      </c>
    </row>
    <row r="163" spans="1:6" ht="20.100000000000001" customHeight="1" x14ac:dyDescent="0.2">
      <c r="A163" s="202">
        <v>11</v>
      </c>
      <c r="B163" s="201" t="s">
        <v>408</v>
      </c>
      <c r="C163" s="207">
        <v>1406358</v>
      </c>
      <c r="D163" s="208">
        <v>1580350</v>
      </c>
      <c r="E163" s="208">
        <v>762923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478208</v>
      </c>
      <c r="D164" s="208">
        <f>+D45</f>
        <v>495336</v>
      </c>
      <c r="E164" s="208">
        <f>+E45</f>
        <v>643398</v>
      </c>
    </row>
    <row r="165" spans="1:6" ht="20.100000000000001" customHeight="1" x14ac:dyDescent="0.2">
      <c r="A165" s="202">
        <v>13</v>
      </c>
      <c r="B165" s="201" t="s">
        <v>410</v>
      </c>
      <c r="C165" s="209">
        <v>157996</v>
      </c>
      <c r="D165" s="208">
        <v>176109</v>
      </c>
      <c r="E165" s="208">
        <v>271081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159292195</v>
      </c>
      <c r="D166" s="208">
        <f>SUM(D160:D165)</f>
        <v>165821047</v>
      </c>
      <c r="E166" s="208">
        <f>SUM(E160:E165)</f>
        <v>175072186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3369</v>
      </c>
      <c r="D169" s="198">
        <v>3390</v>
      </c>
      <c r="E169" s="198">
        <v>3270</v>
      </c>
    </row>
    <row r="170" spans="1:6" ht="20.100000000000001" customHeight="1" x14ac:dyDescent="0.2">
      <c r="A170" s="202">
        <v>2</v>
      </c>
      <c r="B170" s="201" t="s">
        <v>414</v>
      </c>
      <c r="C170" s="198">
        <v>4630</v>
      </c>
      <c r="D170" s="198">
        <v>4708</v>
      </c>
      <c r="E170" s="198">
        <v>4619</v>
      </c>
    </row>
    <row r="171" spans="1:6" ht="20.100000000000001" customHeight="1" x14ac:dyDescent="0.2">
      <c r="A171" s="202">
        <v>3</v>
      </c>
      <c r="B171" s="201" t="s">
        <v>415</v>
      </c>
      <c r="C171" s="198">
        <v>1718</v>
      </c>
      <c r="D171" s="198">
        <v>1847</v>
      </c>
      <c r="E171" s="198">
        <v>1909</v>
      </c>
    </row>
    <row r="172" spans="1:6" ht="20.100000000000001" customHeight="1" x14ac:dyDescent="0.2">
      <c r="A172" s="202">
        <v>4</v>
      </c>
      <c r="B172" s="201" t="s">
        <v>416</v>
      </c>
      <c r="C172" s="198">
        <v>1516</v>
      </c>
      <c r="D172" s="198">
        <v>1542</v>
      </c>
      <c r="E172" s="198">
        <v>1741</v>
      </c>
    </row>
    <row r="173" spans="1:6" ht="20.100000000000001" customHeight="1" x14ac:dyDescent="0.2">
      <c r="A173" s="202">
        <v>5</v>
      </c>
      <c r="B173" s="201" t="s">
        <v>417</v>
      </c>
      <c r="C173" s="198">
        <v>202</v>
      </c>
      <c r="D173" s="198">
        <v>305</v>
      </c>
      <c r="E173" s="198">
        <v>168</v>
      </c>
    </row>
    <row r="174" spans="1:6" ht="20.100000000000001" customHeight="1" x14ac:dyDescent="0.2">
      <c r="A174" s="202">
        <v>6</v>
      </c>
      <c r="B174" s="201" t="s">
        <v>418</v>
      </c>
      <c r="C174" s="198">
        <v>5</v>
      </c>
      <c r="D174" s="198">
        <v>10</v>
      </c>
      <c r="E174" s="198">
        <v>20</v>
      </c>
    </row>
    <row r="175" spans="1:6" ht="20.100000000000001" customHeight="1" x14ac:dyDescent="0.2">
      <c r="A175" s="202">
        <v>7</v>
      </c>
      <c r="B175" s="201" t="s">
        <v>419</v>
      </c>
      <c r="C175" s="198">
        <v>297</v>
      </c>
      <c r="D175" s="198">
        <v>302</v>
      </c>
      <c r="E175" s="198">
        <v>234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9722</v>
      </c>
      <c r="D176" s="198">
        <f>+D169+D170+D171+D174</f>
        <v>9955</v>
      </c>
      <c r="E176" s="198">
        <f>+E169+E170+E171+E174</f>
        <v>9818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0.97765000000000002</v>
      </c>
      <c r="D179" s="210">
        <v>1.0083500000000001</v>
      </c>
      <c r="E179" s="210">
        <v>1.03484</v>
      </c>
    </row>
    <row r="180" spans="1:6" ht="20.100000000000001" customHeight="1" x14ac:dyDescent="0.2">
      <c r="A180" s="202">
        <v>2</v>
      </c>
      <c r="B180" s="201" t="s">
        <v>414</v>
      </c>
      <c r="C180" s="210">
        <v>1.43384</v>
      </c>
      <c r="D180" s="210">
        <v>1.4451700000000001</v>
      </c>
      <c r="E180" s="210">
        <v>1.4248700000000001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0.81438299999999997</v>
      </c>
      <c r="D181" s="210">
        <v>0.80526699999999996</v>
      </c>
      <c r="E181" s="210">
        <v>0.84003700000000003</v>
      </c>
    </row>
    <row r="182" spans="1:6" ht="20.100000000000001" customHeight="1" x14ac:dyDescent="0.2">
      <c r="A182" s="202">
        <v>4</v>
      </c>
      <c r="B182" s="201" t="s">
        <v>416</v>
      </c>
      <c r="C182" s="210">
        <v>0.77446999999999999</v>
      </c>
      <c r="D182" s="210">
        <v>0.75641999999999998</v>
      </c>
      <c r="E182" s="210">
        <v>0.81113000000000002</v>
      </c>
    </row>
    <row r="183" spans="1:6" ht="20.100000000000001" customHeight="1" x14ac:dyDescent="0.2">
      <c r="A183" s="202">
        <v>5</v>
      </c>
      <c r="B183" s="201" t="s">
        <v>417</v>
      </c>
      <c r="C183" s="210">
        <v>1.1139300000000001</v>
      </c>
      <c r="D183" s="210">
        <v>1.05223</v>
      </c>
      <c r="E183" s="210">
        <v>1.13961</v>
      </c>
    </row>
    <row r="184" spans="1:6" ht="20.100000000000001" customHeight="1" x14ac:dyDescent="0.2">
      <c r="A184" s="202">
        <v>6</v>
      </c>
      <c r="B184" s="201" t="s">
        <v>418</v>
      </c>
      <c r="C184" s="210">
        <v>1.0625199999999999</v>
      </c>
      <c r="D184" s="210">
        <v>1.91412</v>
      </c>
      <c r="E184" s="210">
        <v>1.12174</v>
      </c>
    </row>
    <row r="185" spans="1:6" ht="20.100000000000001" customHeight="1" x14ac:dyDescent="0.2">
      <c r="A185" s="202">
        <v>7</v>
      </c>
      <c r="B185" s="201" t="s">
        <v>419</v>
      </c>
      <c r="C185" s="210">
        <v>0.86082000000000003</v>
      </c>
      <c r="D185" s="210">
        <v>0.88553000000000004</v>
      </c>
      <c r="E185" s="210">
        <v>1.07494</v>
      </c>
    </row>
    <row r="186" spans="1:6" ht="20.100000000000001" customHeight="1" x14ac:dyDescent="0.2">
      <c r="A186" s="202">
        <v>8</v>
      </c>
      <c r="B186" s="201" t="s">
        <v>423</v>
      </c>
      <c r="C186" s="210">
        <v>1.1660980000000001</v>
      </c>
      <c r="D186" s="210">
        <v>1.1781649999999999</v>
      </c>
      <c r="E186" s="210">
        <v>1.180634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6098</v>
      </c>
      <c r="D189" s="198">
        <v>6415</v>
      </c>
      <c r="E189" s="198">
        <v>6380</v>
      </c>
    </row>
    <row r="190" spans="1:6" ht="20.100000000000001" customHeight="1" x14ac:dyDescent="0.2">
      <c r="A190" s="202">
        <v>2</v>
      </c>
      <c r="B190" s="201" t="s">
        <v>427</v>
      </c>
      <c r="C190" s="198">
        <v>61902</v>
      </c>
      <c r="D190" s="198">
        <v>60480</v>
      </c>
      <c r="E190" s="198">
        <v>68942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68000</v>
      </c>
      <c r="D191" s="198">
        <f>+D190+D189</f>
        <v>66895</v>
      </c>
      <c r="E191" s="198">
        <f>+E190+E189</f>
        <v>75322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FILING&amp;RMIDSTATE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A3" sqref="A3:F3"/>
    </sheetView>
  </sheetViews>
  <sheetFormatPr defaultRowHeight="20.25" customHeight="1" x14ac:dyDescent="0.3"/>
  <cols>
    <col min="1" max="1" width="9.14062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1551614</v>
      </c>
      <c r="D14" s="237">
        <v>1751349</v>
      </c>
      <c r="E14" s="237">
        <f t="shared" ref="E14:E24" si="0">D14-C14</f>
        <v>199735</v>
      </c>
      <c r="F14" s="238">
        <f t="shared" ref="F14:F24" si="1">IF(C14=0,0,E14/C14)</f>
        <v>0.12872724788510545</v>
      </c>
    </row>
    <row r="15" spans="1:7" ht="20.25" customHeight="1" x14ac:dyDescent="0.3">
      <c r="A15" s="235">
        <v>2</v>
      </c>
      <c r="B15" s="236" t="s">
        <v>435</v>
      </c>
      <c r="C15" s="237">
        <v>762705</v>
      </c>
      <c r="D15" s="237">
        <v>740656</v>
      </c>
      <c r="E15" s="237">
        <f t="shared" si="0"/>
        <v>-22049</v>
      </c>
      <c r="F15" s="238">
        <f t="shared" si="1"/>
        <v>-2.8908949069430513E-2</v>
      </c>
    </row>
    <row r="16" spans="1:7" ht="20.25" customHeight="1" x14ac:dyDescent="0.3">
      <c r="A16" s="235">
        <v>3</v>
      </c>
      <c r="B16" s="236" t="s">
        <v>436</v>
      </c>
      <c r="C16" s="237">
        <v>918928</v>
      </c>
      <c r="D16" s="237">
        <v>1039673</v>
      </c>
      <c r="E16" s="237">
        <f t="shared" si="0"/>
        <v>120745</v>
      </c>
      <c r="F16" s="238">
        <f t="shared" si="1"/>
        <v>0.13139767207006425</v>
      </c>
    </row>
    <row r="17" spans="1:6" ht="20.25" customHeight="1" x14ac:dyDescent="0.3">
      <c r="A17" s="235">
        <v>4</v>
      </c>
      <c r="B17" s="236" t="s">
        <v>437</v>
      </c>
      <c r="C17" s="237">
        <v>306377</v>
      </c>
      <c r="D17" s="237">
        <v>347462</v>
      </c>
      <c r="E17" s="237">
        <f t="shared" si="0"/>
        <v>41085</v>
      </c>
      <c r="F17" s="238">
        <f t="shared" si="1"/>
        <v>0.1340994918025831</v>
      </c>
    </row>
    <row r="18" spans="1:6" ht="20.25" customHeight="1" x14ac:dyDescent="0.3">
      <c r="A18" s="235">
        <v>5</v>
      </c>
      <c r="B18" s="236" t="s">
        <v>373</v>
      </c>
      <c r="C18" s="239">
        <v>86</v>
      </c>
      <c r="D18" s="239">
        <v>79</v>
      </c>
      <c r="E18" s="239">
        <f t="shared" si="0"/>
        <v>-7</v>
      </c>
      <c r="F18" s="238">
        <f t="shared" si="1"/>
        <v>-8.1395348837209308E-2</v>
      </c>
    </row>
    <row r="19" spans="1:6" ht="20.25" customHeight="1" x14ac:dyDescent="0.3">
      <c r="A19" s="235">
        <v>6</v>
      </c>
      <c r="B19" s="236" t="s">
        <v>372</v>
      </c>
      <c r="C19" s="239">
        <v>350</v>
      </c>
      <c r="D19" s="239">
        <v>384</v>
      </c>
      <c r="E19" s="239">
        <f t="shared" si="0"/>
        <v>34</v>
      </c>
      <c r="F19" s="238">
        <f t="shared" si="1"/>
        <v>9.7142857142857142E-2</v>
      </c>
    </row>
    <row r="20" spans="1:6" ht="20.25" customHeight="1" x14ac:dyDescent="0.3">
      <c r="A20" s="235">
        <v>7</v>
      </c>
      <c r="B20" s="236" t="s">
        <v>438</v>
      </c>
      <c r="C20" s="239">
        <v>465</v>
      </c>
      <c r="D20" s="239">
        <v>415</v>
      </c>
      <c r="E20" s="239">
        <f t="shared" si="0"/>
        <v>-50</v>
      </c>
      <c r="F20" s="238">
        <f t="shared" si="1"/>
        <v>-0.10752688172043011</v>
      </c>
    </row>
    <row r="21" spans="1:6" ht="20.25" customHeight="1" x14ac:dyDescent="0.3">
      <c r="A21" s="235">
        <v>8</v>
      </c>
      <c r="B21" s="236" t="s">
        <v>439</v>
      </c>
      <c r="C21" s="239">
        <v>123</v>
      </c>
      <c r="D21" s="239">
        <v>135</v>
      </c>
      <c r="E21" s="239">
        <f t="shared" si="0"/>
        <v>12</v>
      </c>
      <c r="F21" s="238">
        <f t="shared" si="1"/>
        <v>9.7560975609756101E-2</v>
      </c>
    </row>
    <row r="22" spans="1:6" ht="20.25" customHeight="1" x14ac:dyDescent="0.3">
      <c r="A22" s="235">
        <v>9</v>
      </c>
      <c r="B22" s="236" t="s">
        <v>440</v>
      </c>
      <c r="C22" s="239">
        <v>67</v>
      </c>
      <c r="D22" s="239">
        <v>68</v>
      </c>
      <c r="E22" s="239">
        <f t="shared" si="0"/>
        <v>1</v>
      </c>
      <c r="F22" s="238">
        <f t="shared" si="1"/>
        <v>1.4925373134328358E-2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2470542</v>
      </c>
      <c r="D23" s="243">
        <f>+D14+D16</f>
        <v>2791022</v>
      </c>
      <c r="E23" s="243">
        <f t="shared" si="0"/>
        <v>320480</v>
      </c>
      <c r="F23" s="244">
        <f t="shared" si="1"/>
        <v>0.12972052286502314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1069082</v>
      </c>
      <c r="D24" s="243">
        <f>+D15+D17</f>
        <v>1088118</v>
      </c>
      <c r="E24" s="243">
        <f t="shared" si="0"/>
        <v>19036</v>
      </c>
      <c r="F24" s="244">
        <f t="shared" si="1"/>
        <v>1.7805930695680969E-2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1592740</v>
      </c>
      <c r="D40" s="237">
        <v>1886070</v>
      </c>
      <c r="E40" s="237">
        <f t="shared" ref="E40:E50" si="4">D40-C40</f>
        <v>293330</v>
      </c>
      <c r="F40" s="238">
        <f t="shared" ref="F40:F50" si="5">IF(C40=0,0,E40/C40)</f>
        <v>0.18416690734206462</v>
      </c>
    </row>
    <row r="41" spans="1:6" ht="20.25" customHeight="1" x14ac:dyDescent="0.3">
      <c r="A41" s="235">
        <v>2</v>
      </c>
      <c r="B41" s="236" t="s">
        <v>435</v>
      </c>
      <c r="C41" s="237">
        <v>792459</v>
      </c>
      <c r="D41" s="237">
        <v>821621</v>
      </c>
      <c r="E41" s="237">
        <f t="shared" si="4"/>
        <v>29162</v>
      </c>
      <c r="F41" s="238">
        <f t="shared" si="5"/>
        <v>3.6799380157206872E-2</v>
      </c>
    </row>
    <row r="42" spans="1:6" ht="20.25" customHeight="1" x14ac:dyDescent="0.3">
      <c r="A42" s="235">
        <v>3</v>
      </c>
      <c r="B42" s="236" t="s">
        <v>436</v>
      </c>
      <c r="C42" s="237">
        <v>1646291</v>
      </c>
      <c r="D42" s="237">
        <v>1734598</v>
      </c>
      <c r="E42" s="237">
        <f t="shared" si="4"/>
        <v>88307</v>
      </c>
      <c r="F42" s="238">
        <f t="shared" si="5"/>
        <v>5.3639970090342472E-2</v>
      </c>
    </row>
    <row r="43" spans="1:6" ht="20.25" customHeight="1" x14ac:dyDescent="0.3">
      <c r="A43" s="235">
        <v>4</v>
      </c>
      <c r="B43" s="236" t="s">
        <v>437</v>
      </c>
      <c r="C43" s="237">
        <v>518582</v>
      </c>
      <c r="D43" s="237">
        <v>550214</v>
      </c>
      <c r="E43" s="237">
        <f t="shared" si="4"/>
        <v>31632</v>
      </c>
      <c r="F43" s="238">
        <f t="shared" si="5"/>
        <v>6.0997103640311467E-2</v>
      </c>
    </row>
    <row r="44" spans="1:6" ht="20.25" customHeight="1" x14ac:dyDescent="0.3">
      <c r="A44" s="235">
        <v>5</v>
      </c>
      <c r="B44" s="236" t="s">
        <v>373</v>
      </c>
      <c r="C44" s="239">
        <v>87</v>
      </c>
      <c r="D44" s="239">
        <v>91</v>
      </c>
      <c r="E44" s="239">
        <f t="shared" si="4"/>
        <v>4</v>
      </c>
      <c r="F44" s="238">
        <f t="shared" si="5"/>
        <v>4.5977011494252873E-2</v>
      </c>
    </row>
    <row r="45" spans="1:6" ht="20.25" customHeight="1" x14ac:dyDescent="0.3">
      <c r="A45" s="235">
        <v>6</v>
      </c>
      <c r="B45" s="236" t="s">
        <v>372</v>
      </c>
      <c r="C45" s="239">
        <v>357</v>
      </c>
      <c r="D45" s="239">
        <v>385</v>
      </c>
      <c r="E45" s="239">
        <f t="shared" si="4"/>
        <v>28</v>
      </c>
      <c r="F45" s="238">
        <f t="shared" si="5"/>
        <v>7.8431372549019607E-2</v>
      </c>
    </row>
    <row r="46" spans="1:6" ht="20.25" customHeight="1" x14ac:dyDescent="0.3">
      <c r="A46" s="235">
        <v>7</v>
      </c>
      <c r="B46" s="236" t="s">
        <v>438</v>
      </c>
      <c r="C46" s="239">
        <v>838</v>
      </c>
      <c r="D46" s="239">
        <v>845</v>
      </c>
      <c r="E46" s="239">
        <f t="shared" si="4"/>
        <v>7</v>
      </c>
      <c r="F46" s="238">
        <f t="shared" si="5"/>
        <v>8.3532219570405727E-3</v>
      </c>
    </row>
    <row r="47" spans="1:6" ht="20.25" customHeight="1" x14ac:dyDescent="0.3">
      <c r="A47" s="235">
        <v>8</v>
      </c>
      <c r="B47" s="236" t="s">
        <v>439</v>
      </c>
      <c r="C47" s="239">
        <v>177</v>
      </c>
      <c r="D47" s="239">
        <v>199</v>
      </c>
      <c r="E47" s="239">
        <f t="shared" si="4"/>
        <v>22</v>
      </c>
      <c r="F47" s="238">
        <f t="shared" si="5"/>
        <v>0.12429378531073447</v>
      </c>
    </row>
    <row r="48" spans="1:6" ht="20.25" customHeight="1" x14ac:dyDescent="0.3">
      <c r="A48" s="235">
        <v>9</v>
      </c>
      <c r="B48" s="236" t="s">
        <v>440</v>
      </c>
      <c r="C48" s="239">
        <v>69</v>
      </c>
      <c r="D48" s="239">
        <v>67</v>
      </c>
      <c r="E48" s="239">
        <f t="shared" si="4"/>
        <v>-2</v>
      </c>
      <c r="F48" s="238">
        <f t="shared" si="5"/>
        <v>-2.8985507246376812E-2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3239031</v>
      </c>
      <c r="D49" s="243">
        <f>+D40+D42</f>
        <v>3620668</v>
      </c>
      <c r="E49" s="243">
        <f t="shared" si="4"/>
        <v>381637</v>
      </c>
      <c r="F49" s="244">
        <f t="shared" si="5"/>
        <v>0.11782443576489389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1311041</v>
      </c>
      <c r="D50" s="243">
        <f>+D41+D43</f>
        <v>1371835</v>
      </c>
      <c r="E50" s="243">
        <f t="shared" si="4"/>
        <v>60794</v>
      </c>
      <c r="F50" s="244">
        <f t="shared" si="5"/>
        <v>4.6370784742811248E-2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9421629</v>
      </c>
      <c r="D53" s="237">
        <v>10583692</v>
      </c>
      <c r="E53" s="237">
        <f t="shared" ref="E53:E63" si="6">D53-C53</f>
        <v>1162063</v>
      </c>
      <c r="F53" s="238">
        <f t="shared" ref="F53:F63" si="7">IF(C53=0,0,E53/C53)</f>
        <v>0.12333992348881494</v>
      </c>
    </row>
    <row r="54" spans="1:6" ht="20.25" customHeight="1" x14ac:dyDescent="0.3">
      <c r="A54" s="235">
        <v>2</v>
      </c>
      <c r="B54" s="236" t="s">
        <v>435</v>
      </c>
      <c r="C54" s="237">
        <v>4202644</v>
      </c>
      <c r="D54" s="237">
        <v>4302502</v>
      </c>
      <c r="E54" s="237">
        <f t="shared" si="6"/>
        <v>99858</v>
      </c>
      <c r="F54" s="238">
        <f t="shared" si="7"/>
        <v>2.3760756323876111E-2</v>
      </c>
    </row>
    <row r="55" spans="1:6" ht="20.25" customHeight="1" x14ac:dyDescent="0.3">
      <c r="A55" s="235">
        <v>3</v>
      </c>
      <c r="B55" s="236" t="s">
        <v>436</v>
      </c>
      <c r="C55" s="237">
        <v>6330429</v>
      </c>
      <c r="D55" s="237">
        <v>7766237</v>
      </c>
      <c r="E55" s="237">
        <f t="shared" si="6"/>
        <v>1435808</v>
      </c>
      <c r="F55" s="238">
        <f t="shared" si="7"/>
        <v>0.2268105368530316</v>
      </c>
    </row>
    <row r="56" spans="1:6" ht="20.25" customHeight="1" x14ac:dyDescent="0.3">
      <c r="A56" s="235">
        <v>4</v>
      </c>
      <c r="B56" s="236" t="s">
        <v>437</v>
      </c>
      <c r="C56" s="237">
        <v>2006746</v>
      </c>
      <c r="D56" s="237">
        <v>2414683</v>
      </c>
      <c r="E56" s="237">
        <f t="shared" si="6"/>
        <v>407937</v>
      </c>
      <c r="F56" s="238">
        <f t="shared" si="7"/>
        <v>0.20328282702444656</v>
      </c>
    </row>
    <row r="57" spans="1:6" ht="20.25" customHeight="1" x14ac:dyDescent="0.3">
      <c r="A57" s="235">
        <v>5</v>
      </c>
      <c r="B57" s="236" t="s">
        <v>373</v>
      </c>
      <c r="C57" s="239">
        <v>430</v>
      </c>
      <c r="D57" s="239">
        <v>449</v>
      </c>
      <c r="E57" s="239">
        <f t="shared" si="6"/>
        <v>19</v>
      </c>
      <c r="F57" s="238">
        <f t="shared" si="7"/>
        <v>4.4186046511627906E-2</v>
      </c>
    </row>
    <row r="58" spans="1:6" ht="20.25" customHeight="1" x14ac:dyDescent="0.3">
      <c r="A58" s="235">
        <v>6</v>
      </c>
      <c r="B58" s="236" t="s">
        <v>372</v>
      </c>
      <c r="C58" s="239">
        <v>2149</v>
      </c>
      <c r="D58" s="239">
        <v>2211</v>
      </c>
      <c r="E58" s="239">
        <f t="shared" si="6"/>
        <v>62</v>
      </c>
      <c r="F58" s="238">
        <f t="shared" si="7"/>
        <v>2.8850628199162402E-2</v>
      </c>
    </row>
    <row r="59" spans="1:6" ht="20.25" customHeight="1" x14ac:dyDescent="0.3">
      <c r="A59" s="235">
        <v>7</v>
      </c>
      <c r="B59" s="236" t="s">
        <v>438</v>
      </c>
      <c r="C59" s="239">
        <v>3374</v>
      </c>
      <c r="D59" s="239">
        <v>3525</v>
      </c>
      <c r="E59" s="239">
        <f t="shared" si="6"/>
        <v>151</v>
      </c>
      <c r="F59" s="238">
        <f t="shared" si="7"/>
        <v>4.4754001185536456E-2</v>
      </c>
    </row>
    <row r="60" spans="1:6" ht="20.25" customHeight="1" x14ac:dyDescent="0.3">
      <c r="A60" s="235">
        <v>8</v>
      </c>
      <c r="B60" s="236" t="s">
        <v>439</v>
      </c>
      <c r="C60" s="239">
        <v>698</v>
      </c>
      <c r="D60" s="239">
        <v>904</v>
      </c>
      <c r="E60" s="239">
        <f t="shared" si="6"/>
        <v>206</v>
      </c>
      <c r="F60" s="238">
        <f t="shared" si="7"/>
        <v>0.29512893982808025</v>
      </c>
    </row>
    <row r="61" spans="1:6" ht="20.25" customHeight="1" x14ac:dyDescent="0.3">
      <c r="A61" s="235">
        <v>9</v>
      </c>
      <c r="B61" s="236" t="s">
        <v>440</v>
      </c>
      <c r="C61" s="239">
        <v>358</v>
      </c>
      <c r="D61" s="239">
        <v>366</v>
      </c>
      <c r="E61" s="239">
        <f t="shared" si="6"/>
        <v>8</v>
      </c>
      <c r="F61" s="238">
        <f t="shared" si="7"/>
        <v>2.23463687150838E-2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15752058</v>
      </c>
      <c r="D62" s="243">
        <f>+D53+D55</f>
        <v>18349929</v>
      </c>
      <c r="E62" s="243">
        <f t="shared" si="6"/>
        <v>2597871</v>
      </c>
      <c r="F62" s="244">
        <f t="shared" si="7"/>
        <v>0.16492264058448744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6209390</v>
      </c>
      <c r="D63" s="243">
        <f>+D54+D56</f>
        <v>6717185</v>
      </c>
      <c r="E63" s="243">
        <f t="shared" si="6"/>
        <v>507795</v>
      </c>
      <c r="F63" s="244">
        <f t="shared" si="7"/>
        <v>8.1778564400045731E-2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376154</v>
      </c>
      <c r="E79" s="237">
        <f t="shared" ref="E79:E89" si="10">D79-C79</f>
        <v>376154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161257</v>
      </c>
      <c r="E80" s="237">
        <f t="shared" si="10"/>
        <v>161257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147213</v>
      </c>
      <c r="E81" s="237">
        <f t="shared" si="10"/>
        <v>147213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44723</v>
      </c>
      <c r="E82" s="237">
        <f t="shared" si="10"/>
        <v>44723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16</v>
      </c>
      <c r="E83" s="239">
        <f t="shared" si="10"/>
        <v>16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72</v>
      </c>
      <c r="E84" s="239">
        <f t="shared" si="10"/>
        <v>72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106</v>
      </c>
      <c r="E85" s="239">
        <f t="shared" si="10"/>
        <v>106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26</v>
      </c>
      <c r="E86" s="239">
        <f t="shared" si="10"/>
        <v>26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14</v>
      </c>
      <c r="E87" s="239">
        <f t="shared" si="10"/>
        <v>14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523367</v>
      </c>
      <c r="E88" s="243">
        <f t="shared" si="10"/>
        <v>523367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205980</v>
      </c>
      <c r="E89" s="243">
        <f t="shared" si="10"/>
        <v>205980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157868</v>
      </c>
      <c r="E105" s="237">
        <f t="shared" ref="E105:E115" si="14">D105-C105</f>
        <v>157868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67678</v>
      </c>
      <c r="E106" s="237">
        <f t="shared" si="14"/>
        <v>67678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61020</v>
      </c>
      <c r="E107" s="237">
        <f t="shared" si="14"/>
        <v>61020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18538</v>
      </c>
      <c r="E108" s="237">
        <f t="shared" si="14"/>
        <v>18538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8</v>
      </c>
      <c r="E109" s="239">
        <f t="shared" si="14"/>
        <v>8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36</v>
      </c>
      <c r="E110" s="239">
        <f t="shared" si="14"/>
        <v>36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24</v>
      </c>
      <c r="E111" s="239">
        <f t="shared" si="14"/>
        <v>24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19</v>
      </c>
      <c r="E112" s="239">
        <f t="shared" si="14"/>
        <v>19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8</v>
      </c>
      <c r="E113" s="239">
        <f t="shared" si="14"/>
        <v>8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218888</v>
      </c>
      <c r="E114" s="243">
        <f t="shared" si="14"/>
        <v>218888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86216</v>
      </c>
      <c r="E115" s="243">
        <f t="shared" si="14"/>
        <v>86216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740082</v>
      </c>
      <c r="E118" s="237">
        <f t="shared" ref="E118:E128" si="16">D118-C118</f>
        <v>740082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311410</v>
      </c>
      <c r="E119" s="237">
        <f t="shared" si="16"/>
        <v>311410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512913</v>
      </c>
      <c r="E120" s="237">
        <f t="shared" si="16"/>
        <v>512913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161998</v>
      </c>
      <c r="E121" s="237">
        <f t="shared" si="16"/>
        <v>161998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34</v>
      </c>
      <c r="E122" s="239">
        <f t="shared" si="16"/>
        <v>34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145</v>
      </c>
      <c r="E123" s="239">
        <f t="shared" si="16"/>
        <v>145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269</v>
      </c>
      <c r="E124" s="239">
        <f t="shared" si="16"/>
        <v>269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70</v>
      </c>
      <c r="E125" s="239">
        <f t="shared" si="16"/>
        <v>70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25</v>
      </c>
      <c r="E126" s="239">
        <f t="shared" si="16"/>
        <v>25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1252995</v>
      </c>
      <c r="E127" s="243">
        <f t="shared" si="16"/>
        <v>1252995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473408</v>
      </c>
      <c r="E128" s="243">
        <f t="shared" si="16"/>
        <v>473408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1640833</v>
      </c>
      <c r="E183" s="237">
        <f t="shared" ref="E183:E193" si="26">D183-C183</f>
        <v>1640833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703476</v>
      </c>
      <c r="E184" s="237">
        <f t="shared" si="26"/>
        <v>703476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649282</v>
      </c>
      <c r="E185" s="237">
        <f t="shared" si="26"/>
        <v>649282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197252</v>
      </c>
      <c r="E186" s="237">
        <f t="shared" si="26"/>
        <v>197252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72</v>
      </c>
      <c r="E187" s="239">
        <f t="shared" si="26"/>
        <v>72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395</v>
      </c>
      <c r="E188" s="239">
        <f t="shared" si="26"/>
        <v>395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331</v>
      </c>
      <c r="E189" s="239">
        <f t="shared" si="26"/>
        <v>331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113</v>
      </c>
      <c r="E190" s="239">
        <f t="shared" si="26"/>
        <v>113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57</v>
      </c>
      <c r="E191" s="239">
        <f t="shared" si="26"/>
        <v>57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2290115</v>
      </c>
      <c r="E192" s="243">
        <f t="shared" si="26"/>
        <v>2290115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900728</v>
      </c>
      <c r="E193" s="243">
        <f t="shared" si="26"/>
        <v>900728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12565983</v>
      </c>
      <c r="D198" s="243">
        <f t="shared" si="28"/>
        <v>17136048</v>
      </c>
      <c r="E198" s="243">
        <f t="shared" ref="E198:E208" si="29">D198-C198</f>
        <v>4570065</v>
      </c>
      <c r="F198" s="251">
        <f t="shared" ref="F198:F208" si="30">IF(C198=0,0,E198/C198)</f>
        <v>0.36368543551268534</v>
      </c>
    </row>
    <row r="199" spans="1:9" ht="20.25" customHeight="1" x14ac:dyDescent="0.3">
      <c r="A199" s="249"/>
      <c r="B199" s="250" t="s">
        <v>461</v>
      </c>
      <c r="C199" s="243">
        <f t="shared" si="28"/>
        <v>5757808</v>
      </c>
      <c r="D199" s="243">
        <f t="shared" si="28"/>
        <v>7108600</v>
      </c>
      <c r="E199" s="243">
        <f t="shared" si="29"/>
        <v>1350792</v>
      </c>
      <c r="F199" s="251">
        <f t="shared" si="30"/>
        <v>0.2346017790103456</v>
      </c>
    </row>
    <row r="200" spans="1:9" ht="20.25" customHeight="1" x14ac:dyDescent="0.3">
      <c r="A200" s="249"/>
      <c r="B200" s="250" t="s">
        <v>462</v>
      </c>
      <c r="C200" s="243">
        <f t="shared" si="28"/>
        <v>8895648</v>
      </c>
      <c r="D200" s="243">
        <f t="shared" si="28"/>
        <v>11910936</v>
      </c>
      <c r="E200" s="243">
        <f t="shared" si="29"/>
        <v>3015288</v>
      </c>
      <c r="F200" s="251">
        <f t="shared" si="30"/>
        <v>0.33896215317872291</v>
      </c>
    </row>
    <row r="201" spans="1:9" ht="20.25" customHeight="1" x14ac:dyDescent="0.3">
      <c r="A201" s="249"/>
      <c r="B201" s="250" t="s">
        <v>463</v>
      </c>
      <c r="C201" s="243">
        <f t="shared" si="28"/>
        <v>2831705</v>
      </c>
      <c r="D201" s="243">
        <f t="shared" si="28"/>
        <v>3734870</v>
      </c>
      <c r="E201" s="243">
        <f t="shared" si="29"/>
        <v>903165</v>
      </c>
      <c r="F201" s="251">
        <f t="shared" si="30"/>
        <v>0.31894741860469222</v>
      </c>
    </row>
    <row r="202" spans="1:9" ht="20.25" customHeight="1" x14ac:dyDescent="0.3">
      <c r="A202" s="249"/>
      <c r="B202" s="250" t="s">
        <v>464</v>
      </c>
      <c r="C202" s="252">
        <f t="shared" si="28"/>
        <v>603</v>
      </c>
      <c r="D202" s="252">
        <f t="shared" si="28"/>
        <v>749</v>
      </c>
      <c r="E202" s="252">
        <f t="shared" si="29"/>
        <v>146</v>
      </c>
      <c r="F202" s="251">
        <f t="shared" si="30"/>
        <v>0.24212271973466004</v>
      </c>
    </row>
    <row r="203" spans="1:9" ht="20.25" customHeight="1" x14ac:dyDescent="0.3">
      <c r="A203" s="249"/>
      <c r="B203" s="250" t="s">
        <v>465</v>
      </c>
      <c r="C203" s="252">
        <f t="shared" si="28"/>
        <v>2856</v>
      </c>
      <c r="D203" s="252">
        <f t="shared" si="28"/>
        <v>3628</v>
      </c>
      <c r="E203" s="252">
        <f t="shared" si="29"/>
        <v>772</v>
      </c>
      <c r="F203" s="251">
        <f t="shared" si="30"/>
        <v>0.2703081232492997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4677</v>
      </c>
      <c r="D204" s="252">
        <f t="shared" si="28"/>
        <v>5515</v>
      </c>
      <c r="E204" s="252">
        <f t="shared" si="29"/>
        <v>838</v>
      </c>
      <c r="F204" s="251">
        <f t="shared" si="30"/>
        <v>0.17917468462689759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998</v>
      </c>
      <c r="D205" s="252">
        <f t="shared" si="28"/>
        <v>1466</v>
      </c>
      <c r="E205" s="252">
        <f t="shared" si="29"/>
        <v>468</v>
      </c>
      <c r="F205" s="251">
        <f t="shared" si="30"/>
        <v>0.46893787575150303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494</v>
      </c>
      <c r="D206" s="252">
        <f t="shared" si="28"/>
        <v>605</v>
      </c>
      <c r="E206" s="252">
        <f t="shared" si="29"/>
        <v>111</v>
      </c>
      <c r="F206" s="251">
        <f t="shared" si="30"/>
        <v>0.22469635627530365</v>
      </c>
    </row>
    <row r="207" spans="1:9" ht="20.25" customHeight="1" x14ac:dyDescent="0.3">
      <c r="A207" s="249"/>
      <c r="B207" s="242" t="s">
        <v>469</v>
      </c>
      <c r="C207" s="243">
        <f>+C198+C200</f>
        <v>21461631</v>
      </c>
      <c r="D207" s="243">
        <f>+D198+D200</f>
        <v>29046984</v>
      </c>
      <c r="E207" s="243">
        <f t="shared" si="29"/>
        <v>7585353</v>
      </c>
      <c r="F207" s="251">
        <f t="shared" si="30"/>
        <v>0.35343786313351488</v>
      </c>
    </row>
    <row r="208" spans="1:9" ht="20.25" customHeight="1" x14ac:dyDescent="0.3">
      <c r="A208" s="249"/>
      <c r="B208" s="242" t="s">
        <v>470</v>
      </c>
      <c r="C208" s="243">
        <f>+C199+C201</f>
        <v>8589513</v>
      </c>
      <c r="D208" s="243">
        <f>+D199+D201</f>
        <v>10843470</v>
      </c>
      <c r="E208" s="243">
        <f t="shared" si="29"/>
        <v>2253957</v>
      </c>
      <c r="F208" s="251">
        <f t="shared" si="30"/>
        <v>0.26240800846334361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FILING&amp;RMIDSTATE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A3" sqref="A3:F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5745567</v>
      </c>
      <c r="D26" s="237">
        <v>7250769</v>
      </c>
      <c r="E26" s="237">
        <f t="shared" ref="E26:E36" si="2">D26-C26</f>
        <v>1505202</v>
      </c>
      <c r="F26" s="238">
        <f t="shared" ref="F26:F36" si="3">IF(C26=0,0,E26/C26)</f>
        <v>0.26197623315505675</v>
      </c>
    </row>
    <row r="27" spans="1:6" ht="20.25" customHeight="1" x14ac:dyDescent="0.3">
      <c r="A27" s="235">
        <v>2</v>
      </c>
      <c r="B27" s="236" t="s">
        <v>435</v>
      </c>
      <c r="C27" s="237">
        <v>2498395</v>
      </c>
      <c r="D27" s="237">
        <v>2809581</v>
      </c>
      <c r="E27" s="237">
        <f t="shared" si="2"/>
        <v>311186</v>
      </c>
      <c r="F27" s="238">
        <f t="shared" si="3"/>
        <v>0.12455436390162485</v>
      </c>
    </row>
    <row r="28" spans="1:6" ht="20.25" customHeight="1" x14ac:dyDescent="0.3">
      <c r="A28" s="235">
        <v>3</v>
      </c>
      <c r="B28" s="236" t="s">
        <v>436</v>
      </c>
      <c r="C28" s="237">
        <v>11679656</v>
      </c>
      <c r="D28" s="237">
        <v>15982975</v>
      </c>
      <c r="E28" s="237">
        <f t="shared" si="2"/>
        <v>4303319</v>
      </c>
      <c r="F28" s="238">
        <f t="shared" si="3"/>
        <v>0.36844569737327881</v>
      </c>
    </row>
    <row r="29" spans="1:6" ht="20.25" customHeight="1" x14ac:dyDescent="0.3">
      <c r="A29" s="235">
        <v>4</v>
      </c>
      <c r="B29" s="236" t="s">
        <v>437</v>
      </c>
      <c r="C29" s="237">
        <v>3971083</v>
      </c>
      <c r="D29" s="237">
        <v>4942088</v>
      </c>
      <c r="E29" s="237">
        <f t="shared" si="2"/>
        <v>971005</v>
      </c>
      <c r="F29" s="238">
        <f t="shared" si="3"/>
        <v>0.24451893853641438</v>
      </c>
    </row>
    <row r="30" spans="1:6" ht="20.25" customHeight="1" x14ac:dyDescent="0.3">
      <c r="A30" s="235">
        <v>5</v>
      </c>
      <c r="B30" s="236" t="s">
        <v>373</v>
      </c>
      <c r="C30" s="239">
        <v>781</v>
      </c>
      <c r="D30" s="239">
        <v>828</v>
      </c>
      <c r="E30" s="239">
        <f t="shared" si="2"/>
        <v>47</v>
      </c>
      <c r="F30" s="238">
        <f t="shared" si="3"/>
        <v>6.0179257362355951E-2</v>
      </c>
    </row>
    <row r="31" spans="1:6" ht="20.25" customHeight="1" x14ac:dyDescent="0.3">
      <c r="A31" s="235">
        <v>6</v>
      </c>
      <c r="B31" s="236" t="s">
        <v>372</v>
      </c>
      <c r="C31" s="239">
        <v>2077</v>
      </c>
      <c r="D31" s="239">
        <v>2241</v>
      </c>
      <c r="E31" s="239">
        <f t="shared" si="2"/>
        <v>164</v>
      </c>
      <c r="F31" s="238">
        <f t="shared" si="3"/>
        <v>7.8960038517091963E-2</v>
      </c>
    </row>
    <row r="32" spans="1:6" ht="20.25" customHeight="1" x14ac:dyDescent="0.3">
      <c r="A32" s="235">
        <v>7</v>
      </c>
      <c r="B32" s="236" t="s">
        <v>438</v>
      </c>
      <c r="C32" s="239">
        <v>6567</v>
      </c>
      <c r="D32" s="239">
        <v>6659</v>
      </c>
      <c r="E32" s="239">
        <f t="shared" si="2"/>
        <v>92</v>
      </c>
      <c r="F32" s="238">
        <f t="shared" si="3"/>
        <v>1.4009441145119537E-2</v>
      </c>
    </row>
    <row r="33" spans="1:6" ht="20.25" customHeight="1" x14ac:dyDescent="0.3">
      <c r="A33" s="235">
        <v>8</v>
      </c>
      <c r="B33" s="236" t="s">
        <v>439</v>
      </c>
      <c r="C33" s="239">
        <v>11540</v>
      </c>
      <c r="D33" s="239">
        <v>14258</v>
      </c>
      <c r="E33" s="239">
        <f t="shared" si="2"/>
        <v>2718</v>
      </c>
      <c r="F33" s="238">
        <f t="shared" si="3"/>
        <v>0.23552859618717503</v>
      </c>
    </row>
    <row r="34" spans="1:6" ht="20.25" customHeight="1" x14ac:dyDescent="0.3">
      <c r="A34" s="235">
        <v>9</v>
      </c>
      <c r="B34" s="236" t="s">
        <v>440</v>
      </c>
      <c r="C34" s="239">
        <v>118</v>
      </c>
      <c r="D34" s="239">
        <v>134</v>
      </c>
      <c r="E34" s="239">
        <f t="shared" si="2"/>
        <v>16</v>
      </c>
      <c r="F34" s="238">
        <f t="shared" si="3"/>
        <v>0.13559322033898305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17425223</v>
      </c>
      <c r="D35" s="243">
        <f>+D26+D28</f>
        <v>23233744</v>
      </c>
      <c r="E35" s="243">
        <f t="shared" si="2"/>
        <v>5808521</v>
      </c>
      <c r="F35" s="244">
        <f t="shared" si="3"/>
        <v>0.33333983731513794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6469478</v>
      </c>
      <c r="D36" s="243">
        <f>+D27+D29</f>
        <v>7751669</v>
      </c>
      <c r="E36" s="243">
        <f t="shared" si="2"/>
        <v>1282191</v>
      </c>
      <c r="F36" s="244">
        <f t="shared" si="3"/>
        <v>0.19819079684636071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703472</v>
      </c>
      <c r="D50" s="237">
        <v>0</v>
      </c>
      <c r="E50" s="237">
        <f t="shared" ref="E50:E60" si="6">D50-C50</f>
        <v>-703472</v>
      </c>
      <c r="F50" s="238">
        <f t="shared" ref="F50:F60" si="7">IF(C50=0,0,E50/C50)</f>
        <v>-1</v>
      </c>
    </row>
    <row r="51" spans="1:6" ht="20.25" customHeight="1" x14ac:dyDescent="0.3">
      <c r="A51" s="235">
        <v>2</v>
      </c>
      <c r="B51" s="236" t="s">
        <v>435</v>
      </c>
      <c r="C51" s="237">
        <v>273422</v>
      </c>
      <c r="D51" s="237">
        <v>0</v>
      </c>
      <c r="E51" s="237">
        <f t="shared" si="6"/>
        <v>-273422</v>
      </c>
      <c r="F51" s="238">
        <f t="shared" si="7"/>
        <v>-1</v>
      </c>
    </row>
    <row r="52" spans="1:6" ht="20.25" customHeight="1" x14ac:dyDescent="0.3">
      <c r="A52" s="235">
        <v>3</v>
      </c>
      <c r="B52" s="236" t="s">
        <v>436</v>
      </c>
      <c r="C52" s="237">
        <v>1045248</v>
      </c>
      <c r="D52" s="237">
        <v>0</v>
      </c>
      <c r="E52" s="237">
        <f t="shared" si="6"/>
        <v>-1045248</v>
      </c>
      <c r="F52" s="238">
        <f t="shared" si="7"/>
        <v>-1</v>
      </c>
    </row>
    <row r="53" spans="1:6" ht="20.25" customHeight="1" x14ac:dyDescent="0.3">
      <c r="A53" s="235">
        <v>4</v>
      </c>
      <c r="B53" s="236" t="s">
        <v>437</v>
      </c>
      <c r="C53" s="237">
        <v>313736</v>
      </c>
      <c r="D53" s="237">
        <v>0</v>
      </c>
      <c r="E53" s="237">
        <f t="shared" si="6"/>
        <v>-313736</v>
      </c>
      <c r="F53" s="238">
        <f t="shared" si="7"/>
        <v>-1</v>
      </c>
    </row>
    <row r="54" spans="1:6" ht="20.25" customHeight="1" x14ac:dyDescent="0.3">
      <c r="A54" s="235">
        <v>5</v>
      </c>
      <c r="B54" s="236" t="s">
        <v>373</v>
      </c>
      <c r="C54" s="239">
        <v>88</v>
      </c>
      <c r="D54" s="239">
        <v>0</v>
      </c>
      <c r="E54" s="239">
        <f t="shared" si="6"/>
        <v>-88</v>
      </c>
      <c r="F54" s="238">
        <f t="shared" si="7"/>
        <v>-1</v>
      </c>
    </row>
    <row r="55" spans="1:6" ht="20.25" customHeight="1" x14ac:dyDescent="0.3">
      <c r="A55" s="235">
        <v>6</v>
      </c>
      <c r="B55" s="236" t="s">
        <v>372</v>
      </c>
      <c r="C55" s="239">
        <v>235</v>
      </c>
      <c r="D55" s="239">
        <v>0</v>
      </c>
      <c r="E55" s="239">
        <f t="shared" si="6"/>
        <v>-235</v>
      </c>
      <c r="F55" s="238">
        <f t="shared" si="7"/>
        <v>-1</v>
      </c>
    </row>
    <row r="56" spans="1:6" ht="20.25" customHeight="1" x14ac:dyDescent="0.3">
      <c r="A56" s="235">
        <v>7</v>
      </c>
      <c r="B56" s="236" t="s">
        <v>438</v>
      </c>
      <c r="C56" s="239">
        <v>260</v>
      </c>
      <c r="D56" s="239">
        <v>0</v>
      </c>
      <c r="E56" s="239">
        <f t="shared" si="6"/>
        <v>-260</v>
      </c>
      <c r="F56" s="238">
        <f t="shared" si="7"/>
        <v>-1</v>
      </c>
    </row>
    <row r="57" spans="1:6" ht="20.25" customHeight="1" x14ac:dyDescent="0.3">
      <c r="A57" s="235">
        <v>8</v>
      </c>
      <c r="B57" s="236" t="s">
        <v>439</v>
      </c>
      <c r="C57" s="239">
        <v>1002</v>
      </c>
      <c r="D57" s="239">
        <v>0</v>
      </c>
      <c r="E57" s="239">
        <f t="shared" si="6"/>
        <v>-1002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19</v>
      </c>
      <c r="D58" s="239">
        <v>0</v>
      </c>
      <c r="E58" s="239">
        <f t="shared" si="6"/>
        <v>-19</v>
      </c>
      <c r="F58" s="238">
        <f t="shared" si="7"/>
        <v>-1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1748720</v>
      </c>
      <c r="D59" s="243">
        <f>+D50+D52</f>
        <v>0</v>
      </c>
      <c r="E59" s="243">
        <f t="shared" si="6"/>
        <v>-1748720</v>
      </c>
      <c r="F59" s="244">
        <f t="shared" si="7"/>
        <v>-1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587158</v>
      </c>
      <c r="D60" s="243">
        <f>+D51+D53</f>
        <v>0</v>
      </c>
      <c r="E60" s="243">
        <f t="shared" si="6"/>
        <v>-587158</v>
      </c>
      <c r="F60" s="244">
        <f t="shared" si="7"/>
        <v>-1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286120</v>
      </c>
      <c r="D86" s="237">
        <v>668068</v>
      </c>
      <c r="E86" s="237">
        <f t="shared" ref="E86:E96" si="12">D86-C86</f>
        <v>381948</v>
      </c>
      <c r="F86" s="238">
        <f t="shared" ref="F86:F96" si="13">IF(C86=0,0,E86/C86)</f>
        <v>1.3349224101775479</v>
      </c>
    </row>
    <row r="87" spans="1:6" ht="20.25" customHeight="1" x14ac:dyDescent="0.3">
      <c r="A87" s="235">
        <v>2</v>
      </c>
      <c r="B87" s="236" t="s">
        <v>435</v>
      </c>
      <c r="C87" s="237">
        <v>115186</v>
      </c>
      <c r="D87" s="237">
        <v>282470</v>
      </c>
      <c r="E87" s="237">
        <f t="shared" si="12"/>
        <v>167284</v>
      </c>
      <c r="F87" s="238">
        <f t="shared" si="13"/>
        <v>1.4522945496848576</v>
      </c>
    </row>
    <row r="88" spans="1:6" ht="20.25" customHeight="1" x14ac:dyDescent="0.3">
      <c r="A88" s="235">
        <v>3</v>
      </c>
      <c r="B88" s="236" t="s">
        <v>436</v>
      </c>
      <c r="C88" s="237">
        <v>383821</v>
      </c>
      <c r="D88" s="237">
        <v>979590</v>
      </c>
      <c r="E88" s="237">
        <f t="shared" si="12"/>
        <v>595769</v>
      </c>
      <c r="F88" s="238">
        <f t="shared" si="13"/>
        <v>1.552205324878003</v>
      </c>
    </row>
    <row r="89" spans="1:6" ht="20.25" customHeight="1" x14ac:dyDescent="0.3">
      <c r="A89" s="235">
        <v>4</v>
      </c>
      <c r="B89" s="236" t="s">
        <v>437</v>
      </c>
      <c r="C89" s="237">
        <v>114984</v>
      </c>
      <c r="D89" s="237">
        <v>244604</v>
      </c>
      <c r="E89" s="237">
        <f t="shared" si="12"/>
        <v>129620</v>
      </c>
      <c r="F89" s="238">
        <f t="shared" si="13"/>
        <v>1.1272872747512697</v>
      </c>
    </row>
    <row r="90" spans="1:6" ht="20.25" customHeight="1" x14ac:dyDescent="0.3">
      <c r="A90" s="235">
        <v>5</v>
      </c>
      <c r="B90" s="236" t="s">
        <v>373</v>
      </c>
      <c r="C90" s="239">
        <v>35</v>
      </c>
      <c r="D90" s="239">
        <v>85</v>
      </c>
      <c r="E90" s="239">
        <f t="shared" si="12"/>
        <v>50</v>
      </c>
      <c r="F90" s="238">
        <f t="shared" si="13"/>
        <v>1.4285714285714286</v>
      </c>
    </row>
    <row r="91" spans="1:6" ht="20.25" customHeight="1" x14ac:dyDescent="0.3">
      <c r="A91" s="235">
        <v>6</v>
      </c>
      <c r="B91" s="236" t="s">
        <v>372</v>
      </c>
      <c r="C91" s="239">
        <v>99</v>
      </c>
      <c r="D91" s="239">
        <v>220</v>
      </c>
      <c r="E91" s="239">
        <f t="shared" si="12"/>
        <v>121</v>
      </c>
      <c r="F91" s="238">
        <f t="shared" si="13"/>
        <v>1.2222222222222223</v>
      </c>
    </row>
    <row r="92" spans="1:6" ht="20.25" customHeight="1" x14ac:dyDescent="0.3">
      <c r="A92" s="235">
        <v>7</v>
      </c>
      <c r="B92" s="236" t="s">
        <v>438</v>
      </c>
      <c r="C92" s="239">
        <v>160</v>
      </c>
      <c r="D92" s="239">
        <v>314</v>
      </c>
      <c r="E92" s="239">
        <f t="shared" si="12"/>
        <v>154</v>
      </c>
      <c r="F92" s="238">
        <f t="shared" si="13"/>
        <v>0.96250000000000002</v>
      </c>
    </row>
    <row r="93" spans="1:6" ht="20.25" customHeight="1" x14ac:dyDescent="0.3">
      <c r="A93" s="235">
        <v>8</v>
      </c>
      <c r="B93" s="236" t="s">
        <v>439</v>
      </c>
      <c r="C93" s="239">
        <v>468</v>
      </c>
      <c r="D93" s="239">
        <v>893</v>
      </c>
      <c r="E93" s="239">
        <f t="shared" si="12"/>
        <v>425</v>
      </c>
      <c r="F93" s="238">
        <f t="shared" si="13"/>
        <v>0.90811965811965811</v>
      </c>
    </row>
    <row r="94" spans="1:6" ht="20.25" customHeight="1" x14ac:dyDescent="0.3">
      <c r="A94" s="235">
        <v>9</v>
      </c>
      <c r="B94" s="236" t="s">
        <v>440</v>
      </c>
      <c r="C94" s="239">
        <v>8</v>
      </c>
      <c r="D94" s="239">
        <v>13</v>
      </c>
      <c r="E94" s="239">
        <f t="shared" si="12"/>
        <v>5</v>
      </c>
      <c r="F94" s="238">
        <f t="shared" si="13"/>
        <v>0.625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669941</v>
      </c>
      <c r="D95" s="243">
        <f>+D86+D88</f>
        <v>1647658</v>
      </c>
      <c r="E95" s="243">
        <f t="shared" si="12"/>
        <v>977717</v>
      </c>
      <c r="F95" s="244">
        <f t="shared" si="13"/>
        <v>1.459407619476939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230170</v>
      </c>
      <c r="D96" s="243">
        <f>+D87+D89</f>
        <v>527074</v>
      </c>
      <c r="E96" s="243">
        <f t="shared" si="12"/>
        <v>296904</v>
      </c>
      <c r="F96" s="244">
        <f t="shared" si="13"/>
        <v>1.2899335273927965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264172</v>
      </c>
      <c r="D98" s="237">
        <v>573705</v>
      </c>
      <c r="E98" s="237">
        <f t="shared" ref="E98:E108" si="14">D98-C98</f>
        <v>309533</v>
      </c>
      <c r="F98" s="238">
        <f t="shared" ref="F98:F108" si="15">IF(C98=0,0,E98/C98)</f>
        <v>1.1717100979664763</v>
      </c>
    </row>
    <row r="99" spans="1:7" ht="20.25" customHeight="1" x14ac:dyDescent="0.3">
      <c r="A99" s="235">
        <v>2</v>
      </c>
      <c r="B99" s="236" t="s">
        <v>435</v>
      </c>
      <c r="C99" s="237">
        <v>102388</v>
      </c>
      <c r="D99" s="237">
        <v>236027</v>
      </c>
      <c r="E99" s="237">
        <f t="shared" si="14"/>
        <v>133639</v>
      </c>
      <c r="F99" s="238">
        <f t="shared" si="15"/>
        <v>1.3052213149978513</v>
      </c>
    </row>
    <row r="100" spans="1:7" ht="20.25" customHeight="1" x14ac:dyDescent="0.3">
      <c r="A100" s="235">
        <v>3</v>
      </c>
      <c r="B100" s="236" t="s">
        <v>436</v>
      </c>
      <c r="C100" s="237">
        <v>698679</v>
      </c>
      <c r="D100" s="237">
        <v>1309050</v>
      </c>
      <c r="E100" s="237">
        <f t="shared" si="14"/>
        <v>610371</v>
      </c>
      <c r="F100" s="238">
        <f t="shared" si="15"/>
        <v>0.87360719300279532</v>
      </c>
    </row>
    <row r="101" spans="1:7" ht="20.25" customHeight="1" x14ac:dyDescent="0.3">
      <c r="A101" s="235">
        <v>4</v>
      </c>
      <c r="B101" s="236" t="s">
        <v>437</v>
      </c>
      <c r="C101" s="237">
        <v>209604</v>
      </c>
      <c r="D101" s="237">
        <v>326870</v>
      </c>
      <c r="E101" s="237">
        <f t="shared" si="14"/>
        <v>117266</v>
      </c>
      <c r="F101" s="238">
        <f t="shared" si="15"/>
        <v>0.55946451403599173</v>
      </c>
    </row>
    <row r="102" spans="1:7" ht="20.25" customHeight="1" x14ac:dyDescent="0.3">
      <c r="A102" s="235">
        <v>5</v>
      </c>
      <c r="B102" s="236" t="s">
        <v>373</v>
      </c>
      <c r="C102" s="239">
        <v>33</v>
      </c>
      <c r="D102" s="239">
        <v>74</v>
      </c>
      <c r="E102" s="239">
        <f t="shared" si="14"/>
        <v>41</v>
      </c>
      <c r="F102" s="238">
        <f t="shared" si="15"/>
        <v>1.2424242424242424</v>
      </c>
    </row>
    <row r="103" spans="1:7" ht="20.25" customHeight="1" x14ac:dyDescent="0.3">
      <c r="A103" s="235">
        <v>6</v>
      </c>
      <c r="B103" s="236" t="s">
        <v>372</v>
      </c>
      <c r="C103" s="239">
        <v>88</v>
      </c>
      <c r="D103" s="239">
        <v>180</v>
      </c>
      <c r="E103" s="239">
        <f t="shared" si="14"/>
        <v>92</v>
      </c>
      <c r="F103" s="238">
        <f t="shared" si="15"/>
        <v>1.0454545454545454</v>
      </c>
    </row>
    <row r="104" spans="1:7" ht="20.25" customHeight="1" x14ac:dyDescent="0.3">
      <c r="A104" s="235">
        <v>7</v>
      </c>
      <c r="B104" s="236" t="s">
        <v>438</v>
      </c>
      <c r="C104" s="239">
        <v>273</v>
      </c>
      <c r="D104" s="239">
        <v>416</v>
      </c>
      <c r="E104" s="239">
        <f t="shared" si="14"/>
        <v>143</v>
      </c>
      <c r="F104" s="238">
        <f t="shared" si="15"/>
        <v>0.52380952380952384</v>
      </c>
    </row>
    <row r="105" spans="1:7" ht="20.25" customHeight="1" x14ac:dyDescent="0.3">
      <c r="A105" s="235">
        <v>8</v>
      </c>
      <c r="B105" s="236" t="s">
        <v>439</v>
      </c>
      <c r="C105" s="239">
        <v>969</v>
      </c>
      <c r="D105" s="239">
        <v>1447</v>
      </c>
      <c r="E105" s="239">
        <f t="shared" si="14"/>
        <v>478</v>
      </c>
      <c r="F105" s="238">
        <f t="shared" si="15"/>
        <v>0.49329205366357071</v>
      </c>
    </row>
    <row r="106" spans="1:7" ht="20.25" customHeight="1" x14ac:dyDescent="0.3">
      <c r="A106" s="235">
        <v>9</v>
      </c>
      <c r="B106" s="236" t="s">
        <v>440</v>
      </c>
      <c r="C106" s="239">
        <v>10</v>
      </c>
      <c r="D106" s="239">
        <v>16</v>
      </c>
      <c r="E106" s="239">
        <f t="shared" si="14"/>
        <v>6</v>
      </c>
      <c r="F106" s="238">
        <f t="shared" si="15"/>
        <v>0.6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962851</v>
      </c>
      <c r="D107" s="243">
        <f>+D98+D100</f>
        <v>1882755</v>
      </c>
      <c r="E107" s="243">
        <f t="shared" si="14"/>
        <v>919904</v>
      </c>
      <c r="F107" s="244">
        <f t="shared" si="15"/>
        <v>0.95539600623564813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311992</v>
      </c>
      <c r="D108" s="243">
        <f>+D99+D101</f>
        <v>562897</v>
      </c>
      <c r="E108" s="243">
        <f t="shared" si="14"/>
        <v>250905</v>
      </c>
      <c r="F108" s="244">
        <f t="shared" si="15"/>
        <v>0.8042033129054591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6999331</v>
      </c>
      <c r="D112" s="243">
        <f t="shared" si="16"/>
        <v>8492542</v>
      </c>
      <c r="E112" s="243">
        <f t="shared" ref="E112:E122" si="17">D112-C112</f>
        <v>1493211</v>
      </c>
      <c r="F112" s="244">
        <f t="shared" ref="F112:F122" si="18">IF(C112=0,0,E112/C112)</f>
        <v>0.21333624599265272</v>
      </c>
    </row>
    <row r="113" spans="1:6" ht="20.25" customHeight="1" x14ac:dyDescent="0.3">
      <c r="A113" s="249"/>
      <c r="B113" s="250" t="s">
        <v>461</v>
      </c>
      <c r="C113" s="243">
        <f t="shared" si="16"/>
        <v>2989391</v>
      </c>
      <c r="D113" s="243">
        <f t="shared" si="16"/>
        <v>3328078</v>
      </c>
      <c r="E113" s="243">
        <f t="shared" si="17"/>
        <v>338687</v>
      </c>
      <c r="F113" s="244">
        <f t="shared" si="18"/>
        <v>0.1132963202204061</v>
      </c>
    </row>
    <row r="114" spans="1:6" ht="20.25" customHeight="1" x14ac:dyDescent="0.3">
      <c r="A114" s="249"/>
      <c r="B114" s="250" t="s">
        <v>462</v>
      </c>
      <c r="C114" s="243">
        <f t="shared" si="16"/>
        <v>13807404</v>
      </c>
      <c r="D114" s="243">
        <f t="shared" si="16"/>
        <v>18271615</v>
      </c>
      <c r="E114" s="243">
        <f t="shared" si="17"/>
        <v>4464211</v>
      </c>
      <c r="F114" s="244">
        <f t="shared" si="18"/>
        <v>0.32332008247169419</v>
      </c>
    </row>
    <row r="115" spans="1:6" ht="20.25" customHeight="1" x14ac:dyDescent="0.3">
      <c r="A115" s="249"/>
      <c r="B115" s="250" t="s">
        <v>463</v>
      </c>
      <c r="C115" s="243">
        <f t="shared" si="16"/>
        <v>4609407</v>
      </c>
      <c r="D115" s="243">
        <f t="shared" si="16"/>
        <v>5513562</v>
      </c>
      <c r="E115" s="243">
        <f t="shared" si="17"/>
        <v>904155</v>
      </c>
      <c r="F115" s="244">
        <f t="shared" si="18"/>
        <v>0.19615429924066155</v>
      </c>
    </row>
    <row r="116" spans="1:6" ht="20.25" customHeight="1" x14ac:dyDescent="0.3">
      <c r="A116" s="249"/>
      <c r="B116" s="250" t="s">
        <v>464</v>
      </c>
      <c r="C116" s="252">
        <f t="shared" si="16"/>
        <v>937</v>
      </c>
      <c r="D116" s="252">
        <f t="shared" si="16"/>
        <v>987</v>
      </c>
      <c r="E116" s="252">
        <f t="shared" si="17"/>
        <v>50</v>
      </c>
      <c r="F116" s="244">
        <f t="shared" si="18"/>
        <v>5.3361792956243333E-2</v>
      </c>
    </row>
    <row r="117" spans="1:6" ht="20.25" customHeight="1" x14ac:dyDescent="0.3">
      <c r="A117" s="249"/>
      <c r="B117" s="250" t="s">
        <v>465</v>
      </c>
      <c r="C117" s="252">
        <f t="shared" si="16"/>
        <v>2499</v>
      </c>
      <c r="D117" s="252">
        <f t="shared" si="16"/>
        <v>2641</v>
      </c>
      <c r="E117" s="252">
        <f t="shared" si="17"/>
        <v>142</v>
      </c>
      <c r="F117" s="244">
        <f t="shared" si="18"/>
        <v>5.6822729091636652E-2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7260</v>
      </c>
      <c r="D118" s="252">
        <f t="shared" si="16"/>
        <v>7389</v>
      </c>
      <c r="E118" s="252">
        <f t="shared" si="17"/>
        <v>129</v>
      </c>
      <c r="F118" s="244">
        <f t="shared" si="18"/>
        <v>1.7768595041322315E-2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13979</v>
      </c>
      <c r="D119" s="252">
        <f t="shared" si="16"/>
        <v>16598</v>
      </c>
      <c r="E119" s="252">
        <f t="shared" si="17"/>
        <v>2619</v>
      </c>
      <c r="F119" s="244">
        <f t="shared" si="18"/>
        <v>0.18735245725731453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155</v>
      </c>
      <c r="D120" s="252">
        <f t="shared" si="16"/>
        <v>163</v>
      </c>
      <c r="E120" s="252">
        <f t="shared" si="17"/>
        <v>8</v>
      </c>
      <c r="F120" s="244">
        <f t="shared" si="18"/>
        <v>5.1612903225806452E-2</v>
      </c>
    </row>
    <row r="121" spans="1:6" ht="39.950000000000003" customHeight="1" x14ac:dyDescent="0.3">
      <c r="A121" s="249"/>
      <c r="B121" s="242" t="s">
        <v>441</v>
      </c>
      <c r="C121" s="243">
        <f>+C112+C114</f>
        <v>20806735</v>
      </c>
      <c r="D121" s="243">
        <f>+D112+D114</f>
        <v>26764157</v>
      </c>
      <c r="E121" s="243">
        <f t="shared" si="17"/>
        <v>5957422</v>
      </c>
      <c r="F121" s="244">
        <f t="shared" si="18"/>
        <v>0.2863218087797052</v>
      </c>
    </row>
    <row r="122" spans="1:6" ht="39.950000000000003" customHeight="1" x14ac:dyDescent="0.3">
      <c r="A122" s="249"/>
      <c r="B122" s="242" t="s">
        <v>470</v>
      </c>
      <c r="C122" s="243">
        <f>+C113+C115</f>
        <v>7598798</v>
      </c>
      <c r="D122" s="243">
        <f>+D113+D115</f>
        <v>8841640</v>
      </c>
      <c r="E122" s="243">
        <f t="shared" si="17"/>
        <v>1242842</v>
      </c>
      <c r="F122" s="244">
        <f t="shared" si="18"/>
        <v>0.16355771004835237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FILING&amp;RMIDSTATE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2" sqref="B2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42246786</v>
      </c>
      <c r="D13" s="23">
        <v>29570490</v>
      </c>
      <c r="E13" s="23">
        <f t="shared" ref="E13:E22" si="0">D13-C13</f>
        <v>-12676296</v>
      </c>
      <c r="F13" s="24">
        <f t="shared" ref="F13:F22" si="1">IF(C13=0,0,E13/C13)</f>
        <v>-0.30005349992778146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22801140</v>
      </c>
      <c r="D15" s="23">
        <v>27340758</v>
      </c>
      <c r="E15" s="23">
        <f t="shared" si="0"/>
        <v>4539618</v>
      </c>
      <c r="F15" s="24">
        <f t="shared" si="1"/>
        <v>0.19909609782668761</v>
      </c>
    </row>
    <row r="16" spans="1:8" ht="35.1" customHeight="1" x14ac:dyDescent="0.2">
      <c r="A16" s="21">
        <v>4</v>
      </c>
      <c r="B16" s="22" t="s">
        <v>19</v>
      </c>
      <c r="C16" s="23">
        <v>1168505</v>
      </c>
      <c r="D16" s="23">
        <v>1168505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1420160</v>
      </c>
      <c r="D19" s="23">
        <v>1599146</v>
      </c>
      <c r="E19" s="23">
        <f t="shared" si="0"/>
        <v>178986</v>
      </c>
      <c r="F19" s="24">
        <f t="shared" si="1"/>
        <v>0.1260322780531771</v>
      </c>
    </row>
    <row r="20" spans="1:11" ht="24" customHeight="1" x14ac:dyDescent="0.2">
      <c r="A20" s="21">
        <v>8</v>
      </c>
      <c r="B20" s="22" t="s">
        <v>23</v>
      </c>
      <c r="C20" s="23">
        <v>1094329</v>
      </c>
      <c r="D20" s="23">
        <v>1203732</v>
      </c>
      <c r="E20" s="23">
        <f t="shared" si="0"/>
        <v>109403</v>
      </c>
      <c r="F20" s="24">
        <f t="shared" si="1"/>
        <v>9.9972677320988482E-2</v>
      </c>
    </row>
    <row r="21" spans="1:11" ht="24" customHeight="1" x14ac:dyDescent="0.2">
      <c r="A21" s="21">
        <v>9</v>
      </c>
      <c r="B21" s="22" t="s">
        <v>24</v>
      </c>
      <c r="C21" s="23">
        <v>1198551</v>
      </c>
      <c r="D21" s="23">
        <v>1258006</v>
      </c>
      <c r="E21" s="23">
        <f t="shared" si="0"/>
        <v>59455</v>
      </c>
      <c r="F21" s="24">
        <f t="shared" si="1"/>
        <v>4.960573225503128E-2</v>
      </c>
    </row>
    <row r="22" spans="1:11" ht="24" customHeight="1" x14ac:dyDescent="0.25">
      <c r="A22" s="25"/>
      <c r="B22" s="26" t="s">
        <v>25</v>
      </c>
      <c r="C22" s="27">
        <f>SUM(C13:C21)</f>
        <v>69929471</v>
      </c>
      <c r="D22" s="27">
        <f>SUM(D13:D21)</f>
        <v>62140637</v>
      </c>
      <c r="E22" s="27">
        <f t="shared" si="0"/>
        <v>-7788834</v>
      </c>
      <c r="F22" s="28">
        <f t="shared" si="1"/>
        <v>-0.11138128014725007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12035862</v>
      </c>
      <c r="D25" s="23">
        <v>12195310</v>
      </c>
      <c r="E25" s="23">
        <f>D25-C25</f>
        <v>159448</v>
      </c>
      <c r="F25" s="24">
        <f>IF(C25=0,0,E25/C25)</f>
        <v>1.3247742455006546E-2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10167560</v>
      </c>
      <c r="D27" s="23">
        <v>0</v>
      </c>
      <c r="E27" s="23">
        <f>D27-C27</f>
        <v>-10167560</v>
      </c>
      <c r="F27" s="24">
        <f>IF(C27=0,0,E27/C27)</f>
        <v>-1</v>
      </c>
    </row>
    <row r="28" spans="1:11" ht="35.1" customHeight="1" x14ac:dyDescent="0.2">
      <c r="A28" s="21">
        <v>4</v>
      </c>
      <c r="B28" s="22" t="s">
        <v>31</v>
      </c>
      <c r="C28" s="23">
        <v>165433</v>
      </c>
      <c r="D28" s="23">
        <v>278277</v>
      </c>
      <c r="E28" s="23">
        <f>D28-C28</f>
        <v>112844</v>
      </c>
      <c r="F28" s="24">
        <f>IF(C28=0,0,E28/C28)</f>
        <v>0.68211300042917677</v>
      </c>
    </row>
    <row r="29" spans="1:11" ht="35.1" customHeight="1" x14ac:dyDescent="0.25">
      <c r="A29" s="25"/>
      <c r="B29" s="26" t="s">
        <v>32</v>
      </c>
      <c r="C29" s="27">
        <f>SUM(C25:C28)</f>
        <v>22368855</v>
      </c>
      <c r="D29" s="27">
        <f>SUM(D25:D28)</f>
        <v>12473587</v>
      </c>
      <c r="E29" s="27">
        <f>D29-C29</f>
        <v>-9895268</v>
      </c>
      <c r="F29" s="28">
        <f>IF(C29=0,0,E29/C29)</f>
        <v>-0.44236810511758423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11876168</v>
      </c>
      <c r="D32" s="23">
        <v>12946811</v>
      </c>
      <c r="E32" s="23">
        <f>D32-C32</f>
        <v>1070643</v>
      </c>
      <c r="F32" s="24">
        <f>IF(C32=0,0,E32/C32)</f>
        <v>9.0150543508646902E-2</v>
      </c>
    </row>
    <row r="33" spans="1:8" ht="24" customHeight="1" x14ac:dyDescent="0.2">
      <c r="A33" s="21">
        <v>7</v>
      </c>
      <c r="B33" s="22" t="s">
        <v>35</v>
      </c>
      <c r="C33" s="23">
        <v>8550946</v>
      </c>
      <c r="D33" s="23">
        <v>19832691</v>
      </c>
      <c r="E33" s="23">
        <f>D33-C33</f>
        <v>11281745</v>
      </c>
      <c r="F33" s="24">
        <f>IF(C33=0,0,E33/C33)</f>
        <v>1.3193563612727761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179654023</v>
      </c>
      <c r="D36" s="23">
        <v>234396620</v>
      </c>
      <c r="E36" s="23">
        <f>D36-C36</f>
        <v>54742597</v>
      </c>
      <c r="F36" s="24">
        <f>IF(C36=0,0,E36/C36)</f>
        <v>0.3047112226370795</v>
      </c>
    </row>
    <row r="37" spans="1:8" ht="24" customHeight="1" x14ac:dyDescent="0.2">
      <c r="A37" s="21">
        <v>2</v>
      </c>
      <c r="B37" s="22" t="s">
        <v>39</v>
      </c>
      <c r="C37" s="23">
        <v>91993843</v>
      </c>
      <c r="D37" s="23">
        <v>100974377</v>
      </c>
      <c r="E37" s="23">
        <f>D37-C37</f>
        <v>8980534</v>
      </c>
      <c r="F37" s="23">
        <f>IF(C37=0,0,E37/C37)</f>
        <v>9.7621033181535852E-2</v>
      </c>
    </row>
    <row r="38" spans="1:8" ht="24" customHeight="1" x14ac:dyDescent="0.25">
      <c r="A38" s="25"/>
      <c r="B38" s="26" t="s">
        <v>40</v>
      </c>
      <c r="C38" s="27">
        <f>C36-C37</f>
        <v>87660180</v>
      </c>
      <c r="D38" s="27">
        <f>D36-D37</f>
        <v>133422243</v>
      </c>
      <c r="E38" s="27">
        <f>D38-C38</f>
        <v>45762063</v>
      </c>
      <c r="F38" s="28">
        <f>IF(C38=0,0,E38/C38)</f>
        <v>0.52203934557287013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30689886</v>
      </c>
      <c r="D40" s="23">
        <v>1372133</v>
      </c>
      <c r="E40" s="23">
        <f>D40-C40</f>
        <v>-29317753</v>
      </c>
      <c r="F40" s="24">
        <f>IF(C40=0,0,E40/C40)</f>
        <v>-0.95529038459119719</v>
      </c>
    </row>
    <row r="41" spans="1:8" ht="24" customHeight="1" x14ac:dyDescent="0.25">
      <c r="A41" s="25"/>
      <c r="B41" s="26" t="s">
        <v>42</v>
      </c>
      <c r="C41" s="27">
        <f>+C38+C40</f>
        <v>118350066</v>
      </c>
      <c r="D41" s="27">
        <f>+D38+D40</f>
        <v>134794376</v>
      </c>
      <c r="E41" s="27">
        <f>D41-C41</f>
        <v>16444310</v>
      </c>
      <c r="F41" s="28">
        <f>IF(C41=0,0,E41/C41)</f>
        <v>0.13894635259434499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231075506</v>
      </c>
      <c r="D43" s="27">
        <f>D22+D29+D31+D32+D33+D41</f>
        <v>242188102</v>
      </c>
      <c r="E43" s="27">
        <f>D43-C43</f>
        <v>11112596</v>
      </c>
      <c r="F43" s="28">
        <f>IF(C43=0,0,E43/C43)</f>
        <v>4.8090756966686035E-2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8677307</v>
      </c>
      <c r="D49" s="23">
        <v>7813918</v>
      </c>
      <c r="E49" s="23">
        <f t="shared" ref="E49:E56" si="2">D49-C49</f>
        <v>-863389</v>
      </c>
      <c r="F49" s="24">
        <f t="shared" ref="F49:F56" si="3">IF(C49=0,0,E49/C49)</f>
        <v>-9.9499648911810998E-2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9288643</v>
      </c>
      <c r="D50" s="23">
        <v>8445266</v>
      </c>
      <c r="E50" s="23">
        <f t="shared" si="2"/>
        <v>-843377</v>
      </c>
      <c r="F50" s="24">
        <f t="shared" si="3"/>
        <v>-9.0796578143868809E-2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885467</v>
      </c>
      <c r="D51" s="23">
        <v>942231</v>
      </c>
      <c r="E51" s="23">
        <f t="shared" si="2"/>
        <v>56764</v>
      </c>
      <c r="F51" s="24">
        <f t="shared" si="3"/>
        <v>6.4106285158001375E-2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2390000</v>
      </c>
      <c r="D53" s="23">
        <v>2335000</v>
      </c>
      <c r="E53" s="23">
        <f t="shared" si="2"/>
        <v>-55000</v>
      </c>
      <c r="F53" s="24">
        <f t="shared" si="3"/>
        <v>-2.3012552301255231E-2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6956870</v>
      </c>
      <c r="D55" s="23">
        <v>10442247</v>
      </c>
      <c r="E55" s="23">
        <f t="shared" si="2"/>
        <v>3485377</v>
      </c>
      <c r="F55" s="24">
        <f t="shared" si="3"/>
        <v>0.5009978625445064</v>
      </c>
    </row>
    <row r="56" spans="1:6" ht="24" customHeight="1" x14ac:dyDescent="0.25">
      <c r="A56" s="25"/>
      <c r="B56" s="26" t="s">
        <v>54</v>
      </c>
      <c r="C56" s="27">
        <f>SUM(C49:C55)</f>
        <v>28198287</v>
      </c>
      <c r="D56" s="27">
        <f>SUM(D49:D55)</f>
        <v>29978662</v>
      </c>
      <c r="E56" s="27">
        <f t="shared" si="2"/>
        <v>1780375</v>
      </c>
      <c r="F56" s="28">
        <f t="shared" si="3"/>
        <v>6.313770052769517E-2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82915000</v>
      </c>
      <c r="D59" s="23">
        <v>80580000</v>
      </c>
      <c r="E59" s="23">
        <f>D59-C59</f>
        <v>-2335000</v>
      </c>
      <c r="F59" s="24">
        <f>IF(C59=0,0,E59/C59)</f>
        <v>-2.8161370077790508E-2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82915000</v>
      </c>
      <c r="D61" s="27">
        <f>SUM(D59:D60)</f>
        <v>80580000</v>
      </c>
      <c r="E61" s="27">
        <f>D61-C61</f>
        <v>-2335000</v>
      </c>
      <c r="F61" s="28">
        <f>IF(C61=0,0,E61/C61)</f>
        <v>-2.8161370077790508E-2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49059528</v>
      </c>
      <c r="D63" s="23">
        <v>52087773</v>
      </c>
      <c r="E63" s="23">
        <f>D63-C63</f>
        <v>3028245</v>
      </c>
      <c r="F63" s="24">
        <f>IF(C63=0,0,E63/C63)</f>
        <v>6.1725930180168059E-2</v>
      </c>
    </row>
    <row r="64" spans="1:6" ht="24" customHeight="1" x14ac:dyDescent="0.2">
      <c r="A64" s="21">
        <v>4</v>
      </c>
      <c r="B64" s="22" t="s">
        <v>60</v>
      </c>
      <c r="C64" s="23">
        <v>5510174</v>
      </c>
      <c r="D64" s="23">
        <v>2465969</v>
      </c>
      <c r="E64" s="23">
        <f>D64-C64</f>
        <v>-3044205</v>
      </c>
      <c r="F64" s="24">
        <f>IF(C64=0,0,E64/C64)</f>
        <v>-0.55246984940947419</v>
      </c>
    </row>
    <row r="65" spans="1:6" ht="24" customHeight="1" x14ac:dyDescent="0.25">
      <c r="A65" s="25"/>
      <c r="B65" s="26" t="s">
        <v>61</v>
      </c>
      <c r="C65" s="27">
        <f>SUM(C61:C64)</f>
        <v>137484702</v>
      </c>
      <c r="D65" s="27">
        <f>SUM(D61:D64)</f>
        <v>135133742</v>
      </c>
      <c r="E65" s="27">
        <f>D65-C65</f>
        <v>-2350960</v>
      </c>
      <c r="F65" s="28">
        <f>IF(C65=0,0,E65/C65)</f>
        <v>-1.7099793401014172E-2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50950947</v>
      </c>
      <c r="D70" s="23">
        <v>62140641</v>
      </c>
      <c r="E70" s="23">
        <f>D70-C70</f>
        <v>11189694</v>
      </c>
      <c r="F70" s="24">
        <f>IF(C70=0,0,E70/C70)</f>
        <v>0.2196169975015381</v>
      </c>
    </row>
    <row r="71" spans="1:6" ht="24" customHeight="1" x14ac:dyDescent="0.2">
      <c r="A71" s="21">
        <v>2</v>
      </c>
      <c r="B71" s="22" t="s">
        <v>65</v>
      </c>
      <c r="C71" s="23">
        <v>1630516</v>
      </c>
      <c r="D71" s="23">
        <v>1962184</v>
      </c>
      <c r="E71" s="23">
        <f>D71-C71</f>
        <v>331668</v>
      </c>
      <c r="F71" s="24">
        <f>IF(C71=0,0,E71/C71)</f>
        <v>0.20341290732504311</v>
      </c>
    </row>
    <row r="72" spans="1:6" ht="24" customHeight="1" x14ac:dyDescent="0.2">
      <c r="A72" s="21">
        <v>3</v>
      </c>
      <c r="B72" s="22" t="s">
        <v>66</v>
      </c>
      <c r="C72" s="23">
        <v>12811054</v>
      </c>
      <c r="D72" s="23">
        <v>12972873</v>
      </c>
      <c r="E72" s="23">
        <f>D72-C72</f>
        <v>161819</v>
      </c>
      <c r="F72" s="24">
        <f>IF(C72=0,0,E72/C72)</f>
        <v>1.2631201148633048E-2</v>
      </c>
    </row>
    <row r="73" spans="1:6" ht="24" customHeight="1" x14ac:dyDescent="0.25">
      <c r="A73" s="21"/>
      <c r="B73" s="26" t="s">
        <v>67</v>
      </c>
      <c r="C73" s="27">
        <f>SUM(C70:C72)</f>
        <v>65392517</v>
      </c>
      <c r="D73" s="27">
        <f>SUM(D70:D72)</f>
        <v>77075698</v>
      </c>
      <c r="E73" s="27">
        <f>D73-C73</f>
        <v>11683181</v>
      </c>
      <c r="F73" s="28">
        <f>IF(C73=0,0,E73/C73)</f>
        <v>0.17866235367572714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231075506</v>
      </c>
      <c r="D75" s="27">
        <f>D56+D65+D67+D73</f>
        <v>242188102</v>
      </c>
      <c r="E75" s="27">
        <f>D75-C75</f>
        <v>11112596</v>
      </c>
      <c r="F75" s="28">
        <f>IF(C75=0,0,E75/C75)</f>
        <v>4.8090756966686035E-2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FILING&amp;RMIDSTATE MEDICAL CENTER AND SUBSIDIARIES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347627051</v>
      </c>
      <c r="D12" s="51">
        <v>374870862</v>
      </c>
      <c r="E12" s="51">
        <f t="shared" ref="E12:E19" si="0">D12-C12</f>
        <v>27243811</v>
      </c>
      <c r="F12" s="70">
        <f t="shared" ref="F12:F19" si="1">IF(C12=0,0,E12/C12)</f>
        <v>7.8370802622031846E-2</v>
      </c>
    </row>
    <row r="13" spans="1:8" ht="23.1" customHeight="1" x14ac:dyDescent="0.2">
      <c r="A13" s="25">
        <v>2</v>
      </c>
      <c r="B13" s="48" t="s">
        <v>72</v>
      </c>
      <c r="C13" s="51">
        <v>171786129</v>
      </c>
      <c r="D13" s="51">
        <v>189210727</v>
      </c>
      <c r="E13" s="51">
        <f t="shared" si="0"/>
        <v>17424598</v>
      </c>
      <c r="F13" s="70">
        <f t="shared" si="1"/>
        <v>0.10143192643918299</v>
      </c>
    </row>
    <row r="14" spans="1:8" ht="23.1" customHeight="1" x14ac:dyDescent="0.2">
      <c r="A14" s="25">
        <v>3</v>
      </c>
      <c r="B14" s="48" t="s">
        <v>73</v>
      </c>
      <c r="C14" s="51">
        <v>3370587</v>
      </c>
      <c r="D14" s="51">
        <v>3637983</v>
      </c>
      <c r="E14" s="51">
        <f t="shared" si="0"/>
        <v>267396</v>
      </c>
      <c r="F14" s="70">
        <f t="shared" si="1"/>
        <v>7.9332175671477989E-2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172470335</v>
      </c>
      <c r="D16" s="27">
        <f>D12-D13-D14-D15</f>
        <v>182022152</v>
      </c>
      <c r="E16" s="27">
        <f t="shared" si="0"/>
        <v>9551817</v>
      </c>
      <c r="F16" s="28">
        <f t="shared" si="1"/>
        <v>5.5382376337356799E-2</v>
      </c>
    </row>
    <row r="17" spans="1:7" ht="23.1" customHeight="1" x14ac:dyDescent="0.2">
      <c r="A17" s="25">
        <v>5</v>
      </c>
      <c r="B17" s="48" t="s">
        <v>76</v>
      </c>
      <c r="C17" s="51">
        <v>18473460</v>
      </c>
      <c r="D17" s="51">
        <v>31517973</v>
      </c>
      <c r="E17" s="51">
        <f t="shared" si="0"/>
        <v>13044513</v>
      </c>
      <c r="F17" s="70">
        <f t="shared" si="1"/>
        <v>0.70612180934161761</v>
      </c>
      <c r="G17" s="64"/>
    </row>
    <row r="18" spans="1:7" ht="33" customHeight="1" x14ac:dyDescent="0.2">
      <c r="A18" s="25">
        <v>6</v>
      </c>
      <c r="B18" s="45" t="s">
        <v>77</v>
      </c>
      <c r="C18" s="51">
        <v>247839</v>
      </c>
      <c r="D18" s="51">
        <v>199314</v>
      </c>
      <c r="E18" s="51">
        <f t="shared" si="0"/>
        <v>-48525</v>
      </c>
      <c r="F18" s="70">
        <f t="shared" si="1"/>
        <v>-0.19579242976287026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191191634</v>
      </c>
      <c r="D19" s="27">
        <f>SUM(D16:D18)</f>
        <v>213739439</v>
      </c>
      <c r="E19" s="27">
        <f t="shared" si="0"/>
        <v>22547805</v>
      </c>
      <c r="F19" s="28">
        <f t="shared" si="1"/>
        <v>0.11793301060442843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65452831</v>
      </c>
      <c r="D22" s="51">
        <v>70494313</v>
      </c>
      <c r="E22" s="51">
        <f t="shared" ref="E22:E31" si="2">D22-C22</f>
        <v>5041482</v>
      </c>
      <c r="F22" s="70">
        <f t="shared" ref="F22:F31" si="3">IF(C22=0,0,E22/C22)</f>
        <v>7.7024659177843666E-2</v>
      </c>
    </row>
    <row r="23" spans="1:7" ht="23.1" customHeight="1" x14ac:dyDescent="0.2">
      <c r="A23" s="25">
        <v>2</v>
      </c>
      <c r="B23" s="48" t="s">
        <v>81</v>
      </c>
      <c r="C23" s="51">
        <v>17450768</v>
      </c>
      <c r="D23" s="51">
        <v>21760310</v>
      </c>
      <c r="E23" s="51">
        <f t="shared" si="2"/>
        <v>4309542</v>
      </c>
      <c r="F23" s="70">
        <f t="shared" si="3"/>
        <v>0.2469542887739955</v>
      </c>
    </row>
    <row r="24" spans="1:7" ht="23.1" customHeight="1" x14ac:dyDescent="0.2">
      <c r="A24" s="25">
        <v>3</v>
      </c>
      <c r="B24" s="48" t="s">
        <v>82</v>
      </c>
      <c r="C24" s="51">
        <v>4866690</v>
      </c>
      <c r="D24" s="51">
        <v>4962712</v>
      </c>
      <c r="E24" s="51">
        <f t="shared" si="2"/>
        <v>96022</v>
      </c>
      <c r="F24" s="70">
        <f t="shared" si="3"/>
        <v>1.9730453347141488E-2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19189397</v>
      </c>
      <c r="D25" s="51">
        <v>19526484</v>
      </c>
      <c r="E25" s="51">
        <f t="shared" si="2"/>
        <v>337087</v>
      </c>
      <c r="F25" s="70">
        <f t="shared" si="3"/>
        <v>1.7566315398029442E-2</v>
      </c>
    </row>
    <row r="26" spans="1:7" ht="23.1" customHeight="1" x14ac:dyDescent="0.2">
      <c r="A26" s="25">
        <v>5</v>
      </c>
      <c r="B26" s="48" t="s">
        <v>84</v>
      </c>
      <c r="C26" s="51">
        <v>9179180</v>
      </c>
      <c r="D26" s="51">
        <v>11405092</v>
      </c>
      <c r="E26" s="51">
        <f t="shared" si="2"/>
        <v>2225912</v>
      </c>
      <c r="F26" s="70">
        <f t="shared" si="3"/>
        <v>0.24249573491314039</v>
      </c>
    </row>
    <row r="27" spans="1:7" ht="23.1" customHeight="1" x14ac:dyDescent="0.2">
      <c r="A27" s="25">
        <v>6</v>
      </c>
      <c r="B27" s="48" t="s">
        <v>85</v>
      </c>
      <c r="C27" s="51">
        <v>9717615</v>
      </c>
      <c r="D27" s="51">
        <v>10965542</v>
      </c>
      <c r="E27" s="51">
        <f t="shared" si="2"/>
        <v>1247927</v>
      </c>
      <c r="F27" s="70">
        <f t="shared" si="3"/>
        <v>0.12841906167305456</v>
      </c>
    </row>
    <row r="28" spans="1:7" ht="23.1" customHeight="1" x14ac:dyDescent="0.2">
      <c r="A28" s="25">
        <v>7</v>
      </c>
      <c r="B28" s="48" t="s">
        <v>86</v>
      </c>
      <c r="C28" s="51">
        <v>2456574</v>
      </c>
      <c r="D28" s="51">
        <v>2221191</v>
      </c>
      <c r="E28" s="51">
        <f t="shared" si="2"/>
        <v>-235383</v>
      </c>
      <c r="F28" s="70">
        <f t="shared" si="3"/>
        <v>-9.581758986295548E-2</v>
      </c>
    </row>
    <row r="29" spans="1:7" ht="23.1" customHeight="1" x14ac:dyDescent="0.2">
      <c r="A29" s="25">
        <v>8</v>
      </c>
      <c r="B29" s="48" t="s">
        <v>87</v>
      </c>
      <c r="C29" s="51">
        <v>5437362</v>
      </c>
      <c r="D29" s="51">
        <v>5917588</v>
      </c>
      <c r="E29" s="51">
        <f t="shared" si="2"/>
        <v>480226</v>
      </c>
      <c r="F29" s="70">
        <f t="shared" si="3"/>
        <v>8.8319666779589079E-2</v>
      </c>
    </row>
    <row r="30" spans="1:7" ht="23.1" customHeight="1" x14ac:dyDescent="0.2">
      <c r="A30" s="25">
        <v>9</v>
      </c>
      <c r="B30" s="48" t="s">
        <v>88</v>
      </c>
      <c r="C30" s="51">
        <v>51502068</v>
      </c>
      <c r="D30" s="51">
        <v>56279104</v>
      </c>
      <c r="E30" s="51">
        <f t="shared" si="2"/>
        <v>4777036</v>
      </c>
      <c r="F30" s="70">
        <f t="shared" si="3"/>
        <v>9.2754256003856006E-2</v>
      </c>
    </row>
    <row r="31" spans="1:7" ht="23.1" customHeight="1" x14ac:dyDescent="0.25">
      <c r="A31" s="29"/>
      <c r="B31" s="71" t="s">
        <v>89</v>
      </c>
      <c r="C31" s="27">
        <f>SUM(C22:C30)</f>
        <v>185252485</v>
      </c>
      <c r="D31" s="27">
        <f>SUM(D22:D30)</f>
        <v>203532336</v>
      </c>
      <c r="E31" s="27">
        <f t="shared" si="2"/>
        <v>18279851</v>
      </c>
      <c r="F31" s="28">
        <f t="shared" si="3"/>
        <v>9.8675334908462906E-2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5939149</v>
      </c>
      <c r="D33" s="27">
        <f>+D19-D31</f>
        <v>10207103</v>
      </c>
      <c r="E33" s="27">
        <f>D33-C33</f>
        <v>4267954</v>
      </c>
      <c r="F33" s="28">
        <f>IF(C33=0,0,E33/C33)</f>
        <v>0.71861372732019346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529585</v>
      </c>
      <c r="D36" s="51">
        <v>261107</v>
      </c>
      <c r="E36" s="51">
        <f>D36-C36</f>
        <v>-268478</v>
      </c>
      <c r="F36" s="70">
        <f>IF(C36=0,0,E36/C36)</f>
        <v>-0.50695922278765448</v>
      </c>
    </row>
    <row r="37" spans="1:6" ht="23.1" customHeight="1" x14ac:dyDescent="0.2">
      <c r="A37" s="44">
        <v>2</v>
      </c>
      <c r="B37" s="48" t="s">
        <v>93</v>
      </c>
      <c r="C37" s="51">
        <v>25000</v>
      </c>
      <c r="D37" s="51">
        <v>18750</v>
      </c>
      <c r="E37" s="51">
        <f>D37-C37</f>
        <v>-6250</v>
      </c>
      <c r="F37" s="70">
        <f>IF(C37=0,0,E37/C37)</f>
        <v>-0.25</v>
      </c>
    </row>
    <row r="38" spans="1:6" ht="23.1" customHeight="1" x14ac:dyDescent="0.2">
      <c r="A38" s="44">
        <v>3</v>
      </c>
      <c r="B38" s="48" t="s">
        <v>94</v>
      </c>
      <c r="C38" s="51">
        <v>330892</v>
      </c>
      <c r="D38" s="51">
        <v>973487</v>
      </c>
      <c r="E38" s="51">
        <f>D38-C38</f>
        <v>642595</v>
      </c>
      <c r="F38" s="70">
        <f>IF(C38=0,0,E38/C38)</f>
        <v>1.9420082685589255</v>
      </c>
    </row>
    <row r="39" spans="1:6" ht="23.1" customHeight="1" x14ac:dyDescent="0.25">
      <c r="A39" s="20"/>
      <c r="B39" s="71" t="s">
        <v>95</v>
      </c>
      <c r="C39" s="27">
        <f>SUM(C36:C38)</f>
        <v>885477</v>
      </c>
      <c r="D39" s="27">
        <f>SUM(D36:D38)</f>
        <v>1253344</v>
      </c>
      <c r="E39" s="27">
        <f>D39-C39</f>
        <v>367867</v>
      </c>
      <c r="F39" s="28">
        <f>IF(C39=0,0,E39/C39)</f>
        <v>0.41544500873540474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6824626</v>
      </c>
      <c r="D41" s="27">
        <f>D33+D39</f>
        <v>11460447</v>
      </c>
      <c r="E41" s="27">
        <f>D41-C41</f>
        <v>4635821</v>
      </c>
      <c r="F41" s="28">
        <f>IF(C41=0,0,E41/C41)</f>
        <v>0.67927839562197256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579781</v>
      </c>
      <c r="D44" s="51">
        <v>668077</v>
      </c>
      <c r="E44" s="51">
        <f>D44-C44</f>
        <v>88296</v>
      </c>
      <c r="F44" s="70">
        <f>IF(C44=0,0,E44/C44)</f>
        <v>0.15229198611199746</v>
      </c>
    </row>
    <row r="45" spans="1:6" ht="23.1" customHeight="1" x14ac:dyDescent="0.2">
      <c r="A45" s="44"/>
      <c r="B45" s="48" t="s">
        <v>99</v>
      </c>
      <c r="C45" s="51">
        <v>-2709325</v>
      </c>
      <c r="D45" s="51">
        <v>-1387309</v>
      </c>
      <c r="E45" s="51">
        <f>D45-C45</f>
        <v>1322016</v>
      </c>
      <c r="F45" s="70">
        <f>IF(C45=0,0,E45/C45)</f>
        <v>-0.48795031972908381</v>
      </c>
    </row>
    <row r="46" spans="1:6" ht="23.1" customHeight="1" x14ac:dyDescent="0.25">
      <c r="A46" s="20"/>
      <c r="B46" s="74" t="s">
        <v>100</v>
      </c>
      <c r="C46" s="27">
        <f>SUM(C44:C45)</f>
        <v>-2129544</v>
      </c>
      <c r="D46" s="27">
        <f>SUM(D44:D45)</f>
        <v>-719232</v>
      </c>
      <c r="E46" s="27">
        <f>D46-C46</f>
        <v>1410312</v>
      </c>
      <c r="F46" s="28">
        <f>IF(C46=0,0,E46/C46)</f>
        <v>-0.66226008948394588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4695082</v>
      </c>
      <c r="D48" s="27">
        <f>D41+D46</f>
        <v>10741215</v>
      </c>
      <c r="E48" s="27">
        <f>D48-C48</f>
        <v>6046133</v>
      </c>
      <c r="F48" s="28">
        <f>IF(C48=0,0,E48/C48)</f>
        <v>1.287758765448612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FILING&amp;R&amp;8MIDSTATE MEDICAL CENTER AND SUBSIDIARIES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2011-07-27T15:34:24Z</cp:lastPrinted>
  <dcterms:created xsi:type="dcterms:W3CDTF">2006-08-03T13:49:12Z</dcterms:created>
  <dcterms:modified xsi:type="dcterms:W3CDTF">2011-08-08T13:38:23Z</dcterms:modified>
</cp:coreProperties>
</file>