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C93" i="22" s="1"/>
  <c r="E91" i="22"/>
  <c r="E93" i="22"/>
  <c r="D91" i="22"/>
  <c r="D93" i="22"/>
  <c r="C91" i="22"/>
  <c r="E87" i="22"/>
  <c r="D87" i="22"/>
  <c r="C87" i="22"/>
  <c r="E86" i="22"/>
  <c r="E88" i="22" s="1"/>
  <c r="D86" i="22"/>
  <c r="D88" i="22" s="1"/>
  <c r="C86" i="22"/>
  <c r="C88" i="22"/>
  <c r="E83" i="22"/>
  <c r="E101" i="22" s="1"/>
  <c r="D83" i="22"/>
  <c r="C83" i="22"/>
  <c r="C101" i="22" s="1"/>
  <c r="E76" i="22"/>
  <c r="D76" i="22"/>
  <c r="C76" i="22"/>
  <c r="E75" i="22"/>
  <c r="E77" i="22"/>
  <c r="E112" i="22" s="1"/>
  <c r="D75" i="22"/>
  <c r="D77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40" i="22" s="1"/>
  <c r="E21" i="22"/>
  <c r="D21" i="22"/>
  <c r="C21" i="22"/>
  <c r="E12" i="22"/>
  <c r="E33" i="22"/>
  <c r="D12" i="22"/>
  <c r="D34" i="22"/>
  <c r="C12" i="22"/>
  <c r="C33" i="22"/>
  <c r="D21" i="21"/>
  <c r="C21" i="21"/>
  <c r="D19" i="21"/>
  <c r="E19" i="21"/>
  <c r="C19" i="21"/>
  <c r="E17" i="21"/>
  <c r="F17" i="21" s="1"/>
  <c r="F15" i="21"/>
  <c r="E15" i="21"/>
  <c r="D45" i="20"/>
  <c r="E45" i="20"/>
  <c r="C45" i="20"/>
  <c r="D44" i="20"/>
  <c r="E44" i="20" s="1"/>
  <c r="C44" i="20"/>
  <c r="C46" i="20" s="1"/>
  <c r="D43" i="20"/>
  <c r="D46" i="20"/>
  <c r="C43" i="20"/>
  <c r="D36" i="20"/>
  <c r="D40" i="20" s="1"/>
  <c r="C36" i="20"/>
  <c r="E35" i="20"/>
  <c r="F35" i="20"/>
  <c r="F34" i="20"/>
  <c r="E34" i="20"/>
  <c r="E33" i="20"/>
  <c r="F30" i="20"/>
  <c r="E30" i="20"/>
  <c r="E29" i="20"/>
  <c r="F29" i="20" s="1"/>
  <c r="F28" i="20"/>
  <c r="E28" i="20"/>
  <c r="F27" i="20"/>
  <c r="E27" i="20"/>
  <c r="D25" i="20"/>
  <c r="D39" i="20" s="1"/>
  <c r="C25" i="20"/>
  <c r="E24" i="20"/>
  <c r="F24" i="20" s="1"/>
  <c r="E23" i="20"/>
  <c r="E22" i="20"/>
  <c r="F22" i="20"/>
  <c r="D19" i="20"/>
  <c r="D20" i="20"/>
  <c r="C19" i="20"/>
  <c r="E18" i="20"/>
  <c r="F18" i="20" s="1"/>
  <c r="D16" i="20"/>
  <c r="E16" i="20" s="1"/>
  <c r="F16" i="20" s="1"/>
  <c r="C16" i="20"/>
  <c r="E15" i="20"/>
  <c r="F15" i="20" s="1"/>
  <c r="E13" i="20"/>
  <c r="F13" i="20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4" i="19"/>
  <c r="C63" i="19"/>
  <c r="C59" i="19"/>
  <c r="C60" i="19" s="1"/>
  <c r="C48" i="19"/>
  <c r="C49" i="19" s="1"/>
  <c r="C36" i="19"/>
  <c r="C32" i="19"/>
  <c r="C33" i="19" s="1"/>
  <c r="C21" i="19"/>
  <c r="E328" i="18"/>
  <c r="E325" i="18"/>
  <c r="D324" i="18"/>
  <c r="D326" i="18" s="1"/>
  <c r="C324" i="18"/>
  <c r="C326" i="18" s="1"/>
  <c r="C330" i="18"/>
  <c r="E318" i="18"/>
  <c r="E315" i="18"/>
  <c r="D314" i="18"/>
  <c r="C314" i="18"/>
  <c r="C316" i="18"/>
  <c r="C320" i="18" s="1"/>
  <c r="E308" i="18"/>
  <c r="E305" i="18"/>
  <c r="D301" i="18"/>
  <c r="C301" i="18"/>
  <c r="D293" i="18"/>
  <c r="E293" i="18"/>
  <c r="C293" i="18"/>
  <c r="D292" i="18"/>
  <c r="C292" i="18"/>
  <c r="D291" i="18"/>
  <c r="E291" i="18"/>
  <c r="C291" i="18"/>
  <c r="D290" i="18"/>
  <c r="C290" i="18"/>
  <c r="E290" i="18"/>
  <c r="D288" i="18"/>
  <c r="E288" i="18" s="1"/>
  <c r="C288" i="18"/>
  <c r="D287" i="18"/>
  <c r="E287" i="18" s="1"/>
  <c r="C287" i="18"/>
  <c r="D282" i="18"/>
  <c r="C282" i="18"/>
  <c r="E282" i="18" s="1"/>
  <c r="D281" i="18"/>
  <c r="C281" i="18"/>
  <c r="D280" i="18"/>
  <c r="C280" i="18"/>
  <c r="E280" i="18" s="1"/>
  <c r="D279" i="18"/>
  <c r="E279" i="18"/>
  <c r="C279" i="18"/>
  <c r="D278" i="18"/>
  <c r="C278" i="18"/>
  <c r="D277" i="18"/>
  <c r="E277" i="18" s="1"/>
  <c r="C277" i="18"/>
  <c r="D276" i="18"/>
  <c r="E276" i="18" s="1"/>
  <c r="C276" i="18"/>
  <c r="E270" i="18"/>
  <c r="D265" i="18"/>
  <c r="D302" i="18"/>
  <c r="C265" i="18"/>
  <c r="C302" i="18"/>
  <c r="D262" i="18"/>
  <c r="E262" i="18" s="1"/>
  <c r="C262" i="18"/>
  <c r="D251" i="18"/>
  <c r="E251" i="18" s="1"/>
  <c r="C251" i="18"/>
  <c r="D233" i="18"/>
  <c r="C233" i="18"/>
  <c r="D232" i="18"/>
  <c r="E232" i="18"/>
  <c r="C232" i="18"/>
  <c r="D231" i="18"/>
  <c r="E231" i="18" s="1"/>
  <c r="C231" i="18"/>
  <c r="D230" i="18"/>
  <c r="C230" i="18"/>
  <c r="E230" i="18" s="1"/>
  <c r="D228" i="18"/>
  <c r="E228" i="18"/>
  <c r="C228" i="18"/>
  <c r="D227" i="18"/>
  <c r="E227" i="18" s="1"/>
  <c r="C227" i="18"/>
  <c r="D221" i="18"/>
  <c r="C221" i="18"/>
  <c r="C245" i="18" s="1"/>
  <c r="E245" i="18" s="1"/>
  <c r="D220" i="18"/>
  <c r="C220" i="18"/>
  <c r="C244" i="18" s="1"/>
  <c r="D219" i="18"/>
  <c r="C219" i="18"/>
  <c r="C243" i="18"/>
  <c r="D218" i="18"/>
  <c r="D242" i="18"/>
  <c r="C218" i="18"/>
  <c r="C217" i="18"/>
  <c r="D216" i="18"/>
  <c r="D240" i="18"/>
  <c r="C216" i="18"/>
  <c r="D215" i="18"/>
  <c r="C215" i="18"/>
  <c r="C239" i="18" s="1"/>
  <c r="E209" i="18"/>
  <c r="E208" i="18"/>
  <c r="E207" i="18"/>
  <c r="E206" i="18"/>
  <c r="D205" i="18"/>
  <c r="C205" i="18"/>
  <c r="C210" i="18"/>
  <c r="E204" i="18"/>
  <c r="E203" i="18"/>
  <c r="E197" i="18"/>
  <c r="E196" i="18"/>
  <c r="D195" i="18"/>
  <c r="E195" i="18" s="1"/>
  <c r="C195" i="18"/>
  <c r="C260" i="18" s="1"/>
  <c r="E194" i="18"/>
  <c r="E193" i="18"/>
  <c r="E192" i="18"/>
  <c r="E191" i="18"/>
  <c r="E190" i="18"/>
  <c r="D189" i="18"/>
  <c r="E189" i="18" s="1"/>
  <c r="D188" i="18"/>
  <c r="D261" i="18" s="1"/>
  <c r="C188" i="18"/>
  <c r="C261" i="18" s="1"/>
  <c r="E186" i="18"/>
  <c r="E185" i="18"/>
  <c r="D179" i="18"/>
  <c r="C179" i="18"/>
  <c r="E179" i="18"/>
  <c r="D178" i="18"/>
  <c r="E178" i="18" s="1"/>
  <c r="C178" i="18"/>
  <c r="D177" i="18"/>
  <c r="C177" i="18"/>
  <c r="E177" i="18" s="1"/>
  <c r="D176" i="18"/>
  <c r="E176" i="18" s="1"/>
  <c r="C176" i="18"/>
  <c r="D174" i="18"/>
  <c r="E174" i="18"/>
  <c r="C174" i="18"/>
  <c r="D173" i="18"/>
  <c r="E173" i="18" s="1"/>
  <c r="C173" i="18"/>
  <c r="D167" i="18"/>
  <c r="E167" i="18" s="1"/>
  <c r="C167" i="18"/>
  <c r="D166" i="18"/>
  <c r="E166" i="18" s="1"/>
  <c r="C166" i="18"/>
  <c r="D165" i="18"/>
  <c r="E165" i="18"/>
  <c r="C165" i="18"/>
  <c r="D164" i="18"/>
  <c r="C164" i="18"/>
  <c r="E164" i="18"/>
  <c r="D162" i="18"/>
  <c r="C162" i="18"/>
  <c r="E162" i="18" s="1"/>
  <c r="D161" i="18"/>
  <c r="E161" i="18"/>
  <c r="C161" i="18"/>
  <c r="E155" i="18"/>
  <c r="E154" i="18"/>
  <c r="E153" i="18"/>
  <c r="E152" i="18"/>
  <c r="D151" i="18"/>
  <c r="D156" i="18" s="1"/>
  <c r="D157" i="18" s="1"/>
  <c r="C151" i="18"/>
  <c r="E150" i="18"/>
  <c r="E149" i="18"/>
  <c r="C180" i="18"/>
  <c r="E143" i="18"/>
  <c r="E142" i="18"/>
  <c r="E141" i="18"/>
  <c r="E140" i="18"/>
  <c r="D139" i="18"/>
  <c r="C139" i="18"/>
  <c r="C144" i="18" s="1"/>
  <c r="E138" i="18"/>
  <c r="E137" i="18"/>
  <c r="D75" i="18"/>
  <c r="E75" i="18"/>
  <c r="C75" i="18"/>
  <c r="D74" i="18"/>
  <c r="C74" i="18"/>
  <c r="E74" i="18"/>
  <c r="D73" i="18"/>
  <c r="E73" i="18" s="1"/>
  <c r="C73" i="18"/>
  <c r="D72" i="18"/>
  <c r="E72" i="18" s="1"/>
  <c r="C72" i="18"/>
  <c r="D70" i="18"/>
  <c r="C70" i="18"/>
  <c r="D69" i="18"/>
  <c r="E69" i="18"/>
  <c r="C69" i="18"/>
  <c r="E64" i="18"/>
  <c r="E63" i="18"/>
  <c r="E62" i="18"/>
  <c r="E61" i="18"/>
  <c r="D60" i="18"/>
  <c r="C60" i="18"/>
  <c r="C289" i="18" s="1"/>
  <c r="E59" i="18"/>
  <c r="E58" i="18"/>
  <c r="D55" i="18"/>
  <c r="D54" i="18"/>
  <c r="C54" i="18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D40" i="18"/>
  <c r="C40" i="18"/>
  <c r="E40" i="18" s="1"/>
  <c r="D39" i="18"/>
  <c r="C39" i="18"/>
  <c r="D38" i="18"/>
  <c r="E38" i="18" s="1"/>
  <c r="C38" i="18"/>
  <c r="D37" i="18"/>
  <c r="C37" i="18"/>
  <c r="C43" i="18" s="1"/>
  <c r="D36" i="18"/>
  <c r="C36" i="18"/>
  <c r="D32" i="18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 s="1"/>
  <c r="F307" i="17"/>
  <c r="C307" i="17"/>
  <c r="D299" i="17"/>
  <c r="C299" i="17"/>
  <c r="D298" i="17"/>
  <c r="C298" i="17"/>
  <c r="F298" i="17"/>
  <c r="D297" i="17"/>
  <c r="C297" i="17"/>
  <c r="F297" i="17" s="1"/>
  <c r="D296" i="17"/>
  <c r="C296" i="17"/>
  <c r="D295" i="17"/>
  <c r="C295" i="17"/>
  <c r="D294" i="17"/>
  <c r="C294" i="17"/>
  <c r="E294" i="17" s="1"/>
  <c r="D250" i="17"/>
  <c r="D306" i="17"/>
  <c r="C250" i="17"/>
  <c r="E249" i="17"/>
  <c r="F249" i="17" s="1"/>
  <c r="E248" i="17"/>
  <c r="F248" i="17" s="1"/>
  <c r="F245" i="17"/>
  <c r="E245" i="17"/>
  <c r="E244" i="17"/>
  <c r="F244" i="17"/>
  <c r="E243" i="17"/>
  <c r="F243" i="17" s="1"/>
  <c r="D238" i="17"/>
  <c r="C238" i="17"/>
  <c r="D237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C226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D208" i="17" s="1"/>
  <c r="C204" i="17"/>
  <c r="D203" i="17"/>
  <c r="C203" i="17"/>
  <c r="D198" i="17"/>
  <c r="C198" i="17"/>
  <c r="C290" i="17"/>
  <c r="D191" i="17"/>
  <c r="C191" i="17"/>
  <c r="D189" i="17"/>
  <c r="C189" i="17"/>
  <c r="C278" i="17"/>
  <c r="D188" i="17"/>
  <c r="C188" i="17"/>
  <c r="D180" i="17"/>
  <c r="D181" i="17" s="1"/>
  <c r="C180" i="17"/>
  <c r="D179" i="17"/>
  <c r="C179" i="17"/>
  <c r="F179" i="17"/>
  <c r="D171" i="17"/>
  <c r="D172" i="17"/>
  <c r="C171" i="17"/>
  <c r="F171" i="17" s="1"/>
  <c r="D170" i="17"/>
  <c r="C170" i="17"/>
  <c r="F170" i="17" s="1"/>
  <c r="F169" i="17"/>
  <c r="E169" i="17"/>
  <c r="F168" i="17"/>
  <c r="E168" i="17"/>
  <c r="D165" i="17"/>
  <c r="C165" i="17"/>
  <c r="F165" i="17"/>
  <c r="D164" i="17"/>
  <c r="C164" i="17"/>
  <c r="F164" i="17" s="1"/>
  <c r="F163" i="17"/>
  <c r="E163" i="17"/>
  <c r="D158" i="17"/>
  <c r="C158" i="17"/>
  <c r="F158" i="17" s="1"/>
  <c r="F157" i="17"/>
  <c r="E157" i="17"/>
  <c r="F156" i="17"/>
  <c r="E156" i="17"/>
  <c r="D155" i="17"/>
  <c r="C155" i="17"/>
  <c r="F155" i="17"/>
  <c r="F154" i="17"/>
  <c r="E154" i="17"/>
  <c r="F153" i="17"/>
  <c r="E153" i="17"/>
  <c r="D145" i="17"/>
  <c r="C145" i="17"/>
  <c r="D144" i="17"/>
  <c r="D146" i="17"/>
  <c r="C144" i="17"/>
  <c r="D136" i="17"/>
  <c r="D137" i="17" s="1"/>
  <c r="C136" i="17"/>
  <c r="C137" i="17" s="1"/>
  <c r="E137" i="17" s="1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E111" i="17" s="1"/>
  <c r="C109" i="17"/>
  <c r="D101" i="17"/>
  <c r="D102" i="17" s="1"/>
  <c r="C101" i="17"/>
  <c r="C102" i="17"/>
  <c r="D100" i="17"/>
  <c r="E100" i="17" s="1"/>
  <c r="F100" i="17" s="1"/>
  <c r="C100" i="17"/>
  <c r="E99" i="17"/>
  <c r="F99" i="17" s="1"/>
  <c r="E98" i="17"/>
  <c r="F98" i="17"/>
  <c r="D95" i="17"/>
  <c r="E95" i="17" s="1"/>
  <c r="F95" i="17"/>
  <c r="C95" i="17"/>
  <c r="D94" i="17"/>
  <c r="C94" i="17"/>
  <c r="E93" i="17"/>
  <c r="F93" i="17" s="1"/>
  <c r="D88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E74" i="17"/>
  <c r="F74" i="17" s="1"/>
  <c r="E73" i="17"/>
  <c r="F73" i="17" s="1"/>
  <c r="D67" i="17"/>
  <c r="C67" i="17"/>
  <c r="D66" i="17"/>
  <c r="C66" i="17"/>
  <c r="C68" i="17"/>
  <c r="D59" i="17"/>
  <c r="D60" i="17"/>
  <c r="C59" i="17"/>
  <c r="C60" i="17"/>
  <c r="C61" i="17" s="1"/>
  <c r="D58" i="17"/>
  <c r="E58" i="17" s="1"/>
  <c r="F58" i="17" s="1"/>
  <c r="C58" i="17"/>
  <c r="E57" i="17"/>
  <c r="F57" i="17"/>
  <c r="E56" i="17"/>
  <c r="F56" i="17"/>
  <c r="D53" i="17"/>
  <c r="C53" i="17"/>
  <c r="D52" i="17"/>
  <c r="E52" i="17" s="1"/>
  <c r="F52" i="17" s="1"/>
  <c r="C52" i="17"/>
  <c r="E51" i="17"/>
  <c r="F51" i="17"/>
  <c r="D47" i="17"/>
  <c r="D48" i="17"/>
  <c r="C47" i="17"/>
  <c r="C48" i="17"/>
  <c r="E46" i="17"/>
  <c r="F46" i="17" s="1"/>
  <c r="E45" i="17"/>
  <c r="F45" i="17"/>
  <c r="D44" i="17"/>
  <c r="C44" i="17"/>
  <c r="E44" i="17" s="1"/>
  <c r="E43" i="17"/>
  <c r="F43" i="17"/>
  <c r="E42" i="17"/>
  <c r="F42" i="17" s="1"/>
  <c r="D36" i="17"/>
  <c r="C36" i="17"/>
  <c r="D35" i="17"/>
  <c r="D37" i="17"/>
  <c r="C35" i="17"/>
  <c r="D30" i="17"/>
  <c r="D31" i="17"/>
  <c r="C30" i="17"/>
  <c r="C31" i="17" s="1"/>
  <c r="D29" i="17"/>
  <c r="C29" i="17"/>
  <c r="E28" i="17"/>
  <c r="F28" i="17" s="1"/>
  <c r="E27" i="17"/>
  <c r="F27" i="17" s="1"/>
  <c r="D24" i="17"/>
  <c r="E24" i="17" s="1"/>
  <c r="C24" i="17"/>
  <c r="D23" i="17"/>
  <c r="C23" i="17"/>
  <c r="E22" i="17"/>
  <c r="F22" i="17" s="1"/>
  <c r="D20" i="17"/>
  <c r="C20" i="17"/>
  <c r="E20" i="17" s="1"/>
  <c r="E19" i="17"/>
  <c r="F19" i="17" s="1"/>
  <c r="E18" i="17"/>
  <c r="F18" i="17" s="1"/>
  <c r="D17" i="17"/>
  <c r="E17" i="17" s="1"/>
  <c r="C17" i="17"/>
  <c r="E16" i="17"/>
  <c r="F16" i="17" s="1"/>
  <c r="E15" i="17"/>
  <c r="F15" i="17" s="1"/>
  <c r="D21" i="16"/>
  <c r="C21" i="16"/>
  <c r="E20" i="16"/>
  <c r="F20" i="16" s="1"/>
  <c r="D17" i="16"/>
  <c r="E17" i="16" s="1"/>
  <c r="C17" i="16"/>
  <c r="E16" i="16"/>
  <c r="F16" i="16" s="1"/>
  <c r="D13" i="16"/>
  <c r="C13" i="16"/>
  <c r="E13" i="16" s="1"/>
  <c r="E12" i="16"/>
  <c r="F12" i="16" s="1"/>
  <c r="D107" i="15"/>
  <c r="E107" i="15"/>
  <c r="C107" i="15"/>
  <c r="E106" i="15"/>
  <c r="F106" i="15" s="1"/>
  <c r="E105" i="15"/>
  <c r="F105" i="15" s="1"/>
  <c r="E104" i="15"/>
  <c r="F104" i="15" s="1"/>
  <c r="D100" i="15"/>
  <c r="C100" i="15"/>
  <c r="E100" i="15" s="1"/>
  <c r="F100" i="15" s="1"/>
  <c r="E99" i="15"/>
  <c r="F99" i="15" s="1"/>
  <c r="E98" i="15"/>
  <c r="F98" i="15" s="1"/>
  <c r="E97" i="15"/>
  <c r="F97" i="15" s="1"/>
  <c r="E96" i="15"/>
  <c r="F96" i="15" s="1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F75" i="15" s="1"/>
  <c r="E74" i="15"/>
  <c r="F74" i="15" s="1"/>
  <c r="E73" i="15"/>
  <c r="F73" i="15" s="1"/>
  <c r="E75" i="15"/>
  <c r="D70" i="15"/>
  <c r="C70" i="15"/>
  <c r="E69" i="15"/>
  <c r="F69" i="15" s="1"/>
  <c r="F68" i="15"/>
  <c r="E68" i="15"/>
  <c r="D65" i="15"/>
  <c r="C65" i="15"/>
  <c r="E64" i="15"/>
  <c r="F64" i="15" s="1"/>
  <c r="E63" i="15"/>
  <c r="F63" i="15" s="1"/>
  <c r="D60" i="15"/>
  <c r="C60" i="15"/>
  <c r="E59" i="15"/>
  <c r="F59" i="15" s="1"/>
  <c r="F58" i="15"/>
  <c r="E58" i="15"/>
  <c r="D55" i="15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C45" i="15"/>
  <c r="F45" i="15" s="1"/>
  <c r="F44" i="15"/>
  <c r="E44" i="15"/>
  <c r="F43" i="15"/>
  <c r="E43" i="15"/>
  <c r="D37" i="15"/>
  <c r="E37" i="15"/>
  <c r="C37" i="15"/>
  <c r="F36" i="15"/>
  <c r="E36" i="15"/>
  <c r="F35" i="15"/>
  <c r="E35" i="15"/>
  <c r="E34" i="15"/>
  <c r="F34" i="15" s="1"/>
  <c r="E33" i="15"/>
  <c r="F33" i="15" s="1"/>
  <c r="D30" i="15"/>
  <c r="C30" i="15"/>
  <c r="F29" i="15"/>
  <c r="E29" i="15"/>
  <c r="F28" i="15"/>
  <c r="E28" i="15"/>
  <c r="E27" i="15"/>
  <c r="F27" i="15" s="1"/>
  <c r="F26" i="15"/>
  <c r="E26" i="15"/>
  <c r="D23" i="15"/>
  <c r="E23" i="15"/>
  <c r="C23" i="15"/>
  <c r="F22" i="15"/>
  <c r="E22" i="15"/>
  <c r="F21" i="15"/>
  <c r="E21" i="15"/>
  <c r="E20" i="15"/>
  <c r="F20" i="15" s="1"/>
  <c r="E19" i="15"/>
  <c r="F19" i="15" s="1"/>
  <c r="D16" i="15"/>
  <c r="E16" i="15"/>
  <c r="F16" i="15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/>
  <c r="E17" i="14"/>
  <c r="E31" i="14"/>
  <c r="D17" i="14"/>
  <c r="D33" i="14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C80" i="13" s="1"/>
  <c r="C77" i="13" s="1"/>
  <c r="E78" i="13"/>
  <c r="E80" i="13"/>
  <c r="E77" i="13" s="1"/>
  <c r="D78" i="13"/>
  <c r="D80" i="13" s="1"/>
  <c r="D77" i="13" s="1"/>
  <c r="C78" i="13"/>
  <c r="D75" i="13"/>
  <c r="E73" i="13"/>
  <c r="E75" i="13"/>
  <c r="D73" i="13"/>
  <c r="C73" i="13"/>
  <c r="C75" i="13" s="1"/>
  <c r="E71" i="13"/>
  <c r="D71" i="13"/>
  <c r="C71" i="13"/>
  <c r="E66" i="13"/>
  <c r="D66" i="13"/>
  <c r="D65" i="13" s="1"/>
  <c r="C66" i="13"/>
  <c r="E65" i="13"/>
  <c r="C65" i="13"/>
  <c r="E60" i="13"/>
  <c r="D60" i="13"/>
  <c r="C60" i="13"/>
  <c r="E58" i="13"/>
  <c r="D58" i="13"/>
  <c r="C58" i="13"/>
  <c r="E55" i="13"/>
  <c r="D55" i="13"/>
  <c r="D50" i="13" s="1"/>
  <c r="C55" i="13"/>
  <c r="E54" i="13"/>
  <c r="D54" i="13"/>
  <c r="C54" i="13"/>
  <c r="C50" i="13" s="1"/>
  <c r="E50" i="13"/>
  <c r="D42" i="13"/>
  <c r="E46" i="13"/>
  <c r="E59" i="13"/>
  <c r="E61" i="13" s="1"/>
  <c r="E57" i="13" s="1"/>
  <c r="D46" i="13"/>
  <c r="D48" i="13" s="1"/>
  <c r="C46" i="13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/>
  <c r="E27" i="13" s="1"/>
  <c r="D13" i="13"/>
  <c r="C13" i="13"/>
  <c r="C25" i="13"/>
  <c r="C27" i="13" s="1"/>
  <c r="D47" i="12"/>
  <c r="E47" i="12" s="1"/>
  <c r="C47" i="12"/>
  <c r="F47" i="12"/>
  <c r="F46" i="12"/>
  <c r="E46" i="12"/>
  <c r="F45" i="12"/>
  <c r="E45" i="12"/>
  <c r="D40" i="12"/>
  <c r="C40" i="12"/>
  <c r="E39" i="12"/>
  <c r="F39" i="12"/>
  <c r="F38" i="12"/>
  <c r="E38" i="12"/>
  <c r="E37" i="12"/>
  <c r="F37" i="12"/>
  <c r="D32" i="12"/>
  <c r="C32" i="12"/>
  <c r="E31" i="12"/>
  <c r="F31" i="12"/>
  <c r="E30" i="12"/>
  <c r="F30" i="12" s="1"/>
  <c r="E29" i="12"/>
  <c r="F29" i="12"/>
  <c r="E28" i="12"/>
  <c r="F28" i="12"/>
  <c r="E27" i="12"/>
  <c r="F27" i="12"/>
  <c r="E26" i="12"/>
  <c r="F26" i="12" s="1"/>
  <c r="E25" i="12"/>
  <c r="F25" i="12"/>
  <c r="E24" i="12"/>
  <c r="F24" i="12"/>
  <c r="E23" i="12"/>
  <c r="F23" i="12"/>
  <c r="E19" i="12"/>
  <c r="F19" i="12" s="1"/>
  <c r="E18" i="12"/>
  <c r="F18" i="12"/>
  <c r="F16" i="12"/>
  <c r="E16" i="12"/>
  <c r="D15" i="12"/>
  <c r="D17" i="12"/>
  <c r="C15" i="12"/>
  <c r="F14" i="12"/>
  <c r="E14" i="12"/>
  <c r="E13" i="12"/>
  <c r="F13" i="12" s="1"/>
  <c r="E12" i="12"/>
  <c r="F12" i="12" s="1"/>
  <c r="E11" i="12"/>
  <c r="F11" i="12" s="1"/>
  <c r="D73" i="11"/>
  <c r="E73" i="11" s="1"/>
  <c r="F73" i="1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 s="1"/>
  <c r="C61" i="11"/>
  <c r="C65" i="11" s="1"/>
  <c r="F60" i="11"/>
  <c r="E60" i="11"/>
  <c r="E59" i="11"/>
  <c r="F59" i="11" s="1"/>
  <c r="D56" i="11"/>
  <c r="D75" i="11" s="1"/>
  <c r="C56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 s="1"/>
  <c r="A54" i="11" s="1"/>
  <c r="A55" i="11" s="1"/>
  <c r="E50" i="11"/>
  <c r="F50" i="11"/>
  <c r="A50" i="11"/>
  <c r="E49" i="11"/>
  <c r="F49" i="11" s="1"/>
  <c r="F40" i="11"/>
  <c r="E40" i="11"/>
  <c r="D38" i="11"/>
  <c r="D41" i="11" s="1"/>
  <c r="C38" i="11"/>
  <c r="C41" i="11" s="1"/>
  <c r="F37" i="11"/>
  <c r="E37" i="11"/>
  <c r="F36" i="11"/>
  <c r="E36" i="11"/>
  <c r="F33" i="11"/>
  <c r="E33" i="11"/>
  <c r="F32" i="11"/>
  <c r="E32" i="11"/>
  <c r="F31" i="11"/>
  <c r="E31" i="11"/>
  <c r="D29" i="11"/>
  <c r="E29" i="11" s="1"/>
  <c r="F29" i="11"/>
  <c r="C29" i="11"/>
  <c r="F28" i="11"/>
  <c r="E28" i="11"/>
  <c r="F27" i="11"/>
  <c r="E27" i="11"/>
  <c r="F26" i="11"/>
  <c r="E26" i="11"/>
  <c r="F25" i="11"/>
  <c r="E25" i="11"/>
  <c r="D22" i="11"/>
  <c r="D43" i="11" s="1"/>
  <c r="C22" i="11"/>
  <c r="C43" i="11" s="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 s="1"/>
  <c r="F120" i="10"/>
  <c r="C120" i="10"/>
  <c r="D119" i="10"/>
  <c r="E119" i="10"/>
  <c r="F119" i="10" s="1"/>
  <c r="C119" i="10"/>
  <c r="D118" i="10"/>
  <c r="E118" i="10" s="1"/>
  <c r="F118" i="10"/>
  <c r="C118" i="10"/>
  <c r="D117" i="10"/>
  <c r="E117" i="10" s="1"/>
  <c r="F117" i="10" s="1"/>
  <c r="C117" i="10"/>
  <c r="D116" i="10"/>
  <c r="E116" i="10" s="1"/>
  <c r="F116" i="10" s="1"/>
  <c r="C116" i="10"/>
  <c r="D115" i="10"/>
  <c r="E115" i="10" s="1"/>
  <c r="F115" i="10" s="1"/>
  <c r="C115" i="10"/>
  <c r="D114" i="10"/>
  <c r="E114" i="10" s="1"/>
  <c r="F114" i="10"/>
  <c r="C114" i="10"/>
  <c r="D113" i="10"/>
  <c r="D122" i="10"/>
  <c r="E122" i="10" s="1"/>
  <c r="F122" i="10" s="1"/>
  <c r="C113" i="10"/>
  <c r="C122" i="10"/>
  <c r="D112" i="10"/>
  <c r="D121" i="10"/>
  <c r="E121" i="10" s="1"/>
  <c r="C112" i="10"/>
  <c r="C121" i="10"/>
  <c r="D108" i="10"/>
  <c r="E108" i="10" s="1"/>
  <c r="F108" i="10" s="1"/>
  <c r="C108" i="10"/>
  <c r="D107" i="10"/>
  <c r="C107" i="10"/>
  <c r="F106" i="10"/>
  <c r="E106" i="10"/>
  <c r="F105" i="10"/>
  <c r="E105" i="10"/>
  <c r="F104" i="10"/>
  <c r="E104" i="10"/>
  <c r="E103" i="10"/>
  <c r="F103" i="10" s="1"/>
  <c r="F102" i="10"/>
  <c r="E102" i="10"/>
  <c r="F101" i="10"/>
  <c r="E101" i="10"/>
  <c r="F100" i="10"/>
  <c r="E100" i="10"/>
  <c r="E99" i="10"/>
  <c r="F99" i="10" s="1"/>
  <c r="F98" i="10"/>
  <c r="E98" i="10"/>
  <c r="D96" i="10"/>
  <c r="E96" i="10" s="1"/>
  <c r="F96" i="10" s="1"/>
  <c r="C96" i="10"/>
  <c r="D95" i="10"/>
  <c r="E95" i="10" s="1"/>
  <c r="F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 s="1"/>
  <c r="F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C207" i="9"/>
  <c r="D206" i="9"/>
  <c r="C206" i="9"/>
  <c r="D205" i="9"/>
  <c r="C205" i="9"/>
  <c r="D204" i="9"/>
  <c r="C204" i="9"/>
  <c r="D203" i="9"/>
  <c r="C203" i="9"/>
  <c r="E203" i="9" s="1"/>
  <c r="D202" i="9"/>
  <c r="C202" i="9"/>
  <c r="D201" i="9"/>
  <c r="C201" i="9"/>
  <c r="D200" i="9"/>
  <c r="C200" i="9"/>
  <c r="D199" i="9"/>
  <c r="D208" i="9"/>
  <c r="C199" i="9"/>
  <c r="D198" i="9"/>
  <c r="C198" i="9"/>
  <c r="D193" i="9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/>
  <c r="E132" i="9"/>
  <c r="F132" i="9" s="1"/>
  <c r="E131" i="9"/>
  <c r="F131" i="9" s="1"/>
  <c r="D128" i="9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/>
  <c r="E118" i="9"/>
  <c r="F118" i="9" s="1"/>
  <c r="D115" i="9"/>
  <c r="E115" i="9" s="1"/>
  <c r="F115" i="9" s="1"/>
  <c r="C115" i="9"/>
  <c r="D114" i="9"/>
  <c r="C114" i="9"/>
  <c r="E113" i="9"/>
  <c r="F113" i="9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C101" i="9"/>
  <c r="E100" i="9"/>
  <c r="F100" i="9" s="1"/>
  <c r="E99" i="9"/>
  <c r="F99" i="9"/>
  <c r="E98" i="9"/>
  <c r="F98" i="9" s="1"/>
  <c r="E97" i="9"/>
  <c r="F97" i="9" s="1"/>
  <c r="E96" i="9"/>
  <c r="F96" i="9" s="1"/>
  <c r="E95" i="9"/>
  <c r="F95" i="9"/>
  <c r="E94" i="9"/>
  <c r="F94" i="9" s="1"/>
  <c r="E93" i="9"/>
  <c r="F93" i="9" s="1"/>
  <c r="E92" i="9"/>
  <c r="F92" i="9" s="1"/>
  <c r="D89" i="9"/>
  <c r="C89" i="9"/>
  <c r="F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F75" i="9" s="1"/>
  <c r="C75" i="9"/>
  <c r="E74" i="9"/>
  <c r="F74" i="9" s="1"/>
  <c r="E73" i="9"/>
  <c r="F73" i="9" s="1"/>
  <c r="E72" i="9"/>
  <c r="F72" i="9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3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 s="1"/>
  <c r="F37" i="9" s="1"/>
  <c r="C37" i="9"/>
  <c r="D36" i="9"/>
  <c r="E36" i="9"/>
  <c r="F36" i="9" s="1"/>
  <c r="C36" i="9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E24" i="9" s="1"/>
  <c r="F24" i="9" s="1"/>
  <c r="C24" i="9"/>
  <c r="D23" i="9"/>
  <c r="E23" i="9" s="1"/>
  <c r="F23" i="9" s="1"/>
  <c r="C23" i="9"/>
  <c r="F22" i="9"/>
  <c r="E22" i="9"/>
  <c r="E21" i="9"/>
  <c r="F21" i="9" s="1"/>
  <c r="F20" i="9"/>
  <c r="E20" i="9"/>
  <c r="F19" i="9"/>
  <c r="E19" i="9"/>
  <c r="F18" i="9"/>
  <c r="E18" i="9"/>
  <c r="E17" i="9"/>
  <c r="F17" i="9" s="1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/>
  <c r="D166" i="8"/>
  <c r="C164" i="8"/>
  <c r="C160" i="8" s="1"/>
  <c r="E162" i="8"/>
  <c r="D162" i="8"/>
  <c r="C162" i="8"/>
  <c r="E161" i="8"/>
  <c r="D161" i="8"/>
  <c r="C161" i="8"/>
  <c r="C166" i="8" s="1"/>
  <c r="C156" i="8" s="1"/>
  <c r="E147" i="8"/>
  <c r="D147" i="8"/>
  <c r="D143" i="8" s="1"/>
  <c r="D149" i="8"/>
  <c r="C147" i="8"/>
  <c r="C143" i="8" s="1"/>
  <c r="C149" i="8" s="1"/>
  <c r="E145" i="8"/>
  <c r="D145" i="8"/>
  <c r="C145" i="8"/>
  <c r="E144" i="8"/>
  <c r="D144" i="8"/>
  <c r="C144" i="8"/>
  <c r="E143" i="8"/>
  <c r="E149" i="8"/>
  <c r="E139" i="8" s="1"/>
  <c r="C140" i="8"/>
  <c r="E126" i="8"/>
  <c r="D126" i="8"/>
  <c r="C126" i="8"/>
  <c r="E119" i="8"/>
  <c r="D119" i="8"/>
  <c r="C119" i="8"/>
  <c r="E108" i="8"/>
  <c r="D108" i="8"/>
  <c r="C108" i="8"/>
  <c r="E107" i="8"/>
  <c r="E109" i="8" s="1"/>
  <c r="E106" i="8"/>
  <c r="D107" i="8"/>
  <c r="C107" i="8"/>
  <c r="C109" i="8" s="1"/>
  <c r="C106" i="8" s="1"/>
  <c r="E104" i="8"/>
  <c r="C104" i="8"/>
  <c r="E102" i="8"/>
  <c r="D102" i="8"/>
  <c r="D104" i="8" s="1"/>
  <c r="C102" i="8"/>
  <c r="E100" i="8"/>
  <c r="D100" i="8"/>
  <c r="C100" i="8"/>
  <c r="E95" i="8"/>
  <c r="E94" i="8" s="1"/>
  <c r="D95" i="8"/>
  <c r="D94" i="8" s="1"/>
  <c r="C95" i="8"/>
  <c r="C94" i="8"/>
  <c r="E89" i="8"/>
  <c r="D89" i="8"/>
  <c r="C89" i="8"/>
  <c r="E87" i="8"/>
  <c r="D87" i="8"/>
  <c r="C87" i="8"/>
  <c r="E84" i="8"/>
  <c r="D84" i="8"/>
  <c r="D79" i="8"/>
  <c r="C84" i="8"/>
  <c r="E83" i="8"/>
  <c r="D83" i="8"/>
  <c r="C83" i="8"/>
  <c r="C79" i="8"/>
  <c r="E75" i="8"/>
  <c r="D75" i="8"/>
  <c r="C75" i="8"/>
  <c r="E74" i="8"/>
  <c r="D74" i="8"/>
  <c r="C74" i="8"/>
  <c r="E67" i="8"/>
  <c r="D67" i="8"/>
  <c r="C67" i="8"/>
  <c r="E38" i="8"/>
  <c r="E49" i="8" s="1"/>
  <c r="D38" i="8"/>
  <c r="D57" i="8"/>
  <c r="D62" i="8" s="1"/>
  <c r="C38" i="8"/>
  <c r="C53" i="8" s="1"/>
  <c r="E33" i="8"/>
  <c r="E34" i="8"/>
  <c r="D33" i="8"/>
  <c r="D34" i="8" s="1"/>
  <c r="E27" i="8"/>
  <c r="E21" i="8" s="1"/>
  <c r="E26" i="8"/>
  <c r="D26" i="8"/>
  <c r="C26" i="8"/>
  <c r="E25" i="8"/>
  <c r="C25" i="8"/>
  <c r="C27" i="8" s="1"/>
  <c r="E15" i="8"/>
  <c r="C15" i="8"/>
  <c r="E13" i="8"/>
  <c r="D13" i="8"/>
  <c r="D25" i="8" s="1"/>
  <c r="D27" i="8" s="1"/>
  <c r="C13" i="8"/>
  <c r="F186" i="7"/>
  <c r="E186" i="7"/>
  <c r="D183" i="7"/>
  <c r="D188" i="7"/>
  <c r="C183" i="7"/>
  <c r="E182" i="7"/>
  <c r="F182" i="7" s="1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F167" i="7" s="1"/>
  <c r="C167" i="7"/>
  <c r="E166" i="7"/>
  <c r="F166" i="7" s="1"/>
  <c r="F165" i="7"/>
  <c r="E165" i="7"/>
  <c r="F164" i="7"/>
  <c r="E164" i="7"/>
  <c r="F163" i="7"/>
  <c r="E163" i="7"/>
  <c r="F162" i="7"/>
  <c r="E162" i="7"/>
  <c r="E161" i="7"/>
  <c r="F161" i="7" s="1"/>
  <c r="E160" i="7"/>
  <c r="F160" i="7" s="1"/>
  <c r="F159" i="7"/>
  <c r="E159" i="7"/>
  <c r="E158" i="7"/>
  <c r="F158" i="7" s="1"/>
  <c r="E157" i="7"/>
  <c r="F157" i="7" s="1"/>
  <c r="F156" i="7"/>
  <c r="E156" i="7"/>
  <c r="E155" i="7"/>
  <c r="F155" i="7" s="1"/>
  <c r="E154" i="7"/>
  <c r="F154" i="7" s="1"/>
  <c r="F153" i="7"/>
  <c r="E153" i="7"/>
  <c r="F152" i="7"/>
  <c r="E152" i="7"/>
  <c r="F151" i="7"/>
  <c r="E151" i="7"/>
  <c r="F150" i="7"/>
  <c r="E150" i="7"/>
  <c r="F149" i="7"/>
  <c r="E149" i="7"/>
  <c r="E148" i="7"/>
  <c r="F148" i="7" s="1"/>
  <c r="F147" i="7"/>
  <c r="E147" i="7"/>
  <c r="E146" i="7"/>
  <c r="F146" i="7" s="1"/>
  <c r="F145" i="7"/>
  <c r="E145" i="7"/>
  <c r="F144" i="7"/>
  <c r="E144" i="7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E130" i="7" s="1"/>
  <c r="C130" i="7"/>
  <c r="F129" i="7"/>
  <c r="E129" i="7"/>
  <c r="E128" i="7"/>
  <c r="F128" i="7" s="1"/>
  <c r="E127" i="7"/>
  <c r="F127" i="7" s="1"/>
  <c r="F126" i="7"/>
  <c r="E126" i="7"/>
  <c r="F125" i="7"/>
  <c r="E125" i="7"/>
  <c r="E124" i="7"/>
  <c r="F124" i="7" s="1"/>
  <c r="D121" i="7"/>
  <c r="E121" i="7" s="1"/>
  <c r="C121" i="7"/>
  <c r="F121" i="7" s="1"/>
  <c r="E120" i="7"/>
  <c r="F120" i="7" s="1"/>
  <c r="E119" i="7"/>
  <c r="F119" i="7" s="1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F103" i="7"/>
  <c r="E103" i="7"/>
  <c r="F93" i="7"/>
  <c r="E93" i="7"/>
  <c r="D90" i="7"/>
  <c r="D95" i="7"/>
  <c r="C90" i="7"/>
  <c r="E89" i="7"/>
  <c r="F89" i="7" s="1"/>
  <c r="E88" i="7"/>
  <c r="F88" i="7" s="1"/>
  <c r="F87" i="7"/>
  <c r="E87" i="7"/>
  <c r="F86" i="7"/>
  <c r="E86" i="7"/>
  <c r="F85" i="7"/>
  <c r="E85" i="7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E73" i="7"/>
  <c r="F73" i="7" s="1"/>
  <c r="F72" i="7"/>
  <c r="E72" i="7"/>
  <c r="F71" i="7"/>
  <c r="E71" i="7"/>
  <c r="F70" i="7"/>
  <c r="E70" i="7"/>
  <c r="E69" i="7"/>
  <c r="F69" i="7" s="1"/>
  <c r="E68" i="7"/>
  <c r="F68" i="7" s="1"/>
  <c r="F67" i="7"/>
  <c r="E67" i="7"/>
  <c r="F66" i="7"/>
  <c r="E66" i="7"/>
  <c r="E65" i="7"/>
  <c r="F65" i="7" s="1"/>
  <c r="E64" i="7"/>
  <c r="F64" i="7" s="1"/>
  <c r="F63" i="7"/>
  <c r="E63" i="7"/>
  <c r="F62" i="7"/>
  <c r="E62" i="7"/>
  <c r="D59" i="7"/>
  <c r="E59" i="7"/>
  <c r="C59" i="7"/>
  <c r="F58" i="7"/>
  <c r="E58" i="7"/>
  <c r="F57" i="7"/>
  <c r="E57" i="7"/>
  <c r="E56" i="7"/>
  <c r="F56" i="7" s="1"/>
  <c r="F55" i="7"/>
  <c r="E55" i="7"/>
  <c r="F54" i="7"/>
  <c r="E54" i="7"/>
  <c r="F53" i="7"/>
  <c r="E53" i="7"/>
  <c r="E50" i="7"/>
  <c r="F50" i="7" s="1"/>
  <c r="F47" i="7"/>
  <c r="E47" i="7"/>
  <c r="F44" i="7"/>
  <c r="E44" i="7"/>
  <c r="D41" i="7"/>
  <c r="E41" i="7" s="1"/>
  <c r="C41" i="7"/>
  <c r="E40" i="7"/>
  <c r="F40" i="7" s="1"/>
  <c r="F39" i="7"/>
  <c r="E39" i="7"/>
  <c r="F38" i="7"/>
  <c r="E38" i="7"/>
  <c r="D35" i="7"/>
  <c r="C35" i="7"/>
  <c r="E35" i="7" s="1"/>
  <c r="F34" i="7"/>
  <c r="E34" i="7"/>
  <c r="F33" i="7"/>
  <c r="E33" i="7"/>
  <c r="D30" i="7"/>
  <c r="F30" i="7"/>
  <c r="C30" i="7"/>
  <c r="E30" i="7" s="1"/>
  <c r="F29" i="7"/>
  <c r="E29" i="7"/>
  <c r="F28" i="7"/>
  <c r="E28" i="7"/>
  <c r="F27" i="7"/>
  <c r="E27" i="7"/>
  <c r="D24" i="7"/>
  <c r="E24" i="7" s="1"/>
  <c r="F24" i="7" s="1"/>
  <c r="C24" i="7"/>
  <c r="F23" i="7"/>
  <c r="E23" i="7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F15" i="7"/>
  <c r="E15" i="7"/>
  <c r="D179" i="6"/>
  <c r="E179" i="6" s="1"/>
  <c r="C179" i="6"/>
  <c r="F178" i="6"/>
  <c r="E178" i="6"/>
  <c r="F177" i="6"/>
  <c r="E177" i="6"/>
  <c r="E176" i="6"/>
  <c r="F176" i="6" s="1"/>
  <c r="E175" i="6"/>
  <c r="F175" i="6" s="1"/>
  <c r="F174" i="6"/>
  <c r="E174" i="6"/>
  <c r="F173" i="6"/>
  <c r="E173" i="6"/>
  <c r="E172" i="6"/>
  <c r="F172" i="6" s="1"/>
  <c r="E171" i="6"/>
  <c r="F171" i="6" s="1"/>
  <c r="E170" i="6"/>
  <c r="F170" i="6" s="1"/>
  <c r="F169" i="6"/>
  <c r="E169" i="6"/>
  <c r="E168" i="6"/>
  <c r="F168" i="6" s="1"/>
  <c r="D166" i="6"/>
  <c r="F166" i="6"/>
  <c r="C166" i="6"/>
  <c r="E166" i="6" s="1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/>
  <c r="F153" i="6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F146" i="6"/>
  <c r="E146" i="6"/>
  <c r="E145" i="6"/>
  <c r="F145" i="6" s="1"/>
  <c r="E144" i="6"/>
  <c r="F144" i="6" s="1"/>
  <c r="E143" i="6"/>
  <c r="F143" i="6" s="1"/>
  <c r="E142" i="6"/>
  <c r="F142" i="6" s="1"/>
  <c r="D137" i="6"/>
  <c r="C137" i="6"/>
  <c r="F136" i="6"/>
  <c r="E136" i="6"/>
  <c r="F135" i="6"/>
  <c r="E135" i="6"/>
  <c r="F134" i="6"/>
  <c r="E134" i="6"/>
  <c r="E133" i="6"/>
  <c r="F133" i="6" s="1"/>
  <c r="F132" i="6"/>
  <c r="E132" i="6"/>
  <c r="E131" i="6"/>
  <c r="F131" i="6" s="1"/>
  <c r="E130" i="6"/>
  <c r="F130" i="6" s="1"/>
  <c r="E129" i="6"/>
  <c r="F129" i="6" s="1"/>
  <c r="F128" i="6"/>
  <c r="E128" i="6"/>
  <c r="E127" i="6"/>
  <c r="F127" i="6" s="1"/>
  <c r="F126" i="6"/>
  <c r="E126" i="6"/>
  <c r="D124" i="6"/>
  <c r="E124" i="6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E117" i="6"/>
  <c r="F117" i="6" s="1"/>
  <c r="E116" i="6"/>
  <c r="F116" i="6" s="1"/>
  <c r="E115" i="6"/>
  <c r="F115" i="6" s="1"/>
  <c r="F114" i="6"/>
  <c r="E114" i="6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F94" i="6"/>
  <c r="D94" i="6"/>
  <c r="E94" i="6" s="1"/>
  <c r="C94" i="6"/>
  <c r="D93" i="6"/>
  <c r="E93" i="6" s="1"/>
  <c r="C93" i="6"/>
  <c r="F93" i="6" s="1"/>
  <c r="D92" i="6"/>
  <c r="C92" i="6"/>
  <c r="D91" i="6"/>
  <c r="E91" i="6"/>
  <c r="C91" i="6"/>
  <c r="D90" i="6"/>
  <c r="E90" i="6" s="1"/>
  <c r="C90" i="6"/>
  <c r="D89" i="6"/>
  <c r="E89" i="6"/>
  <c r="C89" i="6"/>
  <c r="D88" i="6"/>
  <c r="E88" i="6"/>
  <c r="F88" i="6"/>
  <c r="C88" i="6"/>
  <c r="D87" i="6"/>
  <c r="E87" i="6"/>
  <c r="F87" i="6" s="1"/>
  <c r="C87" i="6"/>
  <c r="D86" i="6"/>
  <c r="C86" i="6"/>
  <c r="D85" i="6"/>
  <c r="E85" i="6"/>
  <c r="C85" i="6"/>
  <c r="D84" i="6"/>
  <c r="D95" i="6"/>
  <c r="C84" i="6"/>
  <c r="D81" i="6"/>
  <c r="E81" i="6" s="1"/>
  <c r="C81" i="6"/>
  <c r="F80" i="6"/>
  <c r="E80" i="6"/>
  <c r="F79" i="6"/>
  <c r="E79" i="6"/>
  <c r="F78" i="6"/>
  <c r="E78" i="6"/>
  <c r="E77" i="6"/>
  <c r="F77" i="6" s="1"/>
  <c r="E76" i="6"/>
  <c r="F76" i="6" s="1"/>
  <c r="F75" i="6"/>
  <c r="E75" i="6"/>
  <c r="F74" i="6"/>
  <c r="E74" i="6"/>
  <c r="E73" i="6"/>
  <c r="F73" i="6" s="1"/>
  <c r="F72" i="6"/>
  <c r="E72" i="6"/>
  <c r="F71" i="6"/>
  <c r="E71" i="6"/>
  <c r="F70" i="6"/>
  <c r="E70" i="6"/>
  <c r="D68" i="6"/>
  <c r="E68" i="6"/>
  <c r="F68" i="6" s="1"/>
  <c r="C68" i="6"/>
  <c r="F67" i="6"/>
  <c r="E67" i="6"/>
  <c r="F66" i="6"/>
  <c r="E66" i="6"/>
  <c r="E65" i="6"/>
  <c r="F65" i="6" s="1"/>
  <c r="F64" i="6"/>
  <c r="E64" i="6"/>
  <c r="F63" i="6"/>
  <c r="E63" i="6"/>
  <c r="F62" i="6"/>
  <c r="E62" i="6"/>
  <c r="E61" i="6"/>
  <c r="F61" i="6" s="1"/>
  <c r="E60" i="6"/>
  <c r="F60" i="6" s="1"/>
  <c r="F59" i="6"/>
  <c r="E59" i="6"/>
  <c r="F58" i="6"/>
  <c r="E58" i="6"/>
  <c r="E57" i="6"/>
  <c r="F57" i="6" s="1"/>
  <c r="F51" i="6"/>
  <c r="D51" i="6"/>
  <c r="E51" i="6"/>
  <c r="C51" i="6"/>
  <c r="D50" i="6"/>
  <c r="E50" i="6" s="1"/>
  <c r="C50" i="6"/>
  <c r="F50" i="6" s="1"/>
  <c r="D49" i="6"/>
  <c r="E49" i="6"/>
  <c r="F49" i="6" s="1"/>
  <c r="C49" i="6"/>
  <c r="D48" i="6"/>
  <c r="E48" i="6" s="1"/>
  <c r="C48" i="6"/>
  <c r="D47" i="6"/>
  <c r="E47" i="6" s="1"/>
  <c r="F47" i="6" s="1"/>
  <c r="C47" i="6"/>
  <c r="D46" i="6"/>
  <c r="C46" i="6"/>
  <c r="D45" i="6"/>
  <c r="E45" i="6" s="1"/>
  <c r="F45" i="6"/>
  <c r="C45" i="6"/>
  <c r="D44" i="6"/>
  <c r="E44" i="6" s="1"/>
  <c r="C44" i="6"/>
  <c r="D43" i="6"/>
  <c r="E43" i="6"/>
  <c r="F43" i="6"/>
  <c r="C43" i="6"/>
  <c r="D42" i="6"/>
  <c r="C42" i="6"/>
  <c r="D41" i="6"/>
  <c r="C41" i="6"/>
  <c r="D38" i="6"/>
  <c r="C38" i="6"/>
  <c r="F37" i="6"/>
  <c r="E37" i="6"/>
  <c r="F36" i="6"/>
  <c r="E36" i="6"/>
  <c r="E35" i="6"/>
  <c r="F35" i="6" s="1"/>
  <c r="E34" i="6"/>
  <c r="F34" i="6" s="1"/>
  <c r="F33" i="6"/>
  <c r="E33" i="6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5" i="6"/>
  <c r="E25" i="6" s="1"/>
  <c r="F25" i="6" s="1"/>
  <c r="C25" i="6"/>
  <c r="F24" i="6"/>
  <c r="E24" i="6"/>
  <c r="F23" i="6"/>
  <c r="E23" i="6"/>
  <c r="F22" i="6"/>
  <c r="E22" i="6"/>
  <c r="F21" i="6"/>
  <c r="E21" i="6"/>
  <c r="E20" i="6"/>
  <c r="F20" i="6" s="1"/>
  <c r="F19" i="6"/>
  <c r="E19" i="6"/>
  <c r="E18" i="6"/>
  <c r="F18" i="6" s="1"/>
  <c r="E17" i="6"/>
  <c r="F17" i="6" s="1"/>
  <c r="E16" i="6"/>
  <c r="F16" i="6" s="1"/>
  <c r="F15" i="6"/>
  <c r="E15" i="6"/>
  <c r="E14" i="6"/>
  <c r="F14" i="6" s="1"/>
  <c r="F51" i="5"/>
  <c r="E51" i="5"/>
  <c r="D48" i="5"/>
  <c r="E48" i="5" s="1"/>
  <c r="C48" i="5"/>
  <c r="F48" i="5" s="1"/>
  <c r="F47" i="5"/>
  <c r="E47" i="5"/>
  <c r="F46" i="5"/>
  <c r="E46" i="5"/>
  <c r="D41" i="5"/>
  <c r="E41" i="5"/>
  <c r="C41" i="5"/>
  <c r="F41" i="5" s="1"/>
  <c r="F40" i="5"/>
  <c r="E40" i="5"/>
  <c r="F39" i="5"/>
  <c r="E39" i="5"/>
  <c r="E38" i="5"/>
  <c r="F38" i="5" s="1"/>
  <c r="D33" i="5"/>
  <c r="C33" i="5"/>
  <c r="F32" i="5"/>
  <c r="E32" i="5"/>
  <c r="E31" i="5"/>
  <c r="F31" i="5" s="1"/>
  <c r="F30" i="5"/>
  <c r="E30" i="5"/>
  <c r="F29" i="5"/>
  <c r="E29" i="5"/>
  <c r="E28" i="5"/>
  <c r="F28" i="5" s="1"/>
  <c r="E27" i="5"/>
  <c r="F27" i="5" s="1"/>
  <c r="E26" i="5"/>
  <c r="F26" i="5" s="1"/>
  <c r="E25" i="5"/>
  <c r="F25" i="5" s="1"/>
  <c r="F24" i="5"/>
  <c r="E24" i="5"/>
  <c r="E20" i="5"/>
  <c r="F20" i="5" s="1"/>
  <c r="E19" i="5"/>
  <c r="F19" i="5" s="1"/>
  <c r="F17" i="5"/>
  <c r="E17" i="5"/>
  <c r="D16" i="5"/>
  <c r="D18" i="5"/>
  <c r="E18" i="5" s="1"/>
  <c r="F18" i="5" s="1"/>
  <c r="C16" i="5"/>
  <c r="C18" i="5"/>
  <c r="F15" i="5"/>
  <c r="E15" i="5"/>
  <c r="E14" i="5"/>
  <c r="F14" i="5" s="1"/>
  <c r="F13" i="5"/>
  <c r="E13" i="5"/>
  <c r="E12" i="5"/>
  <c r="F12" i="5" s="1"/>
  <c r="D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C61" i="4"/>
  <c r="C65" i="4" s="1"/>
  <c r="F60" i="4"/>
  <c r="E60" i="4"/>
  <c r="E59" i="4"/>
  <c r="F59" i="4" s="1"/>
  <c r="D56" i="4"/>
  <c r="D75" i="4" s="1"/>
  <c r="E75" i="4"/>
  <c r="C56" i="4"/>
  <c r="C75" i="4" s="1"/>
  <c r="F55" i="4"/>
  <c r="E55" i="4"/>
  <c r="E54" i="4"/>
  <c r="F54" i="4" s="1"/>
  <c r="E53" i="4"/>
  <c r="F53" i="4" s="1"/>
  <c r="E52" i="4"/>
  <c r="F52" i="4"/>
  <c r="F51" i="4"/>
  <c r="E51" i="4"/>
  <c r="A51" i="4"/>
  <c r="A52" i="4" s="1"/>
  <c r="A53" i="4" s="1"/>
  <c r="A54" i="4"/>
  <c r="A55" i="4"/>
  <c r="E50" i="4"/>
  <c r="F50" i="4"/>
  <c r="A50" i="4"/>
  <c r="F49" i="4"/>
  <c r="E49" i="4"/>
  <c r="E40" i="4"/>
  <c r="F40" i="4" s="1"/>
  <c r="D38" i="4"/>
  <c r="E38" i="4" s="1"/>
  <c r="F38" i="4" s="1"/>
  <c r="D41" i="4"/>
  <c r="E41" i="4" s="1"/>
  <c r="F41" i="4" s="1"/>
  <c r="C38" i="4"/>
  <c r="C41" i="4" s="1"/>
  <c r="F37" i="4"/>
  <c r="E37" i="4"/>
  <c r="E36" i="4"/>
  <c r="F36" i="4" s="1"/>
  <c r="F33" i="4"/>
  <c r="E33" i="4"/>
  <c r="F32" i="4"/>
  <c r="E32" i="4"/>
  <c r="F31" i="4"/>
  <c r="E31" i="4"/>
  <c r="D29" i="4"/>
  <c r="E29" i="4"/>
  <c r="F29" i="4" s="1"/>
  <c r="C29" i="4"/>
  <c r="F28" i="4"/>
  <c r="E28" i="4"/>
  <c r="F27" i="4"/>
  <c r="E27" i="4"/>
  <c r="F26" i="4"/>
  <c r="E26" i="4"/>
  <c r="F25" i="4"/>
  <c r="E25" i="4"/>
  <c r="D22" i="4"/>
  <c r="C22" i="4"/>
  <c r="C43" i="4" s="1"/>
  <c r="F21" i="4"/>
  <c r="E21" i="4"/>
  <c r="F20" i="4"/>
  <c r="E20" i="4"/>
  <c r="F19" i="4"/>
  <c r="E19" i="4"/>
  <c r="F18" i="4"/>
  <c r="E18" i="4"/>
  <c r="E17" i="4"/>
  <c r="F17" i="4" s="1"/>
  <c r="E16" i="4"/>
  <c r="F16" i="4" s="1"/>
  <c r="F15" i="4"/>
  <c r="E15" i="4"/>
  <c r="F14" i="4"/>
  <c r="E14" i="4"/>
  <c r="E13" i="4"/>
  <c r="F13" i="4" s="1"/>
  <c r="D108" i="22"/>
  <c r="D109" i="22"/>
  <c r="D22" i="22"/>
  <c r="C23" i="22"/>
  <c r="E23" i="22"/>
  <c r="D33" i="22"/>
  <c r="C34" i="22"/>
  <c r="E34" i="22"/>
  <c r="D101" i="22"/>
  <c r="E102" i="22"/>
  <c r="E103" i="22" s="1"/>
  <c r="C22" i="22"/>
  <c r="E22" i="22"/>
  <c r="E29" i="17"/>
  <c r="E36" i="17"/>
  <c r="D41" i="20"/>
  <c r="F43" i="20"/>
  <c r="F44" i="20"/>
  <c r="F45" i="20"/>
  <c r="E20" i="20"/>
  <c r="F20" i="20" s="1"/>
  <c r="E19" i="20"/>
  <c r="F19" i="20" s="1"/>
  <c r="C20" i="20"/>
  <c r="C39" i="20"/>
  <c r="E39" i="20" s="1"/>
  <c r="E43" i="20"/>
  <c r="E23" i="17"/>
  <c r="E36" i="18"/>
  <c r="D43" i="18"/>
  <c r="E67" i="17"/>
  <c r="F67" i="17" s="1"/>
  <c r="E21" i="18"/>
  <c r="C33" i="18"/>
  <c r="C65" i="18"/>
  <c r="C66" i="18" s="1"/>
  <c r="C71" i="18"/>
  <c r="D163" i="18"/>
  <c r="C175" i="18"/>
  <c r="C189" i="18"/>
  <c r="E188" i="18"/>
  <c r="D260" i="18"/>
  <c r="E260" i="18" s="1"/>
  <c r="D245" i="18"/>
  <c r="E221" i="18"/>
  <c r="C242" i="18"/>
  <c r="E242" i="18" s="1"/>
  <c r="E139" i="18"/>
  <c r="D144" i="18"/>
  <c r="C145" i="18"/>
  <c r="E261" i="18"/>
  <c r="C211" i="18"/>
  <c r="C181" i="18" s="1"/>
  <c r="C241" i="18"/>
  <c r="E218" i="18"/>
  <c r="C229" i="18"/>
  <c r="C252" i="18"/>
  <c r="D303" i="18"/>
  <c r="D306" i="18" s="1"/>
  <c r="E326" i="18"/>
  <c r="D330" i="18"/>
  <c r="E330" i="18"/>
  <c r="D222" i="18"/>
  <c r="E265" i="18"/>
  <c r="E324" i="18"/>
  <c r="E31" i="17"/>
  <c r="F31" i="17" s="1"/>
  <c r="D32" i="17"/>
  <c r="E48" i="17"/>
  <c r="F48" i="17" s="1"/>
  <c r="C32" i="17"/>
  <c r="C125" i="17"/>
  <c r="C90" i="17"/>
  <c r="D61" i="17"/>
  <c r="D103" i="17"/>
  <c r="D105" i="17" s="1"/>
  <c r="F17" i="17"/>
  <c r="D21" i="17"/>
  <c r="D49" i="17" s="1"/>
  <c r="F23" i="17"/>
  <c r="F24" i="17"/>
  <c r="F29" i="17"/>
  <c r="F36" i="17"/>
  <c r="F44" i="17"/>
  <c r="E101" i="17"/>
  <c r="F101" i="17"/>
  <c r="E110" i="17"/>
  <c r="F110" i="17"/>
  <c r="D207" i="17"/>
  <c r="D138" i="17"/>
  <c r="D173" i="17"/>
  <c r="E30" i="17"/>
  <c r="F30" i="17" s="1"/>
  <c r="E35" i="17"/>
  <c r="F35" i="17" s="1"/>
  <c r="C37" i="17"/>
  <c r="E47" i="17"/>
  <c r="F47" i="17" s="1"/>
  <c r="E59" i="17"/>
  <c r="F59" i="17"/>
  <c r="E76" i="17"/>
  <c r="F76" i="17"/>
  <c r="E109" i="17"/>
  <c r="F109" i="17" s="1"/>
  <c r="C111" i="17"/>
  <c r="E120" i="17"/>
  <c r="F120" i="17"/>
  <c r="E123" i="17"/>
  <c r="F123" i="17"/>
  <c r="C124" i="17"/>
  <c r="E129" i="17"/>
  <c r="F129" i="17"/>
  <c r="E130" i="17"/>
  <c r="F130" i="17"/>
  <c r="E135" i="17"/>
  <c r="F135" i="17" s="1"/>
  <c r="E136" i="17"/>
  <c r="E144" i="17"/>
  <c r="F144" i="17"/>
  <c r="E145" i="17"/>
  <c r="F145" i="17" s="1"/>
  <c r="C146" i="17"/>
  <c r="E155" i="17"/>
  <c r="C159" i="17"/>
  <c r="F159" i="17" s="1"/>
  <c r="E164" i="17"/>
  <c r="E165" i="17"/>
  <c r="E170" i="17"/>
  <c r="E171" i="17"/>
  <c r="C172" i="17"/>
  <c r="E179" i="17"/>
  <c r="E180" i="17"/>
  <c r="E188" i="17"/>
  <c r="E189" i="17"/>
  <c r="F189" i="17" s="1"/>
  <c r="E191" i="17"/>
  <c r="F191" i="17"/>
  <c r="C192" i="17"/>
  <c r="C193" i="17"/>
  <c r="E198" i="17"/>
  <c r="C199" i="17"/>
  <c r="E203" i="17"/>
  <c r="F203" i="17" s="1"/>
  <c r="E204" i="17"/>
  <c r="F204" i="17"/>
  <c r="C205" i="17"/>
  <c r="C206" i="17"/>
  <c r="C214" i="17"/>
  <c r="C215" i="17"/>
  <c r="E226" i="17"/>
  <c r="F226" i="17" s="1"/>
  <c r="E229" i="17"/>
  <c r="F229" i="17"/>
  <c r="C239" i="17"/>
  <c r="E250" i="17"/>
  <c r="F250" i="17"/>
  <c r="C267" i="17"/>
  <c r="C269" i="17"/>
  <c r="C277" i="17"/>
  <c r="C283" i="17"/>
  <c r="C285" i="17"/>
  <c r="E296" i="17"/>
  <c r="F296" i="17" s="1"/>
  <c r="D124" i="17"/>
  <c r="E124" i="17"/>
  <c r="D277" i="17"/>
  <c r="D261" i="17"/>
  <c r="D278" i="17"/>
  <c r="D262" i="17"/>
  <c r="D190" i="17"/>
  <c r="D280" i="17"/>
  <c r="D264" i="17"/>
  <c r="D290" i="17"/>
  <c r="E290" i="17"/>
  <c r="F290" i="17"/>
  <c r="D274" i="17"/>
  <c r="F198" i="17"/>
  <c r="D199" i="17"/>
  <c r="D200" i="17"/>
  <c r="D267" i="17"/>
  <c r="D269" i="17"/>
  <c r="E269" i="17"/>
  <c r="D215" i="17"/>
  <c r="E215" i="17" s="1"/>
  <c r="F215" i="17" s="1"/>
  <c r="E223" i="17"/>
  <c r="F223" i="17"/>
  <c r="C227" i="17"/>
  <c r="E230" i="17"/>
  <c r="F230" i="17" s="1"/>
  <c r="E238" i="17"/>
  <c r="F238" i="17"/>
  <c r="C254" i="17"/>
  <c r="C255" i="17"/>
  <c r="C262" i="17"/>
  <c r="C264" i="17"/>
  <c r="F264" i="17" s="1"/>
  <c r="C274" i="17"/>
  <c r="E298" i="17"/>
  <c r="C306" i="17"/>
  <c r="E295" i="17"/>
  <c r="F295" i="17" s="1"/>
  <c r="E297" i="17"/>
  <c r="E299" i="17"/>
  <c r="F299" i="17"/>
  <c r="F36" i="14"/>
  <c r="F38" i="14"/>
  <c r="F40" i="14"/>
  <c r="I17" i="14"/>
  <c r="D31" i="14"/>
  <c r="F31" i="14"/>
  <c r="E33" i="14"/>
  <c r="E36" i="14" s="1"/>
  <c r="E38" i="14" s="1"/>
  <c r="E40" i="14" s="1"/>
  <c r="H17" i="14"/>
  <c r="C21" i="13"/>
  <c r="E21" i="13"/>
  <c r="C15" i="13"/>
  <c r="C24" i="13" s="1"/>
  <c r="E15" i="13"/>
  <c r="E24" i="13" s="1"/>
  <c r="E20" i="13" s="1"/>
  <c r="E48" i="13"/>
  <c r="E42" i="13" s="1"/>
  <c r="D20" i="12"/>
  <c r="E43" i="11"/>
  <c r="F43" i="11"/>
  <c r="E41" i="11"/>
  <c r="F41" i="11"/>
  <c r="E65" i="11"/>
  <c r="F65" i="11"/>
  <c r="E38" i="11"/>
  <c r="F38" i="11"/>
  <c r="E56" i="11"/>
  <c r="E61" i="11"/>
  <c r="F61" i="11"/>
  <c r="F121" i="10"/>
  <c r="E112" i="10"/>
  <c r="F112" i="10"/>
  <c r="E113" i="10"/>
  <c r="F113" i="10" s="1"/>
  <c r="E76" i="9"/>
  <c r="F76" i="9" s="1"/>
  <c r="E89" i="9"/>
  <c r="F101" i="9"/>
  <c r="E101" i="9"/>
  <c r="E127" i="9"/>
  <c r="F127" i="9" s="1"/>
  <c r="E154" i="9"/>
  <c r="E167" i="9"/>
  <c r="E180" i="9"/>
  <c r="E193" i="9"/>
  <c r="F199" i="9"/>
  <c r="E199" i="9"/>
  <c r="E201" i="9"/>
  <c r="F201" i="9" s="1"/>
  <c r="F203" i="9"/>
  <c r="E205" i="9"/>
  <c r="F205" i="9" s="1"/>
  <c r="C208" i="9"/>
  <c r="E50" i="9"/>
  <c r="F50" i="9" s="1"/>
  <c r="E63" i="9"/>
  <c r="E88" i="9"/>
  <c r="F102" i="9"/>
  <c r="E102" i="9"/>
  <c r="E114" i="9"/>
  <c r="F114" i="9" s="1"/>
  <c r="F128" i="9"/>
  <c r="E128" i="9"/>
  <c r="E140" i="9"/>
  <c r="F140" i="9" s="1"/>
  <c r="E153" i="9"/>
  <c r="E166" i="9"/>
  <c r="E179" i="9"/>
  <c r="E192" i="9"/>
  <c r="F200" i="9"/>
  <c r="E200" i="9"/>
  <c r="E202" i="9"/>
  <c r="E204" i="9"/>
  <c r="E206" i="9"/>
  <c r="F206" i="9" s="1"/>
  <c r="C21" i="8"/>
  <c r="C154" i="8"/>
  <c r="C152" i="8"/>
  <c r="C157" i="8"/>
  <c r="C155" i="8"/>
  <c r="D15" i="8"/>
  <c r="C24" i="8"/>
  <c r="C17" i="8"/>
  <c r="C43" i="8"/>
  <c r="E53" i="8"/>
  <c r="E43" i="8"/>
  <c r="E57" i="8"/>
  <c r="E62" i="8"/>
  <c r="D88" i="8"/>
  <c r="D90" i="8"/>
  <c r="D86" i="8"/>
  <c r="D77" i="8"/>
  <c r="D71" i="8"/>
  <c r="D109" i="8"/>
  <c r="D106" i="8"/>
  <c r="D135" i="8"/>
  <c r="D155" i="8"/>
  <c r="E183" i="7"/>
  <c r="F183" i="7" s="1"/>
  <c r="F179" i="6"/>
  <c r="E41" i="6"/>
  <c r="F41" i="6"/>
  <c r="E84" i="6"/>
  <c r="F84" i="6" s="1"/>
  <c r="C21" i="5"/>
  <c r="D21" i="5"/>
  <c r="D35" i="5" s="1"/>
  <c r="E16" i="5"/>
  <c r="F16" i="5"/>
  <c r="E22" i="4"/>
  <c r="F22" i="4"/>
  <c r="E56" i="4"/>
  <c r="F56" i="4"/>
  <c r="E61" i="4"/>
  <c r="F61" i="4"/>
  <c r="E53" i="22"/>
  <c r="E45" i="22"/>
  <c r="E39" i="22"/>
  <c r="E35" i="22"/>
  <c r="E29" i="22"/>
  <c r="C54" i="22"/>
  <c r="C46" i="22"/>
  <c r="C40" i="22"/>
  <c r="C36" i="22"/>
  <c r="C30" i="22"/>
  <c r="C53" i="22"/>
  <c r="C45" i="22"/>
  <c r="C39" i="22"/>
  <c r="C35" i="22"/>
  <c r="C29" i="22"/>
  <c r="E46" i="22"/>
  <c r="D110" i="22"/>
  <c r="D53" i="22"/>
  <c r="D45" i="22"/>
  <c r="D39" i="22"/>
  <c r="D35" i="22"/>
  <c r="D29" i="22"/>
  <c r="F39" i="20"/>
  <c r="C295" i="18"/>
  <c r="C294" i="18"/>
  <c r="C76" i="18"/>
  <c r="E278" i="17"/>
  <c r="F278" i="17" s="1"/>
  <c r="C216" i="17"/>
  <c r="C304" i="17"/>
  <c r="C300" i="17"/>
  <c r="E199" i="17"/>
  <c r="F199" i="17" s="1"/>
  <c r="E274" i="17"/>
  <c r="F274" i="17" s="1"/>
  <c r="D300" i="17"/>
  <c r="E300" i="17"/>
  <c r="E264" i="17"/>
  <c r="C284" i="17"/>
  <c r="F124" i="17"/>
  <c r="F111" i="17"/>
  <c r="C160" i="17"/>
  <c r="E37" i="17"/>
  <c r="F37" i="17" s="1"/>
  <c r="E306" i="17"/>
  <c r="E267" i="17"/>
  <c r="C194" i="17"/>
  <c r="F137" i="17"/>
  <c r="C138" i="17"/>
  <c r="E138" i="17"/>
  <c r="D126" i="17"/>
  <c r="D174" i="17"/>
  <c r="D139" i="17"/>
  <c r="D104" i="17"/>
  <c r="D125" i="17"/>
  <c r="E125" i="17"/>
  <c r="F125" i="17"/>
  <c r="E32" i="17"/>
  <c r="F32" i="17" s="1"/>
  <c r="D62" i="17"/>
  <c r="C20" i="13"/>
  <c r="C17" i="13"/>
  <c r="C28" i="13" s="1"/>
  <c r="E17" i="13"/>
  <c r="E28" i="13" s="1"/>
  <c r="E70" i="13" s="1"/>
  <c r="E72" i="13" s="1"/>
  <c r="D34" i="12"/>
  <c r="E208" i="9"/>
  <c r="D24" i="8"/>
  <c r="D17" i="8"/>
  <c r="D112" i="22"/>
  <c r="D55" i="22"/>
  <c r="D47" i="22"/>
  <c r="D37" i="22"/>
  <c r="C38" i="22"/>
  <c r="C55" i="22"/>
  <c r="C47" i="22"/>
  <c r="C37" i="22"/>
  <c r="E55" i="22"/>
  <c r="E47" i="22"/>
  <c r="E37" i="22"/>
  <c r="C77" i="18"/>
  <c r="D310" i="18"/>
  <c r="D63" i="17"/>
  <c r="D50" i="17"/>
  <c r="C195" i="17"/>
  <c r="E69" i="13"/>
  <c r="E22" i="13"/>
  <c r="D112" i="8"/>
  <c r="D111" i="8" s="1"/>
  <c r="D28" i="8"/>
  <c r="D99" i="8" s="1"/>
  <c r="D101" i="8" s="1"/>
  <c r="D98" i="8" s="1"/>
  <c r="D43" i="5"/>
  <c r="C113" i="18"/>
  <c r="C126" i="18"/>
  <c r="C22" i="13" l="1"/>
  <c r="C70" i="13"/>
  <c r="C72" i="13" s="1"/>
  <c r="C69" i="13" s="1"/>
  <c r="E155" i="8"/>
  <c r="E153" i="8"/>
  <c r="E152" i="8"/>
  <c r="E158" i="8" s="1"/>
  <c r="E157" i="8"/>
  <c r="E156" i="8"/>
  <c r="E154" i="8"/>
  <c r="C98" i="8"/>
  <c r="D168" i="18"/>
  <c r="D145" i="18"/>
  <c r="F42" i="6"/>
  <c r="C123" i="18"/>
  <c r="C124" i="18"/>
  <c r="C115" i="18"/>
  <c r="C121" i="18"/>
  <c r="C109" i="18"/>
  <c r="C127" i="18"/>
  <c r="C111" i="18"/>
  <c r="C110" i="18"/>
  <c r="C116" i="18" s="1"/>
  <c r="E262" i="17"/>
  <c r="D272" i="17"/>
  <c r="E272" i="17" s="1"/>
  <c r="E43" i="18"/>
  <c r="E17" i="8"/>
  <c r="E24" i="8"/>
  <c r="E20" i="8" s="1"/>
  <c r="C138" i="8"/>
  <c r="C139" i="8"/>
  <c r="C137" i="8"/>
  <c r="C135" i="8"/>
  <c r="C136" i="8"/>
  <c r="C55" i="18"/>
  <c r="C283" i="18"/>
  <c r="C234" i="18"/>
  <c r="E54" i="18"/>
  <c r="C125" i="18"/>
  <c r="D42" i="12"/>
  <c r="F138" i="17"/>
  <c r="C140" i="17"/>
  <c r="F172" i="17"/>
  <c r="C173" i="17"/>
  <c r="E172" i="17"/>
  <c r="C52" i="6"/>
  <c r="E95" i="6"/>
  <c r="C95" i="7"/>
  <c r="E90" i="7"/>
  <c r="F90" i="7"/>
  <c r="D157" i="8"/>
  <c r="D153" i="8"/>
  <c r="D156" i="8"/>
  <c r="F53" i="17"/>
  <c r="C139" i="17"/>
  <c r="D244" i="18"/>
  <c r="E244" i="18" s="1"/>
  <c r="E220" i="18"/>
  <c r="C122" i="18"/>
  <c r="C128" i="18" s="1"/>
  <c r="C207" i="17"/>
  <c r="C56" i="22"/>
  <c r="E140" i="8"/>
  <c r="D271" i="17"/>
  <c r="D270" i="17"/>
  <c r="E111" i="22"/>
  <c r="E40" i="22"/>
  <c r="E36" i="22"/>
  <c r="E54" i="22"/>
  <c r="C35" i="5"/>
  <c r="E35" i="5" s="1"/>
  <c r="E95" i="7"/>
  <c r="D22" i="8"/>
  <c r="D20" i="8"/>
  <c r="D21" i="8"/>
  <c r="F141" i="9"/>
  <c r="C44" i="18"/>
  <c r="C259" i="18"/>
  <c r="C263" i="18" s="1"/>
  <c r="C156" i="18"/>
  <c r="C163" i="18"/>
  <c r="E163" i="18" s="1"/>
  <c r="E151" i="18"/>
  <c r="C48" i="22"/>
  <c r="F300" i="17"/>
  <c r="E144" i="18"/>
  <c r="E30" i="22"/>
  <c r="E141" i="9"/>
  <c r="D106" i="17"/>
  <c r="F49" i="9"/>
  <c r="D127" i="17"/>
  <c r="C286" i="17"/>
  <c r="C288" i="17"/>
  <c r="D50" i="5"/>
  <c r="E222" i="18"/>
  <c r="E188" i="7"/>
  <c r="E138" i="8"/>
  <c r="E136" i="8"/>
  <c r="E137" i="8"/>
  <c r="E135" i="8"/>
  <c r="E108" i="22"/>
  <c r="E109" i="22"/>
  <c r="E110" i="22"/>
  <c r="C112" i="18"/>
  <c r="F262" i="17"/>
  <c r="C272" i="17"/>
  <c r="C20" i="8"/>
  <c r="D137" i="8"/>
  <c r="D138" i="8"/>
  <c r="D136" i="8"/>
  <c r="D141" i="8" s="1"/>
  <c r="D140" i="8"/>
  <c r="D139" i="8"/>
  <c r="F20" i="17"/>
  <c r="C282" i="17"/>
  <c r="C21" i="17"/>
  <c r="C266" i="17"/>
  <c r="F33" i="20"/>
  <c r="E36" i="20"/>
  <c r="D54" i="22"/>
  <c r="D30" i="22"/>
  <c r="D36" i="22"/>
  <c r="D111" i="22"/>
  <c r="D46" i="22"/>
  <c r="C22" i="8"/>
  <c r="D263" i="17"/>
  <c r="D152" i="8"/>
  <c r="D44" i="18"/>
  <c r="F46" i="6"/>
  <c r="C57" i="8"/>
  <c r="C62" i="8" s="1"/>
  <c r="C49" i="8"/>
  <c r="C17" i="12"/>
  <c r="E15" i="12"/>
  <c r="E32" i="12"/>
  <c r="F32" i="12" s="1"/>
  <c r="E40" i="12"/>
  <c r="F40" i="12"/>
  <c r="D175" i="18"/>
  <c r="E175" i="18" s="1"/>
  <c r="D229" i="18"/>
  <c r="E229" i="18" s="1"/>
  <c r="D210" i="18"/>
  <c r="E205" i="18"/>
  <c r="E219" i="18"/>
  <c r="D243" i="18"/>
  <c r="D217" i="18"/>
  <c r="D316" i="18"/>
  <c r="E314" i="18"/>
  <c r="C37" i="19"/>
  <c r="C38" i="19" s="1"/>
  <c r="C127" i="19" s="1"/>
  <c r="C129" i="19" s="1"/>
  <c r="C133" i="19" s="1"/>
  <c r="C22" i="19"/>
  <c r="C114" i="18"/>
  <c r="D255" i="17"/>
  <c r="E255" i="17" s="1"/>
  <c r="F255" i="17" s="1"/>
  <c r="D223" i="18"/>
  <c r="F21" i="5"/>
  <c r="D154" i="8"/>
  <c r="F208" i="9"/>
  <c r="F15" i="12"/>
  <c r="D279" i="17"/>
  <c r="E279" i="17" s="1"/>
  <c r="E277" i="17"/>
  <c r="F277" i="17" s="1"/>
  <c r="C270" i="17"/>
  <c r="F267" i="17"/>
  <c r="F75" i="4"/>
  <c r="E70" i="15"/>
  <c r="F70" i="15" s="1"/>
  <c r="D70" i="17"/>
  <c r="E173" i="17"/>
  <c r="D209" i="17"/>
  <c r="E61" i="17"/>
  <c r="F61" i="17" s="1"/>
  <c r="E42" i="6"/>
  <c r="E77" i="8"/>
  <c r="E71" i="8" s="1"/>
  <c r="E88" i="8"/>
  <c r="E90" i="8" s="1"/>
  <c r="E86" i="8" s="1"/>
  <c r="D207" i="9"/>
  <c r="E207" i="9" s="1"/>
  <c r="F207" i="9" s="1"/>
  <c r="E198" i="9"/>
  <c r="F198" i="9" s="1"/>
  <c r="F202" i="9"/>
  <c r="E55" i="15"/>
  <c r="E21" i="16"/>
  <c r="F21" i="16" s="1"/>
  <c r="E66" i="17"/>
  <c r="F66" i="17" s="1"/>
  <c r="D68" i="17"/>
  <c r="E68" i="17" s="1"/>
  <c r="F68" i="17" s="1"/>
  <c r="C280" i="17"/>
  <c r="C200" i="17"/>
  <c r="E227" i="17"/>
  <c r="F227" i="17" s="1"/>
  <c r="D283" i="18"/>
  <c r="D22" i="18"/>
  <c r="D210" i="17"/>
  <c r="C153" i="8"/>
  <c r="C158" i="8" s="1"/>
  <c r="D175" i="17"/>
  <c r="D140" i="17"/>
  <c r="D43" i="4"/>
  <c r="E43" i="4" s="1"/>
  <c r="F43" i="4" s="1"/>
  <c r="F86" i="6"/>
  <c r="F59" i="7"/>
  <c r="F62" i="9"/>
  <c r="E62" i="9"/>
  <c r="F13" i="16"/>
  <c r="F180" i="17"/>
  <c r="C181" i="17"/>
  <c r="F181" i="17" s="1"/>
  <c r="D33" i="18"/>
  <c r="E32" i="18"/>
  <c r="C240" i="18"/>
  <c r="C253" i="18" s="1"/>
  <c r="C222" i="18"/>
  <c r="E216" i="18"/>
  <c r="E292" i="18"/>
  <c r="C65" i="19"/>
  <c r="C114" i="19" s="1"/>
  <c r="C116" i="19" s="1"/>
  <c r="C119" i="19" s="1"/>
  <c r="C123" i="19" s="1"/>
  <c r="F23" i="20"/>
  <c r="E25" i="20"/>
  <c r="F25" i="20" s="1"/>
  <c r="C287" i="17"/>
  <c r="C279" i="17"/>
  <c r="E33" i="5"/>
  <c r="F33" i="5" s="1"/>
  <c r="F90" i="6"/>
  <c r="E92" i="6"/>
  <c r="F92" i="6" s="1"/>
  <c r="F111" i="6"/>
  <c r="E85" i="17"/>
  <c r="F85" i="17" s="1"/>
  <c r="D89" i="17"/>
  <c r="E88" i="17"/>
  <c r="F88" i="17" s="1"/>
  <c r="E146" i="17"/>
  <c r="F146" i="17" s="1"/>
  <c r="D159" i="17"/>
  <c r="D192" i="17"/>
  <c r="E158" i="17"/>
  <c r="D239" i="17"/>
  <c r="E239" i="17" s="1"/>
  <c r="F239" i="17" s="1"/>
  <c r="E237" i="17"/>
  <c r="F237" i="17" s="1"/>
  <c r="E41" i="18"/>
  <c r="D71" i="18"/>
  <c r="E71" i="18" s="1"/>
  <c r="D289" i="18"/>
  <c r="E289" i="18" s="1"/>
  <c r="D65" i="18"/>
  <c r="D294" i="18" s="1"/>
  <c r="E294" i="18" s="1"/>
  <c r="E60" i="18"/>
  <c r="D253" i="18"/>
  <c r="E253" i="18" s="1"/>
  <c r="C28" i="8"/>
  <c r="C99" i="8" s="1"/>
  <c r="C101" i="8" s="1"/>
  <c r="C112" i="8"/>
  <c r="C111" i="8" s="1"/>
  <c r="E22" i="11"/>
  <c r="F22" i="11" s="1"/>
  <c r="D285" i="17"/>
  <c r="D268" i="17"/>
  <c r="F269" i="17"/>
  <c r="E233" i="18"/>
  <c r="D103" i="22"/>
  <c r="D52" i="6"/>
  <c r="E52" i="6" s="1"/>
  <c r="F85" i="6"/>
  <c r="D283" i="17"/>
  <c r="D205" i="17"/>
  <c r="E205" i="17" s="1"/>
  <c r="F205" i="17" s="1"/>
  <c r="D206" i="17"/>
  <c r="E206" i="17" s="1"/>
  <c r="F206" i="17" s="1"/>
  <c r="D214" i="17"/>
  <c r="E70" i="18"/>
  <c r="F130" i="7"/>
  <c r="D53" i="8"/>
  <c r="D43" i="8"/>
  <c r="C303" i="18"/>
  <c r="E21" i="5"/>
  <c r="C62" i="17"/>
  <c r="D49" i="8"/>
  <c r="E49" i="9"/>
  <c r="F294" i="17"/>
  <c r="C103" i="17"/>
  <c r="C254" i="18"/>
  <c r="E53" i="17"/>
  <c r="E65" i="4"/>
  <c r="F65" i="4" s="1"/>
  <c r="F44" i="6"/>
  <c r="E111" i="6"/>
  <c r="E137" i="6"/>
  <c r="F137" i="6" s="1"/>
  <c r="F35" i="7"/>
  <c r="E36" i="10"/>
  <c r="F36" i="10" s="1"/>
  <c r="F107" i="10"/>
  <c r="D25" i="13"/>
  <c r="D27" i="13" s="1"/>
  <c r="D15" i="13"/>
  <c r="C31" i="14"/>
  <c r="H31" i="14" s="1"/>
  <c r="C33" i="14"/>
  <c r="G31" i="14"/>
  <c r="I31" i="14" s="1"/>
  <c r="G33" i="14"/>
  <c r="C261" i="17"/>
  <c r="C190" i="17"/>
  <c r="F188" i="17"/>
  <c r="E301" i="18"/>
  <c r="C188" i="7"/>
  <c r="E39" i="18"/>
  <c r="C77" i="22"/>
  <c r="C102" i="22"/>
  <c r="C103" i="22" s="1"/>
  <c r="F136" i="17"/>
  <c r="E102" i="17"/>
  <c r="F102" i="17" s="1"/>
  <c r="C95" i="6"/>
  <c r="E86" i="6"/>
  <c r="F89" i="6"/>
  <c r="F204" i="9"/>
  <c r="C75" i="11"/>
  <c r="F56" i="11"/>
  <c r="C59" i="13"/>
  <c r="C61" i="13" s="1"/>
  <c r="C57" i="13" s="1"/>
  <c r="C48" i="13"/>
  <c r="C42" i="13" s="1"/>
  <c r="E30" i="15"/>
  <c r="F30" i="15"/>
  <c r="F17" i="16"/>
  <c r="D90" i="17"/>
  <c r="E90" i="17" s="1"/>
  <c r="F90" i="17" s="1"/>
  <c r="E60" i="17"/>
  <c r="F60" i="17" s="1"/>
  <c r="E215" i="18"/>
  <c r="D239" i="18"/>
  <c r="E239" i="18" s="1"/>
  <c r="E73" i="4"/>
  <c r="F73" i="4" s="1"/>
  <c r="E46" i="6"/>
  <c r="F91" i="6"/>
  <c r="E79" i="8"/>
  <c r="E107" i="10"/>
  <c r="E77" i="17"/>
  <c r="C168" i="18"/>
  <c r="F36" i="20"/>
  <c r="C40" i="20"/>
  <c r="E21" i="21"/>
  <c r="F21" i="21"/>
  <c r="D102" i="22"/>
  <c r="E46" i="20"/>
  <c r="F46" i="20" s="1"/>
  <c r="E38" i="6"/>
  <c r="F38" i="6" s="1"/>
  <c r="F48" i="6"/>
  <c r="F81" i="6"/>
  <c r="F124" i="6"/>
  <c r="F41" i="7"/>
  <c r="C88" i="8"/>
  <c r="C90" i="8" s="1"/>
  <c r="C86" i="8" s="1"/>
  <c r="C77" i="8"/>
  <c r="C71" i="8" s="1"/>
  <c r="F23" i="15"/>
  <c r="E50" i="15"/>
  <c r="E60" i="15"/>
  <c r="F60" i="15" s="1"/>
  <c r="E281" i="18"/>
  <c r="F19" i="21"/>
  <c r="E37" i="18"/>
  <c r="E94" i="17"/>
  <c r="F94" i="17" s="1"/>
  <c r="E302" i="18"/>
  <c r="E278" i="18"/>
  <c r="D59" i="13"/>
  <c r="D61" i="13" s="1"/>
  <c r="D57" i="13" s="1"/>
  <c r="F37" i="15"/>
  <c r="E45" i="15"/>
  <c r="E65" i="15"/>
  <c r="F65" i="15" s="1"/>
  <c r="E92" i="15"/>
  <c r="F92" i="15" s="1"/>
  <c r="F107" i="15"/>
  <c r="D211" i="18" l="1"/>
  <c r="D234" i="18"/>
  <c r="E234" i="18" s="1"/>
  <c r="E210" i="18"/>
  <c r="D180" i="18"/>
  <c r="E180" i="18" s="1"/>
  <c r="D148" i="17"/>
  <c r="C268" i="17"/>
  <c r="C263" i="17"/>
  <c r="E261" i="17"/>
  <c r="C271" i="17"/>
  <c r="F261" i="17"/>
  <c r="E263" i="17"/>
  <c r="C141" i="17"/>
  <c r="E145" i="18"/>
  <c r="D169" i="18"/>
  <c r="D181" i="18"/>
  <c r="E181" i="18" s="1"/>
  <c r="I33" i="14"/>
  <c r="I36" i="14" s="1"/>
  <c r="I38" i="14" s="1"/>
  <c r="I40" i="14" s="1"/>
  <c r="G36" i="14"/>
  <c r="G38" i="14" s="1"/>
  <c r="G40" i="14" s="1"/>
  <c r="E28" i="8"/>
  <c r="E112" i="8"/>
  <c r="E111" i="8" s="1"/>
  <c r="C108" i="22"/>
  <c r="C110" i="22"/>
  <c r="C112" i="22"/>
  <c r="C111" i="22"/>
  <c r="C109" i="22"/>
  <c r="E192" i="17"/>
  <c r="F192" i="17" s="1"/>
  <c r="D193" i="17"/>
  <c r="E280" i="17"/>
  <c r="F280" i="17" s="1"/>
  <c r="C281" i="17"/>
  <c r="D24" i="13"/>
  <c r="D17" i="13"/>
  <c r="D28" i="13" s="1"/>
  <c r="D70" i="13" s="1"/>
  <c r="D72" i="13" s="1"/>
  <c r="D69" i="13" s="1"/>
  <c r="F279" i="17"/>
  <c r="E22" i="18"/>
  <c r="D284" i="18"/>
  <c r="E284" i="18" s="1"/>
  <c r="E240" i="18"/>
  <c r="D158" i="8"/>
  <c r="D246" i="18"/>
  <c r="E246" i="18" s="1"/>
  <c r="F95" i="6"/>
  <c r="D20" i="13"/>
  <c r="D22" i="13"/>
  <c r="D21" i="13"/>
  <c r="D76" i="18"/>
  <c r="E89" i="17"/>
  <c r="F89" i="17" s="1"/>
  <c r="D91" i="17"/>
  <c r="C291" i="17"/>
  <c r="C289" i="17"/>
  <c r="E283" i="18"/>
  <c r="D56" i="22"/>
  <c r="D38" i="22"/>
  <c r="D48" i="22"/>
  <c r="D113" i="22"/>
  <c r="F272" i="17"/>
  <c r="C113" i="22"/>
  <c r="C175" i="17"/>
  <c r="C174" i="17"/>
  <c r="F173" i="17"/>
  <c r="E40" i="20"/>
  <c r="E41" i="20" s="1"/>
  <c r="C41" i="20"/>
  <c r="C306" i="18"/>
  <c r="E303" i="18"/>
  <c r="E17" i="12"/>
  <c r="F17" i="12"/>
  <c r="C20" i="12"/>
  <c r="E207" i="17"/>
  <c r="F207" i="17" s="1"/>
  <c r="C208" i="17"/>
  <c r="E103" i="17"/>
  <c r="F103" i="17" s="1"/>
  <c r="C104" i="17"/>
  <c r="D254" i="17"/>
  <c r="D216" i="17"/>
  <c r="E216" i="17" s="1"/>
  <c r="F216" i="17" s="1"/>
  <c r="E214" i="17"/>
  <c r="F214" i="17" s="1"/>
  <c r="E33" i="18"/>
  <c r="D141" i="17"/>
  <c r="E140" i="17"/>
  <c r="F140" i="17" s="1"/>
  <c r="E316" i="18"/>
  <c r="D320" i="18"/>
  <c r="E320" i="18" s="1"/>
  <c r="E168" i="18"/>
  <c r="D176" i="17"/>
  <c r="E175" i="17"/>
  <c r="E217" i="18"/>
  <c r="D241" i="18"/>
  <c r="E241" i="18" s="1"/>
  <c r="C265" i="17"/>
  <c r="F35" i="5"/>
  <c r="C43" i="5"/>
  <c r="F95" i="7"/>
  <c r="C36" i="14"/>
  <c r="C38" i="14" s="1"/>
  <c r="C40" i="14" s="1"/>
  <c r="H33" i="14"/>
  <c r="H36" i="14" s="1"/>
  <c r="H38" i="14" s="1"/>
  <c r="H40" i="14" s="1"/>
  <c r="D286" i="17"/>
  <c r="E286" i="17" s="1"/>
  <c r="E283" i="17"/>
  <c r="F283" i="17" s="1"/>
  <c r="D284" i="17"/>
  <c r="E284" i="17" s="1"/>
  <c r="F284" i="17" s="1"/>
  <c r="E285" i="17"/>
  <c r="F285" i="17" s="1"/>
  <c r="D288" i="17"/>
  <c r="E288" i="17" s="1"/>
  <c r="D66" i="18"/>
  <c r="E66" i="18" s="1"/>
  <c r="E65" i="18"/>
  <c r="D160" i="17"/>
  <c r="E160" i="17" s="1"/>
  <c r="F160" i="17" s="1"/>
  <c r="D161" i="17"/>
  <c r="E159" i="17"/>
  <c r="E181" i="17"/>
  <c r="D287" i="17"/>
  <c r="D252" i="18"/>
  <c r="E243" i="18"/>
  <c r="D97" i="18"/>
  <c r="D98" i="18"/>
  <c r="E98" i="18" s="1"/>
  <c r="D85" i="18"/>
  <c r="E85" i="18" s="1"/>
  <c r="D86" i="18"/>
  <c r="E86" i="18" s="1"/>
  <c r="D89" i="18"/>
  <c r="D84" i="18"/>
  <c r="D258" i="18"/>
  <c r="E44" i="18"/>
  <c r="D95" i="18"/>
  <c r="D99" i="18"/>
  <c r="D96" i="18"/>
  <c r="D83" i="18"/>
  <c r="D100" i="18"/>
  <c r="D88" i="18"/>
  <c r="D101" i="18"/>
  <c r="D87" i="18"/>
  <c r="C161" i="17"/>
  <c r="C126" i="17"/>
  <c r="E21" i="17"/>
  <c r="F21" i="17" s="1"/>
  <c r="C196" i="17"/>
  <c r="C49" i="17"/>
  <c r="C91" i="17"/>
  <c r="F288" i="17"/>
  <c r="E271" i="17"/>
  <c r="D304" i="17"/>
  <c r="D273" i="17"/>
  <c r="F139" i="17"/>
  <c r="E139" i="17"/>
  <c r="D49" i="12"/>
  <c r="C129" i="18"/>
  <c r="E200" i="17"/>
  <c r="F200" i="17"/>
  <c r="E75" i="11"/>
  <c r="F75" i="11" s="1"/>
  <c r="C157" i="18"/>
  <c r="E156" i="18"/>
  <c r="E270" i="17"/>
  <c r="F270" i="17" s="1"/>
  <c r="E55" i="18"/>
  <c r="C235" i="18"/>
  <c r="C284" i="18"/>
  <c r="C117" i="18"/>
  <c r="E190" i="17"/>
  <c r="F190" i="17" s="1"/>
  <c r="F188" i="7"/>
  <c r="E62" i="17"/>
  <c r="F62" i="17" s="1"/>
  <c r="C63" i="17"/>
  <c r="C223" i="18"/>
  <c r="C247" i="18" s="1"/>
  <c r="C246" i="18"/>
  <c r="D211" i="17"/>
  <c r="C105" i="17"/>
  <c r="E141" i="8"/>
  <c r="F286" i="17"/>
  <c r="E48" i="22"/>
  <c r="E38" i="22"/>
  <c r="E113" i="22"/>
  <c r="E56" i="22"/>
  <c r="C95" i="18"/>
  <c r="C89" i="18"/>
  <c r="C88" i="18"/>
  <c r="C87" i="18"/>
  <c r="C101" i="18"/>
  <c r="C96" i="18"/>
  <c r="C100" i="18"/>
  <c r="C85" i="18"/>
  <c r="C258" i="18"/>
  <c r="C83" i="18"/>
  <c r="C97" i="18"/>
  <c r="C86" i="18"/>
  <c r="C99" i="18"/>
  <c r="C98" i="18"/>
  <c r="C84" i="18"/>
  <c r="F52" i="6"/>
  <c r="C141" i="8"/>
  <c r="E83" i="18" l="1"/>
  <c r="C322" i="17"/>
  <c r="C211" i="17"/>
  <c r="E273" i="17"/>
  <c r="E96" i="18"/>
  <c r="D102" i="18"/>
  <c r="C34" i="12"/>
  <c r="E20" i="12"/>
  <c r="F20" i="12"/>
  <c r="E193" i="17"/>
  <c r="F193" i="17" s="1"/>
  <c r="D194" i="17"/>
  <c r="D266" i="17"/>
  <c r="D282" i="17"/>
  <c r="E99" i="18"/>
  <c r="E254" i="17"/>
  <c r="F254" i="17" s="1"/>
  <c r="C91" i="18"/>
  <c r="C105" i="18" s="1"/>
  <c r="E95" i="18"/>
  <c r="D103" i="18"/>
  <c r="E103" i="18" s="1"/>
  <c r="F174" i="17"/>
  <c r="E174" i="17"/>
  <c r="C264" i="18"/>
  <c r="C266" i="18" s="1"/>
  <c r="C267" i="18" s="1"/>
  <c r="E87" i="18"/>
  <c r="E101" i="18"/>
  <c r="E258" i="18"/>
  <c r="D254" i="18"/>
  <c r="E254" i="18" s="1"/>
  <c r="E252" i="18"/>
  <c r="C90" i="18"/>
  <c r="C131" i="18"/>
  <c r="D247" i="18"/>
  <c r="E247" i="18" s="1"/>
  <c r="C50" i="17"/>
  <c r="E49" i="17"/>
  <c r="F49" i="17" s="1"/>
  <c r="E88" i="18"/>
  <c r="D90" i="18"/>
  <c r="E90" i="18" s="1"/>
  <c r="E84" i="18"/>
  <c r="E287" i="17"/>
  <c r="F287" i="17" s="1"/>
  <c r="D291" i="17"/>
  <c r="D289" i="17"/>
  <c r="E289" i="17" s="1"/>
  <c r="F289" i="17" s="1"/>
  <c r="C209" i="17"/>
  <c r="C210" i="17"/>
  <c r="E208" i="17"/>
  <c r="F208" i="17" s="1"/>
  <c r="C310" i="18"/>
  <c r="E310" i="18" s="1"/>
  <c r="E306" i="18"/>
  <c r="C102" i="18"/>
  <c r="E223" i="18"/>
  <c r="E100" i="18"/>
  <c r="E89" i="18"/>
  <c r="E268" i="17"/>
  <c r="F268" i="17" s="1"/>
  <c r="D295" i="18"/>
  <c r="E295" i="18" s="1"/>
  <c r="F41" i="20"/>
  <c r="E91" i="17"/>
  <c r="D92" i="17"/>
  <c r="E63" i="17"/>
  <c r="F63" i="17" s="1"/>
  <c r="F126" i="17"/>
  <c r="C127" i="17"/>
  <c r="E126" i="17"/>
  <c r="D162" i="17"/>
  <c r="E161" i="17"/>
  <c r="F161" i="17" s="1"/>
  <c r="F40" i="20"/>
  <c r="E99" i="8"/>
  <c r="E101" i="8" s="1"/>
  <c r="E98" i="8" s="1"/>
  <c r="E22" i="8"/>
  <c r="E304" i="17"/>
  <c r="F304" i="17" s="1"/>
  <c r="E97" i="18"/>
  <c r="C103" i="18"/>
  <c r="C169" i="18"/>
  <c r="E169" i="18" s="1"/>
  <c r="E157" i="18"/>
  <c r="D322" i="17"/>
  <c r="E322" i="17" s="1"/>
  <c r="E141" i="17"/>
  <c r="F141" i="17" s="1"/>
  <c r="F175" i="17"/>
  <c r="C176" i="17"/>
  <c r="F176" i="17" s="1"/>
  <c r="E211" i="18"/>
  <c r="D235" i="18"/>
  <c r="E235" i="18" s="1"/>
  <c r="D77" i="18"/>
  <c r="E76" i="18"/>
  <c r="D259" i="18"/>
  <c r="C162" i="17"/>
  <c r="E104" i="17"/>
  <c r="F104" i="17" s="1"/>
  <c r="F271" i="17"/>
  <c r="C273" i="17"/>
  <c r="C106" i="17"/>
  <c r="F105" i="17"/>
  <c r="E105" i="17"/>
  <c r="F91" i="17"/>
  <c r="C92" i="17"/>
  <c r="C50" i="5"/>
  <c r="E43" i="5"/>
  <c r="F43" i="5" s="1"/>
  <c r="C305" i="17"/>
  <c r="F263" i="17"/>
  <c r="C269" i="18" l="1"/>
  <c r="C268" i="18"/>
  <c r="C271" i="18" s="1"/>
  <c r="D263" i="18"/>
  <c r="E259" i="18"/>
  <c r="F127" i="17"/>
  <c r="C197" i="17"/>
  <c r="C148" i="17"/>
  <c r="E127" i="17"/>
  <c r="C70" i="17"/>
  <c r="E50" i="17"/>
  <c r="F50" i="17" s="1"/>
  <c r="E291" i="17"/>
  <c r="F291" i="17" s="1"/>
  <c r="D305" i="17"/>
  <c r="F211" i="17"/>
  <c r="F273" i="17"/>
  <c r="F50" i="5"/>
  <c r="E50" i="5"/>
  <c r="F322" i="17"/>
  <c r="E210" i="17"/>
  <c r="F210" i="17" s="1"/>
  <c r="E211" i="17"/>
  <c r="C324" i="17"/>
  <c r="C113" i="17"/>
  <c r="D324" i="17"/>
  <c r="D113" i="17"/>
  <c r="E92" i="17"/>
  <c r="F92" i="17" s="1"/>
  <c r="C42" i="12"/>
  <c r="E34" i="12"/>
  <c r="F34" i="12" s="1"/>
  <c r="D91" i="18"/>
  <c r="E162" i="17"/>
  <c r="D183" i="17"/>
  <c r="D323" i="17"/>
  <c r="E323" i="17" s="1"/>
  <c r="E209" i="17"/>
  <c r="F209" i="17" s="1"/>
  <c r="E102" i="18"/>
  <c r="C183" i="17"/>
  <c r="F183" i="17" s="1"/>
  <c r="F162" i="17"/>
  <c r="C323" i="17"/>
  <c r="F323" i="17" s="1"/>
  <c r="E176" i="17"/>
  <c r="D281" i="17"/>
  <c r="E281" i="17" s="1"/>
  <c r="F281" i="17" s="1"/>
  <c r="E282" i="17"/>
  <c r="F282" i="17" s="1"/>
  <c r="C309" i="17"/>
  <c r="D196" i="17"/>
  <c r="E194" i="17"/>
  <c r="F194" i="17" s="1"/>
  <c r="D195" i="17"/>
  <c r="E195" i="17" s="1"/>
  <c r="F195" i="17" s="1"/>
  <c r="D109" i="18"/>
  <c r="D125" i="18"/>
  <c r="E125" i="18" s="1"/>
  <c r="D126" i="18"/>
  <c r="E126" i="18" s="1"/>
  <c r="D121" i="18"/>
  <c r="D113" i="18"/>
  <c r="E113" i="18" s="1"/>
  <c r="D111" i="18"/>
  <c r="E111" i="18" s="1"/>
  <c r="D124" i="18"/>
  <c r="E124" i="18" s="1"/>
  <c r="D123" i="18"/>
  <c r="E123" i="18" s="1"/>
  <c r="D122" i="18"/>
  <c r="D112" i="18"/>
  <c r="E112" i="18" s="1"/>
  <c r="D115" i="18"/>
  <c r="E115" i="18" s="1"/>
  <c r="D114" i="18"/>
  <c r="E114" i="18" s="1"/>
  <c r="D110" i="18"/>
  <c r="D127" i="18"/>
  <c r="E127" i="18" s="1"/>
  <c r="E77" i="18"/>
  <c r="E266" i="17"/>
  <c r="F266" i="17" s="1"/>
  <c r="D265" i="17"/>
  <c r="E265" i="17" s="1"/>
  <c r="F265" i="17" s="1"/>
  <c r="E106" i="17"/>
  <c r="F106" i="17" s="1"/>
  <c r="E91" i="18" l="1"/>
  <c r="D105" i="18"/>
  <c r="E105" i="18" s="1"/>
  <c r="E148" i="17"/>
  <c r="F148" i="17" s="1"/>
  <c r="F197" i="17"/>
  <c r="C310" i="17"/>
  <c r="E121" i="18"/>
  <c r="E263" i="18"/>
  <c r="D264" i="18"/>
  <c r="E70" i="17"/>
  <c r="F70" i="17" s="1"/>
  <c r="F113" i="17"/>
  <c r="E196" i="17"/>
  <c r="F196" i="17" s="1"/>
  <c r="D197" i="17"/>
  <c r="E197" i="17" s="1"/>
  <c r="C325" i="17"/>
  <c r="F324" i="17"/>
  <c r="E110" i="18"/>
  <c r="D116" i="18"/>
  <c r="E116" i="18" s="1"/>
  <c r="F42" i="12"/>
  <c r="C49" i="12"/>
  <c r="E42" i="12"/>
  <c r="E305" i="17"/>
  <c r="F305" i="17" s="1"/>
  <c r="D309" i="17"/>
  <c r="E113" i="17"/>
  <c r="D128" i="18"/>
  <c r="E128" i="18" s="1"/>
  <c r="E122" i="18"/>
  <c r="D117" i="18"/>
  <c r="E109" i="18"/>
  <c r="E183" i="17"/>
  <c r="E324" i="17"/>
  <c r="D325" i="17"/>
  <c r="E325" i="17" s="1"/>
  <c r="F49" i="12" l="1"/>
  <c r="E49" i="12"/>
  <c r="E117" i="18"/>
  <c r="D131" i="18"/>
  <c r="E131" i="18" s="1"/>
  <c r="E264" i="18"/>
  <c r="D266" i="18"/>
  <c r="E309" i="17"/>
  <c r="F309" i="17" s="1"/>
  <c r="D310" i="17"/>
  <c r="F325" i="17"/>
  <c r="D129" i="18"/>
  <c r="E129" i="18" s="1"/>
  <c r="C312" i="17"/>
  <c r="E310" i="17" l="1"/>
  <c r="F310" i="17" s="1"/>
  <c r="D312" i="17"/>
  <c r="E266" i="18"/>
  <c r="D267" i="18"/>
  <c r="C313" i="17"/>
  <c r="C315" i="17" l="1"/>
  <c r="C251" i="17"/>
  <c r="C314" i="17"/>
  <c r="C256" i="17"/>
  <c r="D269" i="18"/>
  <c r="E269" i="18" s="1"/>
  <c r="E267" i="18"/>
  <c r="D268" i="18"/>
  <c r="E312" i="17"/>
  <c r="F312" i="17" s="1"/>
  <c r="D313" i="17"/>
  <c r="D271" i="18" l="1"/>
  <c r="E271" i="18" s="1"/>
  <c r="E268" i="18"/>
  <c r="C257" i="17"/>
  <c r="C318" i="17"/>
  <c r="D251" i="17"/>
  <c r="E251" i="17" s="1"/>
  <c r="F251" i="17" s="1"/>
  <c r="D315" i="17"/>
  <c r="E315" i="17" s="1"/>
  <c r="F315" i="17" s="1"/>
  <c r="D314" i="17"/>
  <c r="E313" i="17"/>
  <c r="F313" i="17" s="1"/>
  <c r="D256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<sst xmlns="http://schemas.openxmlformats.org/spreadsheetml/2006/main" count="2333" uniqueCount="1009">
  <si>
    <t>MANCHESTER MEMORIAL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</si>
  <si>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</si>
  <si>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</si>
  <si>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</si>
  <si>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</si>
  <si>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</si>
  <si>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</si>
  <si>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</si>
  <si>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</si>
  <si>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</si>
  <si>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</si>
  <si>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</si>
  <si>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</si>
  <si>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</si>
  <si>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</si>
  <si>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</si>
  <si>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</si>
  <si>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</si>
  <si>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</si>
  <si>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</si>
  <si>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</si>
  <si>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</si>
  <si>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</si>
  <si>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</si>
  <si>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</si>
  <si>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</si>
  <si>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</si>
  <si>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</si>
  <si>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</si>
  <si>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</si>
  <si>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</si>
  <si>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</si>
  <si>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</si>
  <si>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</si>
  <si>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</si>
  <si>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</si>
  <si>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</si>
  <si>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</si>
  <si>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</si>
  <si>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</si>
  <si>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</si>
  <si>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</si>
  <si>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</si>
  <si>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</si>
  <si>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</si>
  <si>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</si>
  <si>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</si>
  <si>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</si>
  <si>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</si>
  <si>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</si>
  <si>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</si>
  <si>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</si>
  <si>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</si>
  <si>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</si>
  <si>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</si>
  <si>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</si>
  <si>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</si>
  <si>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</si>
  <si>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</si>
  <si>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</si>
  <si>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</si>
  <si>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</si>
  <si>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</si>
  <si>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</si>
  <si>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</si>
  <si>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</si>
  <si>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</si>
  <si>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</si>
  <si>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</si>
  <si>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</si>
  <si>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</si>
  <si>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</si>
  <si>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</si>
  <si>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</si>
  <si>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</si>
  <si>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</si>
  <si>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</si>
  <si>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</si>
  <si>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</si>
  <si>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</si>
  <si>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</si>
  <si>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</si>
  <si>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</si>
  <si>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</si>
  <si>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</si>
  <si>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</si>
  <si>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</si>
  <si>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</si>
  <si>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</si>
  <si>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</si>
  <si>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</si>
  <si>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</si>
  <si>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</si>
  <si>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</si>
  <si>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</si>
  <si>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</si>
  <si>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</si>
  <si>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</si>
  <si>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</si>
  <si>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</si>
  <si>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</si>
  <si>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</si>
  <si>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</si>
  <si>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</si>
  <si>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</si>
  <si>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</si>
  <si>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</si>
  <si>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</si>
  <si>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</si>
  <si>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</si>
  <si>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</si>
  <si>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</si>
  <si>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</si>
  <si>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</si>
  <si>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</si>
  <si>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</si>
  <si>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</si>
  <si>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</si>
  <si>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</si>
  <si>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</si>
  <si>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</si>
  <si>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</si>
  <si>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</si>
  <si>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</si>
  <si>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</si>
  <si>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</si>
  <si>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</si>
  <si>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</si>
  <si>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</si>
  <si>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</si>
  <si>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</si>
  <si>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</si>
  <si>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</si>
  <si>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</si>
  <si>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</si>
  <si>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</si>
  <si>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</si>
  <si>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</si>
  <si>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</si>
  <si>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</si>
  <si>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</si>
  <si>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</si>
  <si>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</si>
  <si>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</si>
  <si>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</si>
  <si>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</si>
  <si>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</si>
  <si>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</si>
  <si>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</si>
  <si>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</si>
  <si>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</si>
  <si>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</si>
  <si>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</si>
  <si>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</si>
  <si>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</si>
  <si>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</si>
  <si>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</si>
  <si>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</si>
  <si>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</si>
  <si>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</si>
  <si>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</si>
  <si>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</si>
  <si>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</si>
  <si>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</si>
  <si>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</si>
  <si>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</si>
  <si>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</si>
  <si>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</si>
  <si>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</si>
  <si>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</si>
  <si>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</si>
  <si>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</si>
  <si>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</si>
  <si>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</si>
  <si>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</si>
  <si>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</si>
  <si>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</si>
  <si>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</si>
  <si>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</si>
  <si>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</si>
  <si>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</si>
  <si>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</si>
  <si>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</si>
  <si>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</si>
  <si>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</si>
  <si>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</si>
  <si>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</si>
  <si>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</si>
  <si>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</si>
  <si>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</si>
  <si>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</si>
  <si>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</si>
  <si>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</si>
  <si>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</si>
  <si>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</si>
  <si>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</si>
  <si>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</si>
  <si>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</si>
  <si>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</si>
  <si>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</si>
  <si>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</si>
  <si>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</si>
  <si>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</si>
  <si>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</si>
  <si>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</si>
  <si>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</si>
  <si>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</si>
  <si>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</si>
  <si>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</si>
  <si>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</si>
  <si>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</si>
  <si>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</si>
  <si>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</si>
  <si>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</si>
  <si>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</si>
  <si>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</si>
  <si>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</si>
  <si>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</si>
  <si>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</si>
  <si>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</si>
  <si>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</si>
  <si>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</si>
  <si>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</si>
  <si>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</si>
  <si>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</si>
  <si>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</si>
  <si>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</si>
  <si>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</si>
  <si>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</si>
  <si>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</si>
  <si>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</si>
  <si>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</si>
  <si>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</si>
  <si>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</si>
  <si>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</si>
  <si>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</si>
  <si>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</si>
  <si>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</si>
  <si>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</si>
  <si>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</si>
  <si>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</si>
  <si>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</si>
  <si>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</si>
  <si>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</si>
  <si>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</si>
  <si>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</si>
  <si>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</si>
  <si>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</si>
  <si>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</si>
  <si>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</si>
  <si>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</si>
  <si>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</si>
  <si>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</si>
  <si>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</si>
  <si>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</si>
  <si>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</si>
  <si>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</si>
  <si>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</si>
  <si>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</si>
  <si>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</si>
  <si>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</si>
  <si>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</si>
  <si>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</si>
  <si>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</si>
  <si>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</si>
  <si>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</si>
  <si>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</si>
  <si>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</si>
  <si>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</si>
  <si>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</si>
  <si>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</si>
  <si>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</si>
  <si>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</si>
  <si>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</si>
  <si>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</si>
  <si>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</si>
  <si>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</si>
  <si>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</si>
  <si>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</si>
  <si>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</si>
  <si>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</si>
  <si>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</si>
  <si>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</si>
  <si>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</si>
  <si>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</si>
  <si>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</si>
  <si>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</si>
  <si>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</si>
  <si>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</si>
  <si>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</si>
  <si>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</si>
  <si>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</si>
  <si>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</si>
  <si>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</si>
  <si>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</si>
  <si>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</si>
  <si>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</si>
  <si>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</si>
  <si>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</si>
  <si>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</si>
  <si>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</si>
  <si>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</si>
  <si>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</si>
  <si>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</si>
  <si>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</si>
  <si>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</si>
  <si>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</si>
  <si>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</si>
  <si>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</si>
  <si>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</si>
  <si>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</si>
  <si>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</si>
  <si>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</si>
  <si>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</si>
  <si>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</si>
  <si>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</si>
  <si>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</si>
  <si>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</si>
  <si>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</si>
  <si>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</si>
  <si>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</si>
  <si>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</si>
  <si>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</si>
  <si>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</si>
  <si>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</si>
  <si>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</si>
  <si>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</si>
  <si>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</si>
  <si>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</si>
  <si>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</si>
  <si>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</si>
  <si>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</si>
  <si>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</si>
  <si>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</si>
  <si>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</si>
  <si>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</si>
  <si>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</si>
  <si>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</si>
  <si>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</si>
  <si>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</si>
  <si>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</si>
  <si>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</si>
  <si>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</si>
  <si>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</si>
  <si>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</si>
  <si>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</si>
  <si>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</si>
  <si>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</si>
  <si>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</si>
  <si>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</si>
  <si>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</si>
  <si>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</si>
  <si>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</si>
  <si>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</si>
  <si>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</si>
  <si>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</si>
  <si>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</si>
  <si>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</si>
  <si>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</si>
  <si>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</si>
  <si>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</si>
  <si>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</si>
  <si>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</si>
  <si>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</si>
  <si>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</si>
  <si>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</si>
  <si>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</si>
  <si>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</si>
  <si>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</si>
  <si>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</si>
  <si>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</si>
  <si>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</si>
  <si>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</si>
  <si>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</si>
  <si>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</si>
  <si>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</si>
  <si>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</si>
  <si>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</si>
  <si>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</si>
  <si>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</si>
  <si>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</si>
  <si>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</si>
  <si>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</si>
  <si>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</si>
  <si>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</si>
  <si>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</si>
  <si>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</si>
  <si>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</si>
  <si>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</si>
  <si>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</si>
  <si>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</si>
  <si>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</si>
  <si>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</si>
  <si>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</si>
  <si>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</si>
  <si>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</si>
  <si>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</si>
  <si>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</si>
  <si>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</si>
  <si>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</si>
  <si>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</si>
  <si>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</si>
  <si>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</si>
  <si>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</si>
  <si>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</si>
  <si>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</si>
  <si>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</si>
  <si>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</si>
  <si>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</si>
  <si>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</si>
  <si>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</si>
  <si>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</si>
  <si>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</si>
  <si>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</si>
  <si>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</si>
  <si>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</si>
  <si>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</si>
  <si>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</si>
  <si>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</si>
  <si>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</si>
  <si>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</si>
  <si>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</si>
  <si>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</si>
  <si>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</si>
  <si>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</si>
  <si>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</si>
  <si>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</si>
  <si>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</si>
  <si>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</si>
  <si>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</si>
  <si>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</si>
  <si>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</si>
  <si>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</si>
  <si>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</si>
  <si>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</si>
  <si>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</si>
  <si>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</si>
  <si>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</si>
  <si>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</si>
  <si>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</si>
  <si>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</si>
  <si>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</si>
  <si>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</si>
  <si>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</si>
  <si>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</si>
  <si>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</si>
  <si>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</si>
  <si>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</si>
  <si>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</si>
  <si>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</si>
  <si>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</si>
  <si>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</si>
  <si>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</si>
  <si>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</si>
  <si>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</si>
  <si>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</si>
  <si>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</si>
  <si>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</si>
  <si>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</si>
  <si>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</si>
  <si>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</si>
  <si>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</si>
  <si>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</si>
  <si>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</si>
  <si>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</si>
  <si>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</si>
  <si>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</si>
  <si>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</si>
  <si>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</si>
  <si>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</si>
  <si>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</si>
  <si>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</si>
  <si>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</si>
  <si>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</si>
  <si>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</si>
  <si>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</si>
  <si>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</si>
  <si>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</si>
  <si>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</si>
  <si>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</si>
  <si>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</si>
  <si>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</si>
  <si>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</si>
  <si>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</si>
  <si>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</si>
  <si>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</si>
  <si>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</si>
  <si>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</si>
  <si>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</si>
  <si>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</si>
  <si>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</si>
  <si>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</si>
  <si>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</si>
  <si>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</si>
  <si>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</si>
  <si>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</si>
  <si>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</si>
  <si>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</si>
  <si>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</si>
  <si>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</si>
  <si>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CONNECTICUT HEALTH NETWORK,INC.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</si>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</sst>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8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3">
    <xf numFmtId="0" fontId="0" fillId="0" borderId="0" xfId="0"/>
    <xf numFmtId="0" fontId="1" fillId="0" borderId="35" xfId="7" applyBorder="1" applyAlignment="1"/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164" fontId="2" fillId="0" borderId="35" xfId="7" applyNumberFormat="1" applyFont="1" applyBorder="1" applyAlignment="1">
      <alignment horizontal="center"/>
    </xf>
    <xf numFmtId="0" fontId="1" fillId="0" borderId="35" xfId="7" applyFill="1" applyBorder="1" applyAlignment="1"/>
    <xf numFmtId="0" fontId="2" fillId="0" borderId="35" xfId="7" applyFont="1" applyFill="1" applyBorder="1" applyAlignment="1">
      <alignment horizontal="left"/>
    </xf>
    <xf numFmtId="0" fontId="2" fillId="0" borderId="35" xfId="7" applyFont="1" applyFill="1" applyBorder="1" applyAlignment="1">
      <alignment horizontal="centerContinuous"/>
    </xf>
    <xf numFmtId="164" fontId="3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1" fillId="0" borderId="35" xfId="7" applyFill="1" applyBorder="1" applyAlignment="1">
      <alignment horizontal="center"/>
    </xf>
    <xf numFmtId="0" fontId="4" fillId="0" borderId="35" xfId="7" applyFont="1" applyFill="1" applyBorder="1" applyAlignment="1">
      <alignment horizontal="center"/>
    </xf>
    <xf numFmtId="164" fontId="5" fillId="0" borderId="35" xfId="7" applyNumberFormat="1" applyFont="1" applyBorder="1" applyAlignment="1">
      <alignment horizontal="center" wrapText="1"/>
    </xf>
    <xf numFmtId="0" fontId="5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center"/>
    </xf>
    <xf numFmtId="0" fontId="1" fillId="0" borderId="35" xfId="7" applyFont="1" applyFill="1" applyBorder="1" applyAlignment="1"/>
    <xf numFmtId="0" fontId="1" fillId="0" borderId="35" xfId="7" applyFont="1" applyFill="1" applyBorder="1" applyAlignment="1">
      <alignment horizontal="center" wrapText="1"/>
    </xf>
    <xf numFmtId="0" fontId="3" fillId="0" borderId="35" xfId="7" applyFont="1" applyFill="1" applyBorder="1" applyAlignment="1">
      <alignment horizontal="center"/>
    </xf>
    <xf numFmtId="0" fontId="1" fillId="0" borderId="35" xfId="7" applyFont="1" applyBorder="1" applyAlignment="1">
      <alignment horizontal="center"/>
    </xf>
    <xf numFmtId="0" fontId="1" fillId="0" borderId="35" xfId="7" applyFont="1" applyBorder="1" applyAlignment="1">
      <alignment horizontal="left"/>
    </xf>
    <xf numFmtId="5" fontId="1" fillId="0" borderId="35" xfId="7" applyNumberFormat="1" applyFont="1" applyBorder="1" applyAlignment="1">
      <alignment horizontal="right"/>
    </xf>
    <xf numFmtId="9" fontId="1" fillId="0" borderId="35" xfId="7" applyNumberFormat="1" applyFont="1" applyBorder="1" applyAlignment="1">
      <alignment horizontal="right"/>
    </xf>
    <xf numFmtId="0" fontId="6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37" fontId="1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37" fontId="1" fillId="0" borderId="35" xfId="7" applyNumberFormat="1" applyFont="1" applyBorder="1" applyAlignment="1"/>
    <xf numFmtId="0" fontId="1" fillId="0" borderId="35" xfId="7" applyBorder="1" applyAlignment="1">
      <alignment horizontal="left"/>
    </xf>
    <xf numFmtId="6" fontId="1" fillId="0" borderId="35" xfId="7" applyNumberFormat="1" applyBorder="1" applyAlignment="1">
      <alignment horizontal="right"/>
    </xf>
    <xf numFmtId="9" fontId="1" fillId="0" borderId="35" xfId="7" applyNumberFormat="1" applyBorder="1" applyAlignment="1">
      <alignment horizontal="right"/>
    </xf>
    <xf numFmtId="0" fontId="2" fillId="0" borderId="35" xfId="7" applyFont="1" applyBorder="1" applyAlignment="1">
      <alignment horizontal="center"/>
    </xf>
    <xf numFmtId="37" fontId="2" fillId="0" borderId="35" xfId="7" applyNumberFormat="1" applyFont="1" applyBorder="1" applyAlignment="1">
      <alignment horizontal="centerContinuous"/>
    </xf>
    <xf numFmtId="37" fontId="1" fillId="0" borderId="35" xfId="7" applyNumberFormat="1" applyFont="1" applyBorder="1" applyAlignment="1">
      <alignment horizontal="centerContinuous"/>
    </xf>
    <xf numFmtId="37" fontId="4" fillId="0" borderId="35" xfId="7" applyNumberFormat="1" applyFont="1" applyFill="1" applyBorder="1" applyAlignment="1">
      <alignment horizontal="center"/>
    </xf>
    <xf numFmtId="37" fontId="1" fillId="0" borderId="35" xfId="7" applyNumberFormat="1" applyFont="1" applyFill="1" applyBorder="1" applyAlignment="1"/>
    <xf numFmtId="37" fontId="1" fillId="0" borderId="35" xfId="7" applyNumberFormat="1" applyFont="1" applyFill="1" applyBorder="1" applyAlignment="1">
      <alignment horizontal="center"/>
    </xf>
    <xf numFmtId="0" fontId="4" fillId="0" borderId="35" xfId="7" applyFont="1" applyBorder="1" applyAlignment="1">
      <alignment horizontal="left"/>
    </xf>
    <xf numFmtId="37" fontId="3" fillId="0" borderId="35" xfId="7" applyNumberFormat="1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9" fontId="6" fillId="0" borderId="35" xfId="7" applyNumberFormat="1" applyFont="1" applyFill="1" applyBorder="1" applyAlignment="1">
      <alignment horizontal="right"/>
    </xf>
    <xf numFmtId="0" fontId="7" fillId="0" borderId="35" xfId="7" applyFont="1" applyBorder="1" applyAlignment="1"/>
    <xf numFmtId="0" fontId="3" fillId="0" borderId="35" xfId="7" applyFont="1" applyBorder="1"/>
    <xf numFmtId="0" fontId="6" fillId="0" borderId="35" xfId="7" applyFont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5" xfId="7" applyFont="1" applyBorder="1" applyAlignment="1">
      <alignment horizontal="left" wrapText="1"/>
    </xf>
    <xf numFmtId="5" fontId="6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>
      <alignment horizontal="right"/>
    </xf>
    <xf numFmtId="165" fontId="3" fillId="0" borderId="35" xfId="7" applyNumberFormat="1" applyFont="1" applyBorder="1" applyAlignment="1">
      <alignment horizontal="right"/>
    </xf>
    <xf numFmtId="0" fontId="1" fillId="0" borderId="35" xfId="7" applyFont="1" applyBorder="1" applyAlignment="1">
      <alignment horizontal="right"/>
    </xf>
    <xf numFmtId="0" fontId="6" fillId="0" borderId="35" xfId="7" applyFont="1" applyBorder="1" applyAlignment="1"/>
    <xf numFmtId="0" fontId="8" fillId="0" borderId="0" xfId="8" applyBorder="1" applyAlignment="1"/>
    <xf numFmtId="164" fontId="3" fillId="0" borderId="35" xfId="8" applyNumberFormat="1" applyFont="1" applyFill="1" applyBorder="1" applyAlignment="1">
      <alignment horizontal="center"/>
    </xf>
    <xf numFmtId="0" fontId="3" fillId="0" borderId="35" xfId="8" applyFont="1" applyBorder="1" applyAlignment="1">
      <alignment horizontal="right"/>
    </xf>
    <xf numFmtId="0" fontId="3" fillId="0" borderId="35" xfId="8" applyFont="1" applyBorder="1" applyAlignment="1"/>
    <xf numFmtId="164" fontId="3" fillId="0" borderId="35" xfId="8" applyNumberFormat="1" applyFont="1" applyBorder="1" applyAlignment="1">
      <alignment horizontal="center"/>
    </xf>
    <xf numFmtId="0" fontId="5" fillId="0" borderId="35" xfId="8" applyFont="1" applyBorder="1" applyAlignment="1">
      <alignment horizontal="right"/>
    </xf>
    <xf numFmtId="0" fontId="5" fillId="0" borderId="35" xfId="8" applyFont="1" applyBorder="1" applyAlignment="1"/>
    <xf numFmtId="164" fontId="5" fillId="0" borderId="35" xfId="8" applyNumberFormat="1" applyFont="1" applyBorder="1" applyAlignment="1">
      <alignment horizontal="center" wrapText="1"/>
    </xf>
    <xf numFmtId="6" fontId="5" fillId="0" borderId="35" xfId="8" applyNumberFormat="1" applyFont="1" applyBorder="1" applyAlignment="1">
      <alignment horizontal="center"/>
    </xf>
    <xf numFmtId="0" fontId="8" fillId="0" borderId="0" xfId="8" applyFill="1" applyBorder="1" applyAlignment="1"/>
    <xf numFmtId="0" fontId="8" fillId="0" borderId="36" xfId="8" applyFill="1" applyBorder="1" applyAlignment="1">
      <alignment horizontal="center"/>
    </xf>
    <xf numFmtId="0" fontId="6" fillId="0" borderId="35" xfId="8" applyFont="1" applyBorder="1" applyAlignment="1"/>
    <xf numFmtId="164" fontId="6" fillId="0" borderId="35" xfId="8" applyNumberFormat="1" applyFont="1" applyFill="1" applyBorder="1" applyAlignment="1">
      <alignment horizontal="center"/>
    </xf>
    <xf numFmtId="6" fontId="3" fillId="0" borderId="35" xfId="8" applyNumberFormat="1" applyFont="1" applyBorder="1" applyAlignment="1">
      <alignment horizontal="center"/>
    </xf>
    <xf numFmtId="0" fontId="8" fillId="0" borderId="35" xfId="8" applyBorder="1" applyAlignment="1"/>
    <xf numFmtId="0" fontId="3" fillId="0" borderId="35" xfId="8" applyFont="1" applyBorder="1" applyAlignment="1">
      <alignment horizontal="center"/>
    </xf>
    <xf numFmtId="0" fontId="5" fillId="0" borderId="35" xfId="8" applyFont="1" applyBorder="1" applyAlignment="1">
      <alignment horizontal="left"/>
    </xf>
    <xf numFmtId="6" fontId="6" fillId="0" borderId="35" xfId="8" applyNumberFormat="1" applyFont="1" applyBorder="1" applyAlignment="1">
      <alignment horizontal="center"/>
    </xf>
    <xf numFmtId="0" fontId="6" fillId="0" borderId="35" xfId="8" applyFont="1" applyBorder="1" applyAlignment="1">
      <alignment horizontal="center"/>
    </xf>
    <xf numFmtId="0" fontId="6" fillId="0" borderId="35" xfId="8" applyFont="1" applyBorder="1" applyAlignment="1">
      <alignment horizontal="left"/>
    </xf>
    <xf numFmtId="5" fontId="6" fillId="0" borderId="35" xfId="8" applyNumberFormat="1" applyFont="1" applyBorder="1" applyAlignment="1">
      <alignment horizontal="right"/>
    </xf>
    <xf numFmtId="9" fontId="6" fillId="0" borderId="35" xfId="8" applyNumberFormat="1" applyFont="1" applyBorder="1" applyAlignment="1">
      <alignment horizontal="right"/>
    </xf>
    <xf numFmtId="0" fontId="3" fillId="0" borderId="35" xfId="8" applyFont="1" applyBorder="1" applyAlignment="1">
      <alignment horizontal="left"/>
    </xf>
    <xf numFmtId="5" fontId="3" fillId="0" borderId="35" xfId="8" applyNumberFormat="1" applyFont="1" applyBorder="1" applyAlignment="1">
      <alignment horizontal="right"/>
    </xf>
    <xf numFmtId="9" fontId="3" fillId="0" borderId="35" xfId="8" applyNumberFormat="1" applyFont="1" applyBorder="1" applyAlignment="1">
      <alignment horizontal="right"/>
    </xf>
    <xf numFmtId="0" fontId="3" fillId="0" borderId="35" xfId="8" applyFont="1" applyFill="1" applyBorder="1" applyAlignment="1">
      <alignment horizontal="left" wrapText="1"/>
    </xf>
    <xf numFmtId="0" fontId="6" fillId="0" borderId="35" xfId="8" applyFont="1" applyFill="1" applyBorder="1" applyAlignment="1">
      <alignment horizontal="left" wrapText="1"/>
    </xf>
    <xf numFmtId="0" fontId="3" fillId="0" borderId="35" xfId="8" applyFont="1" applyFill="1" applyBorder="1" applyAlignment="1">
      <alignment horizontal="center"/>
    </xf>
    <xf numFmtId="0" fontId="6" fillId="0" borderId="35" xfId="8" applyFont="1" applyBorder="1" applyAlignment="1">
      <alignment horizontal="right"/>
    </xf>
    <xf numFmtId="0" fontId="6" fillId="0" borderId="35" xfId="8" applyFont="1" applyFill="1" applyBorder="1" applyAlignment="1">
      <alignment horizontal="center"/>
    </xf>
    <xf numFmtId="37" fontId="3" fillId="0" borderId="35" xfId="8" applyNumberFormat="1" applyFont="1" applyBorder="1" applyAlignment="1">
      <alignment horizontal="right"/>
    </xf>
    <xf numFmtId="0" fontId="3" fillId="0" borderId="35" xfId="8" applyFont="1" applyFill="1" applyBorder="1" applyAlignment="1">
      <alignment horizontal="left"/>
    </xf>
    <xf numFmtId="165" fontId="3" fillId="0" borderId="35" xfId="8" applyNumberFormat="1" applyFont="1" applyBorder="1" applyAlignment="1">
      <alignment horizontal="right"/>
    </xf>
    <xf numFmtId="42" fontId="6" fillId="0" borderId="35" xfId="8" applyNumberFormat="1" applyFont="1" applyFill="1" applyBorder="1" applyAlignment="1">
      <alignment horizontal="center"/>
    </xf>
    <xf numFmtId="0" fontId="3" fillId="0" borderId="35" xfId="8" applyFont="1" applyBorder="1" applyAlignment="1">
      <alignment horizontal="centerContinuous"/>
    </xf>
    <xf numFmtId="0" fontId="6" fillId="0" borderId="0" xfId="8" applyFont="1" applyBorder="1" applyAlignment="1"/>
    <xf numFmtId="164" fontId="3" fillId="0" borderId="0" xfId="7" applyNumberFormat="1" applyFont="1" applyBorder="1" applyAlignment="1">
      <alignment horizontal="center"/>
    </xf>
    <xf numFmtId="164" fontId="5" fillId="0" borderId="0" xfId="7" applyNumberFormat="1" applyFont="1" applyBorder="1" applyAlignment="1">
      <alignment horizontal="left"/>
    </xf>
    <xf numFmtId="5" fontId="3" fillId="0" borderId="0" xfId="7" applyNumberFormat="1" applyFont="1" applyBorder="1" applyAlignment="1">
      <alignment horizontal="right"/>
    </xf>
    <xf numFmtId="9" fontId="3" fillId="0" borderId="0" xfId="7" applyNumberFormat="1" applyFont="1" applyBorder="1" applyAlignment="1">
      <alignment horizontal="right"/>
    </xf>
    <xf numFmtId="0" fontId="6" fillId="0" borderId="0" xfId="7" applyFont="1" applyBorder="1"/>
    <xf numFmtId="164" fontId="3" fillId="0" borderId="0" xfId="7" applyNumberFormat="1" applyFont="1" applyBorder="1" applyAlignment="1">
      <alignment horizontal="left"/>
    </xf>
    <xf numFmtId="0" fontId="3" fillId="0" borderId="0" xfId="7" applyFont="1" applyBorder="1" applyAlignment="1">
      <alignment horizontal="centerContinuous"/>
    </xf>
    <xf numFmtId="164" fontId="3" fillId="0" borderId="1" xfId="7" applyNumberFormat="1" applyFont="1" applyBorder="1" applyAlignment="1">
      <alignment horizontal="center"/>
    </xf>
    <xf numFmtId="164" fontId="3" fillId="0" borderId="2" xfId="7" applyNumberFormat="1" applyFont="1" applyBorder="1" applyAlignment="1">
      <alignment horizontal="center"/>
    </xf>
    <xf numFmtId="164" fontId="3" fillId="0" borderId="3" xfId="7" applyNumberFormat="1" applyFont="1" applyBorder="1" applyAlignment="1">
      <alignment horizontal="center"/>
    </xf>
    <xf numFmtId="164" fontId="3" fillId="0" borderId="4" xfId="7" applyNumberFormat="1" applyFont="1" applyBorder="1" applyAlignment="1"/>
    <xf numFmtId="164" fontId="3" fillId="0" borderId="5" xfId="7" applyNumberFormat="1" applyFont="1" applyBorder="1" applyAlignment="1">
      <alignment horizontal="left"/>
    </xf>
    <xf numFmtId="164" fontId="3" fillId="0" borderId="6" xfId="7" applyNumberFormat="1" applyFont="1" applyBorder="1" applyAlignment="1">
      <alignment horizontal="center" wrapText="1"/>
    </xf>
    <xf numFmtId="164" fontId="3" fillId="0" borderId="5" xfId="7" applyNumberFormat="1" applyFont="1" applyBorder="1" applyAlignment="1">
      <alignment horizontal="center" wrapText="1"/>
    </xf>
    <xf numFmtId="0" fontId="3" fillId="0" borderId="5" xfId="7" applyFont="1" applyBorder="1" applyAlignment="1">
      <alignment horizontal="center" wrapText="1"/>
    </xf>
    <xf numFmtId="164" fontId="3" fillId="0" borderId="7" xfId="7" applyNumberFormat="1" applyFont="1" applyBorder="1" applyAlignment="1">
      <alignment horizontal="center" wrapText="1"/>
    </xf>
    <xf numFmtId="164" fontId="3" fillId="3" borderId="8" xfId="7" applyNumberFormat="1" applyFont="1" applyFill="1" applyBorder="1" applyAlignment="1"/>
    <xf numFmtId="164" fontId="3" fillId="3" borderId="8" xfId="7" applyNumberFormat="1" applyFont="1" applyFill="1" applyBorder="1" applyAlignment="1">
      <alignment horizontal="left"/>
    </xf>
    <xf numFmtId="164" fontId="3" fillId="0" borderId="16" xfId="7" applyNumberFormat="1" applyFont="1" applyBorder="1" applyAlignment="1">
      <alignment horizontal="center"/>
    </xf>
    <xf numFmtId="164" fontId="5" fillId="0" borderId="16" xfId="7" applyNumberFormat="1" applyFont="1" applyBorder="1" applyAlignment="1">
      <alignment horizontal="left" wrapText="1"/>
    </xf>
    <xf numFmtId="5" fontId="6" fillId="0" borderId="16" xfId="7" applyNumberFormat="1" applyFont="1" applyBorder="1" applyAlignment="1">
      <alignment horizontal="center"/>
    </xf>
    <xf numFmtId="5" fontId="6" fillId="0" borderId="8" xfId="7" applyNumberFormat="1" applyFont="1" applyBorder="1" applyAlignment="1">
      <alignment horizontal="right"/>
    </xf>
    <xf numFmtId="9" fontId="6" fillId="0" borderId="8" xfId="7" applyNumberFormat="1" applyFont="1" applyBorder="1" applyAlignment="1">
      <alignment horizontal="right"/>
    </xf>
    <xf numFmtId="164" fontId="6" fillId="0" borderId="16" xfId="7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7" applyNumberFormat="1" applyFont="1" applyBorder="1" applyAlignment="1">
      <alignment horizontal="center" vertical="center"/>
    </xf>
    <xf numFmtId="164" fontId="3" fillId="0" borderId="16" xfId="7" applyNumberFormat="1" applyFont="1" applyBorder="1" applyAlignment="1">
      <alignment horizontal="left" wrapText="1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7" applyNumberFormat="1" applyFont="1" applyBorder="1" applyAlignment="1">
      <alignment horizontal="right"/>
    </xf>
    <xf numFmtId="9" fontId="3" fillId="0" borderId="8" xfId="7" applyNumberFormat="1" applyFont="1" applyBorder="1" applyAlignment="1">
      <alignment horizontal="right"/>
    </xf>
    <xf numFmtId="164" fontId="3" fillId="0" borderId="17" xfId="7" applyNumberFormat="1" applyFont="1" applyFill="1" applyBorder="1" applyAlignment="1">
      <alignment horizontal="center"/>
    </xf>
    <xf numFmtId="164" fontId="3" fillId="0" borderId="18" xfId="7" applyNumberFormat="1" applyFont="1" applyBorder="1" applyAlignment="1">
      <alignment horizontal="left"/>
    </xf>
    <xf numFmtId="5" fontId="3" fillId="0" borderId="17" xfId="7" applyNumberFormat="1" applyFont="1" applyBorder="1" applyAlignment="1">
      <alignment horizontal="right"/>
    </xf>
    <xf numFmtId="5" fontId="3" fillId="0" borderId="19" xfId="7" applyNumberFormat="1" applyFont="1" applyBorder="1" applyAlignment="1">
      <alignment horizontal="right"/>
    </xf>
    <xf numFmtId="9" fontId="3" fillId="0" borderId="19" xfId="7" applyNumberFormat="1" applyFont="1" applyBorder="1" applyAlignment="1">
      <alignment horizontal="right"/>
    </xf>
    <xf numFmtId="164" fontId="6" fillId="0" borderId="16" xfId="7" applyNumberFormat="1" applyFont="1" applyBorder="1" applyAlignment="1">
      <alignment horizontal="right"/>
    </xf>
    <xf numFmtId="164" fontId="3" fillId="0" borderId="19" xfId="7" applyNumberFormat="1" applyFont="1" applyFill="1" applyBorder="1" applyAlignment="1">
      <alignment horizontal="center"/>
    </xf>
    <xf numFmtId="164" fontId="3" fillId="0" borderId="17" xfId="7" applyNumberFormat="1" applyFont="1" applyBorder="1" applyAlignment="1">
      <alignment horizontal="left"/>
    </xf>
    <xf numFmtId="37" fontId="6" fillId="0" borderId="8" xfId="7" applyNumberFormat="1" applyFont="1" applyBorder="1" applyAlignment="1">
      <alignment horizontal="right"/>
    </xf>
    <xf numFmtId="37" fontId="3" fillId="0" borderId="8" xfId="7" applyNumberFormat="1" applyFont="1" applyBorder="1" applyAlignment="1">
      <alignment horizontal="right"/>
    </xf>
    <xf numFmtId="0" fontId="6" fillId="0" borderId="0" xfId="7" applyFont="1" applyBorder="1" applyAlignment="1">
      <alignment horizontal="right"/>
    </xf>
    <xf numFmtId="0" fontId="3" fillId="0" borderId="20" xfId="8" applyFont="1" applyBorder="1" applyAlignment="1">
      <alignment horizontal="center"/>
    </xf>
    <xf numFmtId="0" fontId="6" fillId="0" borderId="0" xfId="8" applyFont="1" applyBorder="1"/>
    <xf numFmtId="164" fontId="3" fillId="0" borderId="16" xfId="8" applyNumberFormat="1" applyFont="1" applyBorder="1" applyAlignment="1">
      <alignment horizontal="center"/>
    </xf>
    <xf numFmtId="164" fontId="3" fillId="0" borderId="23" xfId="8" applyNumberFormat="1" applyFont="1" applyBorder="1" applyAlignment="1">
      <alignment horizontal="center"/>
    </xf>
    <xf numFmtId="164" fontId="3" fillId="0" borderId="23" xfId="8" applyNumberFormat="1" applyFont="1" applyBorder="1" applyAlignment="1"/>
    <xf numFmtId="0" fontId="3" fillId="0" borderId="23" xfId="8" applyFont="1" applyBorder="1" applyAlignment="1">
      <alignment horizontal="center" wrapText="1"/>
    </xf>
    <xf numFmtId="164" fontId="3" fillId="0" borderId="23" xfId="8" applyNumberFormat="1" applyFont="1" applyBorder="1" applyAlignment="1">
      <alignment horizontal="center" wrapText="1"/>
    </xf>
    <xf numFmtId="164" fontId="5" fillId="0" borderId="23" xfId="8" applyNumberFormat="1" applyFont="1" applyBorder="1" applyAlignment="1">
      <alignment horizontal="center"/>
    </xf>
    <xf numFmtId="164" fontId="5" fillId="0" borderId="23" xfId="8" applyNumberFormat="1" applyFont="1" applyBorder="1" applyAlignment="1">
      <alignment horizontal="left"/>
    </xf>
    <xf numFmtId="164" fontId="5" fillId="0" borderId="23" xfId="8" applyNumberFormat="1" applyFont="1" applyBorder="1" applyAlignment="1">
      <alignment horizontal="center" wrapText="1"/>
    </xf>
    <xf numFmtId="0" fontId="5" fillId="0" borderId="23" xfId="8" applyFont="1" applyBorder="1" applyAlignment="1">
      <alignment horizontal="center" wrapText="1"/>
    </xf>
    <xf numFmtId="164" fontId="6" fillId="0" borderId="16" xfId="8" applyNumberFormat="1" applyFont="1" applyBorder="1" applyAlignment="1">
      <alignment horizontal="center"/>
    </xf>
    <xf numFmtId="0" fontId="5" fillId="0" borderId="16" xfId="8" applyNumberFormat="1" applyFont="1" applyBorder="1" applyAlignment="1">
      <alignment horizontal="left" wrapText="1"/>
    </xf>
    <xf numFmtId="164" fontId="6" fillId="0" borderId="16" xfId="8" applyNumberFormat="1" applyFont="1" applyBorder="1" applyAlignment="1">
      <alignment horizontal="right"/>
    </xf>
    <xf numFmtId="164" fontId="3" fillId="0" borderId="16" xfId="8" applyNumberFormat="1" applyFont="1" applyBorder="1" applyAlignment="1">
      <alignment horizontal="right"/>
    </xf>
    <xf numFmtId="0" fontId="6" fillId="0" borderId="16" xfId="8" applyFont="1" applyBorder="1" applyAlignment="1">
      <alignment horizontal="right"/>
    </xf>
    <xf numFmtId="164" fontId="9" fillId="0" borderId="8" xfId="8" applyNumberFormat="1" applyFont="1" applyBorder="1" applyAlignment="1">
      <alignment horizontal="center"/>
    </xf>
    <xf numFmtId="0" fontId="5" fillId="0" borderId="8" xfId="8" applyNumberFormat="1" applyFont="1" applyBorder="1" applyAlignment="1">
      <alignment horizontal="left" wrapText="1"/>
    </xf>
    <xf numFmtId="164" fontId="6" fillId="0" borderId="8" xfId="8" applyNumberFormat="1" applyFont="1" applyBorder="1" applyAlignment="1">
      <alignment horizontal="right"/>
    </xf>
    <xf numFmtId="0" fontId="3" fillId="0" borderId="16" xfId="8" applyFont="1" applyBorder="1" applyAlignment="1">
      <alignment horizontal="center"/>
    </xf>
    <xf numFmtId="0" fontId="5" fillId="0" borderId="16" xfId="8" applyNumberFormat="1" applyFont="1" applyBorder="1"/>
    <xf numFmtId="5" fontId="6" fillId="0" borderId="16" xfId="8" applyNumberFormat="1" applyFont="1" applyBorder="1" applyAlignment="1">
      <alignment horizontal="right"/>
    </xf>
    <xf numFmtId="5" fontId="3" fillId="0" borderId="16" xfId="8" applyNumberFormat="1" applyFont="1" applyBorder="1" applyAlignment="1">
      <alignment horizontal="right"/>
    </xf>
    <xf numFmtId="9" fontId="3" fillId="0" borderId="16" xfId="8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8" applyNumberFormat="1" applyFont="1" applyBorder="1" applyAlignment="1">
      <alignment horizontal="right"/>
    </xf>
    <xf numFmtId="0" fontId="3" fillId="0" borderId="16" xfId="8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8" applyNumberFormat="1" applyFont="1" applyFill="1" applyBorder="1" applyAlignment="1">
      <alignment horizontal="center"/>
    </xf>
    <xf numFmtId="3" fontId="3" fillId="0" borderId="16" xfId="8" applyNumberFormat="1" applyFont="1" applyBorder="1" applyAlignment="1" applyProtection="1"/>
    <xf numFmtId="9" fontId="6" fillId="0" borderId="16" xfId="10" applyFont="1" applyBorder="1" applyAlignment="1">
      <alignment horizontal="right"/>
    </xf>
    <xf numFmtId="0" fontId="3" fillId="0" borderId="16" xfId="8" applyNumberFormat="1" applyFont="1" applyBorder="1" applyAlignment="1">
      <alignment horizontal="left"/>
    </xf>
    <xf numFmtId="164" fontId="9" fillId="0" borderId="16" xfId="8" applyNumberFormat="1" applyFont="1" applyBorder="1" applyAlignment="1">
      <alignment horizontal="center"/>
    </xf>
    <xf numFmtId="0" fontId="6" fillId="0" borderId="16" xfId="8" applyFont="1" applyBorder="1"/>
    <xf numFmtId="3" fontId="6" fillId="0" borderId="16" xfId="8" applyNumberFormat="1" applyFont="1" applyBorder="1" applyAlignment="1" applyProtection="1"/>
    <xf numFmtId="0" fontId="8" fillId="0" borderId="16" xfId="8" applyBorder="1"/>
    <xf numFmtId="0" fontId="6" fillId="0" borderId="0" xfId="8" applyFont="1" applyBorder="1" applyAlignment="1">
      <alignment horizontal="right"/>
    </xf>
    <xf numFmtId="0" fontId="1" fillId="0" borderId="35" xfId="8" applyFont="1" applyBorder="1" applyAlignment="1">
      <alignment horizontal="center"/>
    </xf>
    <xf numFmtId="0" fontId="2" fillId="0" borderId="35" xfId="8" applyFont="1" applyBorder="1" applyAlignment="1">
      <alignment horizontal="centerContinuous"/>
    </xf>
    <xf numFmtId="0" fontId="1" fillId="0" borderId="35" xfId="8" applyFont="1" applyBorder="1" applyAlignment="1">
      <alignment horizontal="centerContinuous"/>
    </xf>
    <xf numFmtId="0" fontId="1" fillId="0" borderId="35" xfId="8" applyFont="1" applyBorder="1" applyAlignment="1"/>
    <xf numFmtId="0" fontId="2" fillId="0" borderId="35" xfId="8" applyFont="1" applyBorder="1" applyAlignment="1">
      <alignment horizontal="center"/>
    </xf>
    <xf numFmtId="164" fontId="2" fillId="0" borderId="35" xfId="8" applyNumberFormat="1" applyFont="1" applyBorder="1" applyAlignment="1">
      <alignment horizontal="center"/>
    </xf>
    <xf numFmtId="0" fontId="2" fillId="0" borderId="35" xfId="8" applyFont="1" applyFill="1" applyBorder="1" applyAlignment="1">
      <alignment horizontal="center"/>
    </xf>
    <xf numFmtId="0" fontId="2" fillId="0" borderId="35" xfId="8" applyFont="1" applyFill="1" applyBorder="1" applyAlignment="1">
      <alignment horizontal="centerContinuous"/>
    </xf>
    <xf numFmtId="0" fontId="4" fillId="0" borderId="35" xfId="8" applyFont="1" applyFill="1" applyBorder="1" applyAlignment="1">
      <alignment horizontal="center"/>
    </xf>
    <xf numFmtId="0" fontId="4" fillId="0" borderId="35" xfId="8" applyFont="1" applyFill="1" applyBorder="1" applyAlignment="1">
      <alignment horizontal="left"/>
    </xf>
    <xf numFmtId="5" fontId="1" fillId="0" borderId="35" xfId="8" applyNumberFormat="1" applyFont="1" applyBorder="1" applyAlignment="1"/>
    <xf numFmtId="0" fontId="6" fillId="0" borderId="32" xfId="8" applyFont="1" applyFill="1" applyBorder="1" applyAlignment="1">
      <alignment horizontal="left"/>
    </xf>
    <xf numFmtId="37" fontId="6" fillId="0" borderId="35" xfId="8" applyNumberFormat="1" applyFont="1" applyBorder="1" applyAlignment="1">
      <alignment horizontal="right"/>
    </xf>
    <xf numFmtId="0" fontId="6" fillId="0" borderId="32" xfId="8" applyFont="1" applyBorder="1" applyAlignment="1">
      <alignment horizontal="left"/>
    </xf>
    <xf numFmtId="166" fontId="6" fillId="0" borderId="35" xfId="8" applyNumberFormat="1" applyFont="1" applyBorder="1" applyAlignment="1">
      <alignment horizontal="right"/>
    </xf>
    <xf numFmtId="166" fontId="3" fillId="0" borderId="35" xfId="8" applyNumberFormat="1" applyFont="1" applyBorder="1" applyAlignment="1">
      <alignment horizontal="right"/>
    </xf>
    <xf numFmtId="10" fontId="6" fillId="0" borderId="35" xfId="8" applyNumberFormat="1" applyFont="1" applyBorder="1" applyAlignment="1">
      <alignment horizontal="right"/>
    </xf>
    <xf numFmtId="0" fontId="8" fillId="0" borderId="35" xfId="8" applyBorder="1"/>
    <xf numFmtId="0" fontId="4" fillId="0" borderId="35" xfId="8" applyFont="1" applyBorder="1" applyAlignment="1">
      <alignment horizontal="left"/>
    </xf>
    <xf numFmtId="0" fontId="1" fillId="0" borderId="35" xfId="8" applyFont="1" applyBorder="1" applyAlignment="1">
      <alignment horizontal="left"/>
    </xf>
    <xf numFmtId="167" fontId="6" fillId="0" borderId="35" xfId="8" applyNumberFormat="1" applyFont="1" applyBorder="1" applyAlignment="1">
      <alignment horizontal="right"/>
    </xf>
    <xf numFmtId="0" fontId="2" fillId="0" borderId="35" xfId="8" applyFont="1" applyBorder="1" applyAlignment="1">
      <alignment horizontal="left"/>
    </xf>
    <xf numFmtId="43" fontId="3" fillId="0" borderId="35" xfId="8" applyNumberFormat="1" applyFont="1" applyBorder="1" applyAlignment="1">
      <alignment horizontal="right"/>
    </xf>
    <xf numFmtId="5" fontId="1" fillId="0" borderId="35" xfId="8" applyNumberFormat="1" applyFont="1" applyBorder="1" applyAlignment="1">
      <alignment horizontal="right"/>
    </xf>
    <xf numFmtId="39" fontId="3" fillId="0" borderId="35" xfId="8" applyNumberFormat="1" applyFont="1" applyBorder="1" applyAlignment="1">
      <alignment horizontal="right"/>
    </xf>
    <xf numFmtId="4" fontId="3" fillId="0" borderId="35" xfId="8" applyNumberFormat="1" applyFont="1" applyBorder="1" applyAlignment="1">
      <alignment horizontal="right"/>
    </xf>
    <xf numFmtId="165" fontId="6" fillId="0" borderId="35" xfId="8" applyNumberFormat="1" applyFont="1" applyFill="1" applyBorder="1" applyAlignment="1">
      <alignment horizontal="right"/>
    </xf>
    <xf numFmtId="0" fontId="10" fillId="0" borderId="35" xfId="8" applyFont="1" applyBorder="1" applyAlignment="1">
      <alignment horizontal="left"/>
    </xf>
    <xf numFmtId="165" fontId="6" fillId="0" borderId="35" xfId="8" applyNumberFormat="1" applyFont="1" applyBorder="1" applyAlignment="1">
      <alignment horizontal="right"/>
    </xf>
    <xf numFmtId="167" fontId="3" fillId="0" borderId="35" xfId="8" applyNumberFormat="1" applyFont="1" applyFill="1" applyBorder="1" applyAlignment="1">
      <alignment horizontal="right"/>
    </xf>
    <xf numFmtId="164" fontId="3" fillId="0" borderId="35" xfId="8" applyNumberFormat="1" applyFont="1" applyBorder="1" applyAlignment="1">
      <alignment horizontal="right"/>
    </xf>
    <xf numFmtId="5" fontId="6" fillId="0" borderId="35" xfId="8" applyNumberFormat="1" applyFont="1" applyBorder="1" applyAlignment="1"/>
    <xf numFmtId="0" fontId="1" fillId="0" borderId="32" xfId="8" applyFont="1" applyBorder="1" applyAlignment="1">
      <alignment horizontal="left"/>
    </xf>
    <xf numFmtId="37" fontId="6" fillId="0" borderId="35" xfId="8" applyNumberFormat="1" applyFont="1" applyBorder="1" applyAlignment="1"/>
    <xf numFmtId="0" fontId="2" fillId="0" borderId="35" xfId="8" applyFont="1" applyFill="1" applyBorder="1" applyAlignment="1">
      <alignment horizontal="left"/>
    </xf>
    <xf numFmtId="5" fontId="3" fillId="0" borderId="35" xfId="8" applyNumberFormat="1" applyFont="1" applyBorder="1" applyAlignment="1"/>
    <xf numFmtId="165" fontId="3" fillId="0" borderId="35" xfId="8" applyNumberFormat="1" applyFont="1" applyBorder="1" applyAlignment="1"/>
    <xf numFmtId="0" fontId="5" fillId="0" borderId="35" xfId="8" applyFont="1" applyFill="1" applyBorder="1" applyAlignment="1">
      <alignment horizontal="left"/>
    </xf>
    <xf numFmtId="0" fontId="1" fillId="0" borderId="35" xfId="8" applyFont="1" applyFill="1" applyBorder="1" applyAlignment="1">
      <alignment horizontal="left"/>
    </xf>
    <xf numFmtId="165" fontId="1" fillId="0" borderId="35" xfId="8" applyNumberFormat="1" applyFont="1" applyBorder="1" applyAlignment="1"/>
    <xf numFmtId="42" fontId="6" fillId="0" borderId="35" xfId="8" applyNumberFormat="1" applyFont="1" applyBorder="1" applyAlignment="1">
      <alignment horizontal="right"/>
    </xf>
    <xf numFmtId="168" fontId="3" fillId="0" borderId="35" xfId="8" applyNumberFormat="1" applyFont="1" applyBorder="1" applyAlignment="1">
      <alignment horizontal="right"/>
    </xf>
    <xf numFmtId="1" fontId="3" fillId="0" borderId="35" xfId="8" applyNumberFormat="1" applyFont="1" applyBorder="1" applyAlignment="1">
      <alignment horizontal="right"/>
    </xf>
    <xf numFmtId="165" fontId="6" fillId="0" borderId="35" xfId="8" applyNumberFormat="1" applyFont="1" applyBorder="1" applyAlignment="1"/>
    <xf numFmtId="0" fontId="1" fillId="0" borderId="35" xfId="8" applyFont="1" applyFill="1" applyBorder="1" applyAlignment="1">
      <alignment horizontal="center"/>
    </xf>
    <xf numFmtId="41" fontId="6" fillId="0" borderId="35" xfId="8" applyNumberFormat="1" applyFont="1" applyBorder="1" applyAlignment="1">
      <alignment horizontal="right"/>
    </xf>
    <xf numFmtId="168" fontId="6" fillId="0" borderId="35" xfId="8" applyNumberFormat="1" applyFont="1" applyBorder="1" applyAlignment="1">
      <alignment horizontal="right"/>
    </xf>
    <xf numFmtId="0" fontId="8" fillId="0" borderId="35" xfId="8" applyFill="1" applyBorder="1" applyAlignment="1"/>
    <xf numFmtId="0" fontId="8" fillId="0" borderId="35" xfId="8" applyFill="1" applyBorder="1" applyAlignment="1">
      <alignment horizontal="center"/>
    </xf>
    <xf numFmtId="0" fontId="11" fillId="0" borderId="35" xfId="8" applyFont="1" applyBorder="1" applyAlignment="1"/>
    <xf numFmtId="0" fontId="3" fillId="0" borderId="0" xfId="8" applyFont="1" applyFill="1" applyBorder="1" applyAlignment="1">
      <alignment horizontal="center"/>
    </xf>
    <xf numFmtId="0" fontId="1" fillId="0" borderId="0" xfId="8" applyFont="1" applyBorder="1" applyAlignment="1"/>
    <xf numFmtId="0" fontId="11" fillId="0" borderId="0" xfId="8" applyFont="1" applyBorder="1" applyAlignment="1"/>
    <xf numFmtId="0" fontId="6" fillId="0" borderId="0" xfId="8" applyFont="1" applyFill="1" applyBorder="1" applyAlignment="1">
      <alignment horizontal="center"/>
    </xf>
    <xf numFmtId="167" fontId="6" fillId="0" borderId="0" xfId="8" applyNumberFormat="1" applyFont="1" applyBorder="1" applyAlignment="1">
      <alignment horizontal="right"/>
    </xf>
    <xf numFmtId="165" fontId="6" fillId="0" borderId="0" xfId="8" applyNumberFormat="1" applyFont="1" applyBorder="1" applyAlignment="1"/>
    <xf numFmtId="5" fontId="6" fillId="0" borderId="0" xfId="8" applyNumberFormat="1" applyFont="1" applyBorder="1" applyAlignment="1"/>
    <xf numFmtId="165" fontId="1" fillId="0" borderId="0" xfId="8" applyNumberFormat="1" applyFont="1" applyBorder="1" applyAlignment="1"/>
    <xf numFmtId="169" fontId="6" fillId="0" borderId="35" xfId="8" applyNumberFormat="1" applyFont="1" applyBorder="1" applyProtection="1">
      <protection locked="0"/>
    </xf>
    <xf numFmtId="0" fontId="12" fillId="0" borderId="0" xfId="7" applyFont="1" applyBorder="1" applyAlignment="1">
      <alignment horizontal="left"/>
    </xf>
    <xf numFmtId="0" fontId="12" fillId="0" borderId="0" xfId="7" applyFont="1" applyBorder="1" applyAlignment="1">
      <alignment horizontal="right"/>
    </xf>
    <xf numFmtId="0" fontId="12" fillId="0" borderId="0" xfId="7" applyFont="1" applyBorder="1" applyAlignment="1">
      <alignment horizontal="centerContinuous"/>
    </xf>
    <xf numFmtId="0" fontId="13" fillId="0" borderId="0" xfId="7" applyFont="1" applyBorder="1"/>
    <xf numFmtId="164" fontId="12" fillId="0" borderId="24" xfId="7" applyNumberFormat="1" applyFont="1" applyBorder="1" applyAlignment="1">
      <alignment horizontal="center"/>
    </xf>
    <xf numFmtId="164" fontId="12" fillId="0" borderId="2" xfId="7" applyNumberFormat="1" applyFont="1" applyBorder="1" applyAlignment="1">
      <alignment horizontal="center"/>
    </xf>
    <xf numFmtId="164" fontId="12" fillId="0" borderId="3" xfId="7" applyNumberFormat="1" applyFont="1" applyBorder="1" applyAlignment="1">
      <alignment horizontal="center"/>
    </xf>
    <xf numFmtId="164" fontId="13" fillId="0" borderId="0" xfId="7" applyNumberFormat="1" applyFont="1" applyBorder="1" applyAlignment="1">
      <alignment horizontal="center"/>
    </xf>
    <xf numFmtId="164" fontId="12" fillId="0" borderId="25" xfId="7" applyNumberFormat="1" applyFont="1" applyBorder="1" applyAlignment="1">
      <alignment horizontal="center" wrapText="1"/>
    </xf>
    <xf numFmtId="164" fontId="12" fillId="0" borderId="6" xfId="7" applyNumberFormat="1" applyFont="1" applyBorder="1" applyAlignment="1">
      <alignment horizontal="left" wrapText="1"/>
    </xf>
    <xf numFmtId="164" fontId="12" fillId="0" borderId="6" xfId="7" applyNumberFormat="1" applyFont="1" applyBorder="1" applyAlignment="1">
      <alignment horizontal="center" wrapText="1"/>
    </xf>
    <xf numFmtId="164" fontId="12" fillId="0" borderId="5" xfId="7" applyNumberFormat="1" applyFont="1" applyBorder="1" applyAlignment="1">
      <alignment horizontal="center" wrapText="1"/>
    </xf>
    <xf numFmtId="9" fontId="12" fillId="0" borderId="26" xfId="11" applyFont="1" applyBorder="1" applyAlignment="1">
      <alignment horizontal="center" wrapText="1"/>
    </xf>
    <xf numFmtId="0" fontId="13" fillId="0" borderId="0" xfId="7" applyFont="1" applyBorder="1" applyAlignment="1">
      <alignment horizontal="right"/>
    </xf>
    <xf numFmtId="164" fontId="12" fillId="3" borderId="8" xfId="7" applyNumberFormat="1" applyFont="1" applyFill="1" applyBorder="1" applyAlignment="1">
      <alignment horizontal="center" wrapText="1"/>
    </xf>
    <xf numFmtId="164" fontId="12" fillId="3" borderId="8" xfId="7" applyNumberFormat="1" applyFont="1" applyFill="1" applyBorder="1" applyAlignment="1">
      <alignment horizontal="left" wrapText="1"/>
    </xf>
    <xf numFmtId="0" fontId="14" fillId="0" borderId="16" xfId="7" applyFont="1" applyBorder="1" applyAlignment="1">
      <alignment horizontal="center" vertical="center"/>
    </xf>
    <xf numFmtId="0" fontId="12" fillId="0" borderId="16" xfId="7" applyFont="1" applyBorder="1" applyAlignment="1">
      <alignment horizontal="left" vertical="center"/>
    </xf>
    <xf numFmtId="164" fontId="12" fillId="0" borderId="16" xfId="7" applyNumberFormat="1" applyFont="1" applyBorder="1" applyAlignment="1">
      <alignment horizontal="center" wrapText="1"/>
    </xf>
    <xf numFmtId="164" fontId="12" fillId="0" borderId="8" xfId="7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7" applyNumberFormat="1" applyFont="1" applyBorder="1" applyAlignment="1">
      <alignment horizontal="right" wrapText="1"/>
    </xf>
    <xf numFmtId="164" fontId="12" fillId="0" borderId="8" xfId="7" applyNumberFormat="1" applyFont="1" applyBorder="1" applyAlignment="1">
      <alignment horizontal="right"/>
    </xf>
    <xf numFmtId="9" fontId="12" fillId="0" borderId="8" xfId="11" applyFont="1" applyBorder="1" applyAlignment="1">
      <alignment horizontal="center"/>
    </xf>
    <xf numFmtId="164" fontId="13" fillId="0" borderId="16" xfId="7" applyNumberFormat="1" applyFont="1" applyBorder="1" applyAlignment="1">
      <alignment horizontal="center"/>
    </xf>
    <xf numFmtId="0" fontId="13" fillId="0" borderId="16" xfId="7" applyFont="1" applyBorder="1"/>
    <xf numFmtId="5" fontId="13" fillId="0" borderId="16" xfId="7" applyNumberFormat="1" applyFont="1" applyBorder="1" applyAlignment="1">
      <alignment horizontal="right"/>
    </xf>
    <xf numFmtId="9" fontId="13" fillId="0" borderId="16" xfId="11" applyNumberFormat="1" applyFont="1" applyBorder="1" applyAlignment="1">
      <alignment horizontal="right"/>
    </xf>
    <xf numFmtId="37" fontId="13" fillId="0" borderId="16" xfId="7" applyNumberFormat="1" applyFont="1" applyFill="1" applyBorder="1" applyAlignment="1">
      <alignment horizontal="right"/>
    </xf>
    <xf numFmtId="164" fontId="12" fillId="0" borderId="16" xfId="7" applyNumberFormat="1" applyFont="1" applyFill="1" applyBorder="1" applyAlignment="1">
      <alignment horizontal="right"/>
    </xf>
    <xf numFmtId="164" fontId="12" fillId="0" borderId="16" xfId="7" applyNumberFormat="1" applyFont="1" applyFill="1" applyBorder="1" applyAlignment="1">
      <alignment horizontal="left"/>
    </xf>
    <xf numFmtId="5" fontId="12" fillId="0" borderId="16" xfId="7" applyNumberFormat="1" applyFont="1" applyBorder="1" applyAlignment="1">
      <alignment horizontal="right"/>
    </xf>
    <xf numFmtId="9" fontId="12" fillId="0" borderId="16" xfId="11" applyNumberFormat="1" applyFont="1" applyBorder="1" applyAlignment="1">
      <alignment horizontal="right"/>
    </xf>
    <xf numFmtId="0" fontId="12" fillId="0" borderId="0" xfId="7" applyFont="1" applyBorder="1"/>
    <xf numFmtId="164" fontId="12" fillId="0" borderId="16" xfId="7" applyNumberFormat="1" applyFont="1" applyFill="1" applyBorder="1" applyAlignment="1">
      <alignment horizontal="center"/>
    </xf>
    <xf numFmtId="0" fontId="13" fillId="0" borderId="0" xfId="7" applyFont="1" applyBorder="1" applyAlignment="1">
      <alignment horizontal="center"/>
    </xf>
    <xf numFmtId="0" fontId="14" fillId="0" borderId="8" xfId="7" applyFont="1" applyBorder="1" applyAlignment="1">
      <alignment horizontal="center" vertical="center"/>
    </xf>
    <xf numFmtId="0" fontId="12" fillId="0" borderId="8" xfId="7" applyFont="1" applyBorder="1" applyAlignment="1">
      <alignment horizontal="left" vertical="center"/>
    </xf>
    <xf numFmtId="164" fontId="12" fillId="0" borderId="8" xfId="7" applyNumberFormat="1" applyFont="1" applyBorder="1" applyAlignment="1">
      <alignment horizontal="center" wrapText="1"/>
    </xf>
    <xf numFmtId="0" fontId="12" fillId="0" borderId="16" xfId="7" applyFont="1" applyBorder="1" applyAlignment="1">
      <alignment horizontal="center"/>
    </xf>
    <xf numFmtId="0" fontId="12" fillId="0" borderId="16" xfId="7" applyFont="1" applyBorder="1" applyAlignment="1">
      <alignment wrapText="1"/>
    </xf>
    <xf numFmtId="9" fontId="12" fillId="0" borderId="16" xfId="11" applyFont="1" applyBorder="1" applyAlignment="1">
      <alignment horizontal="right"/>
    </xf>
    <xf numFmtId="37" fontId="12" fillId="0" borderId="16" xfId="7" applyNumberFormat="1" applyFont="1" applyFill="1" applyBorder="1" applyAlignment="1">
      <alignment horizontal="right"/>
    </xf>
    <xf numFmtId="164" fontId="12" fillId="0" borderId="25" xfId="7" applyNumberFormat="1" applyFont="1" applyBorder="1" applyAlignment="1">
      <alignment horizontal="center"/>
    </xf>
    <xf numFmtId="164" fontId="12" fillId="0" borderId="6" xfId="7" applyNumberFormat="1" applyFont="1" applyBorder="1" applyAlignment="1">
      <alignment horizontal="left"/>
    </xf>
    <xf numFmtId="164" fontId="12" fillId="3" borderId="8" xfId="7" applyNumberFormat="1" applyFont="1" applyFill="1" applyBorder="1" applyAlignment="1">
      <alignment horizontal="center"/>
    </xf>
    <xf numFmtId="164" fontId="12" fillId="3" borderId="11" xfId="7" applyNumberFormat="1" applyFont="1" applyFill="1" applyBorder="1" applyAlignment="1">
      <alignment horizontal="left"/>
    </xf>
    <xf numFmtId="164" fontId="12" fillId="3" borderId="9" xfId="7" applyNumberFormat="1" applyFont="1" applyFill="1" applyBorder="1" applyAlignment="1">
      <alignment horizontal="center" wrapText="1"/>
    </xf>
    <xf numFmtId="164" fontId="12" fillId="3" borderId="10" xfId="7" applyNumberFormat="1" applyFont="1" applyFill="1" applyBorder="1" applyAlignment="1">
      <alignment horizontal="center" wrapText="1"/>
    </xf>
    <xf numFmtId="9" fontId="12" fillId="3" borderId="11" xfId="11" applyFont="1" applyFill="1" applyBorder="1" applyAlignment="1">
      <alignment horizontal="center" wrapText="1"/>
    </xf>
    <xf numFmtId="0" fontId="15" fillId="0" borderId="16" xfId="7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7" applyNumberFormat="1" applyFont="1" applyFill="1" applyBorder="1" applyAlignment="1">
      <alignment horizontal="left" wrapText="1"/>
    </xf>
    <xf numFmtId="0" fontId="12" fillId="0" borderId="16" xfId="7" applyFont="1" applyBorder="1" applyAlignment="1">
      <alignment horizontal="center" vertical="center"/>
    </xf>
    <xf numFmtId="0" fontId="12" fillId="0" borderId="16" xfId="7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7" applyBorder="1" applyAlignment="1">
      <alignment wrapText="1"/>
    </xf>
    <xf numFmtId="0" fontId="2" fillId="0" borderId="35" xfId="7" applyFont="1" applyBorder="1" applyAlignment="1">
      <alignment horizontal="centerContinuous" wrapText="1"/>
    </xf>
    <xf numFmtId="0" fontId="1" fillId="0" borderId="35" xfId="7" applyFont="1" applyBorder="1" applyAlignment="1">
      <alignment horizontal="centerContinuous" wrapText="1"/>
    </xf>
    <xf numFmtId="0" fontId="1" fillId="0" borderId="35" xfId="7" applyFont="1" applyBorder="1" applyAlignment="1">
      <alignment wrapText="1"/>
    </xf>
    <xf numFmtId="164" fontId="2" fillId="0" borderId="35" xfId="7" applyNumberFormat="1" applyFont="1" applyBorder="1" applyAlignment="1">
      <alignment horizontal="center" wrapText="1"/>
    </xf>
    <xf numFmtId="0" fontId="1" fillId="0" borderId="35" xfId="7" applyFill="1" applyBorder="1" applyAlignment="1">
      <alignment wrapText="1"/>
    </xf>
    <xf numFmtId="0" fontId="2" fillId="0" borderId="35" xfId="7" applyFont="1" applyFill="1" applyBorder="1" applyAlignment="1">
      <alignment horizontal="left" wrapText="1"/>
    </xf>
    <xf numFmtId="0" fontId="2" fillId="0" borderId="35" xfId="7" applyFont="1" applyFill="1" applyBorder="1" applyAlignment="1">
      <alignment horizontal="centerContinuous" wrapText="1"/>
    </xf>
    <xf numFmtId="164" fontId="3" fillId="0" borderId="35" xfId="7" applyNumberFormat="1" applyFont="1" applyBorder="1" applyAlignment="1">
      <alignment horizontal="center" wrapText="1"/>
    </xf>
    <xf numFmtId="0" fontId="2" fillId="0" borderId="35" xfId="7" applyFont="1" applyFill="1" applyBorder="1" applyAlignment="1">
      <alignment horizontal="center" wrapText="1"/>
    </xf>
    <xf numFmtId="0" fontId="1" fillId="0" borderId="35" xfId="7" applyFill="1" applyBorder="1" applyAlignment="1">
      <alignment horizontal="center" wrapText="1"/>
    </xf>
    <xf numFmtId="0" fontId="4" fillId="0" borderId="35" xfId="7" applyFont="1" applyFill="1" applyBorder="1" applyAlignment="1">
      <alignment horizontal="center" wrapText="1"/>
    </xf>
    <xf numFmtId="0" fontId="5" fillId="0" borderId="35" xfId="7" applyFont="1" applyFill="1" applyBorder="1" applyAlignment="1">
      <alignment horizontal="center" wrapText="1"/>
    </xf>
    <xf numFmtId="0" fontId="4" fillId="0" borderId="35" xfId="7" applyFont="1" applyFill="1" applyBorder="1" applyAlignment="1">
      <alignment horizontal="left" wrapText="1"/>
    </xf>
    <xf numFmtId="0" fontId="1" fillId="0" borderId="35" xfId="7" applyFont="1" applyFill="1" applyBorder="1" applyAlignment="1">
      <alignment wrapText="1"/>
    </xf>
    <xf numFmtId="0" fontId="3" fillId="0" borderId="35" xfId="7" applyFont="1" applyFill="1" applyBorder="1" applyAlignment="1">
      <alignment horizontal="center" wrapText="1"/>
    </xf>
    <xf numFmtId="0" fontId="1" fillId="0" borderId="35" xfId="7" applyFont="1" applyBorder="1" applyAlignment="1">
      <alignment horizontal="center" wrapText="1"/>
    </xf>
    <xf numFmtId="0" fontId="1" fillId="0" borderId="35" xfId="7" applyFont="1" applyBorder="1" applyAlignment="1">
      <alignment horizontal="left" wrapText="1"/>
    </xf>
    <xf numFmtId="9" fontId="1" fillId="0" borderId="35" xfId="7" applyNumberFormat="1" applyFont="1" applyBorder="1" applyAlignment="1">
      <alignment horizontal="right" wrapText="1"/>
    </xf>
    <xf numFmtId="0" fontId="6" fillId="0" borderId="35" xfId="7" applyFont="1" applyBorder="1" applyAlignment="1">
      <alignment horizontal="center" wrapText="1"/>
    </xf>
    <xf numFmtId="0" fontId="2" fillId="0" borderId="35" xfId="7" applyFont="1" applyBorder="1" applyAlignment="1">
      <alignment horizontal="left" wrapText="1"/>
    </xf>
    <xf numFmtId="5" fontId="3" fillId="0" borderId="35" xfId="7" applyNumberFormat="1" applyFont="1" applyBorder="1" applyAlignment="1">
      <alignment horizontal="right" wrapText="1"/>
    </xf>
    <xf numFmtId="9" fontId="3" fillId="0" borderId="35" xfId="7" applyNumberFormat="1" applyFont="1" applyBorder="1" applyAlignment="1">
      <alignment horizontal="right" wrapText="1"/>
    </xf>
    <xf numFmtId="37" fontId="1" fillId="0" borderId="35" xfId="7" applyNumberFormat="1" applyFont="1" applyBorder="1" applyAlignment="1">
      <alignment horizontal="right" wrapText="1"/>
    </xf>
    <xf numFmtId="0" fontId="3" fillId="0" borderId="35" xfId="7" applyFont="1" applyBorder="1" applyAlignment="1">
      <alignment horizontal="center" wrapText="1"/>
    </xf>
    <xf numFmtId="0" fontId="5" fillId="0" borderId="35" xfId="7" applyFont="1" applyBorder="1" applyAlignment="1">
      <alignment horizontal="left" wrapText="1"/>
    </xf>
    <xf numFmtId="0" fontId="1" fillId="0" borderId="35" xfId="7" applyBorder="1" applyAlignment="1">
      <alignment horizontal="left" wrapText="1"/>
    </xf>
    <xf numFmtId="6" fontId="1" fillId="0" borderId="35" xfId="7" applyNumberFormat="1" applyBorder="1" applyAlignment="1">
      <alignment horizontal="right" wrapText="1"/>
    </xf>
    <xf numFmtId="9" fontId="1" fillId="0" borderId="35" xfId="7" applyNumberFormat="1" applyBorder="1" applyAlignment="1">
      <alignment horizontal="right" wrapText="1"/>
    </xf>
    <xf numFmtId="0" fontId="2" fillId="0" borderId="35" xfId="7" applyFont="1" applyBorder="1" applyAlignment="1">
      <alignment horizontal="center" wrapText="1"/>
    </xf>
    <xf numFmtId="0" fontId="4" fillId="0" borderId="35" xfId="7" applyFont="1" applyBorder="1" applyAlignment="1">
      <alignment horizontal="left" wrapText="1"/>
    </xf>
    <xf numFmtId="0" fontId="6" fillId="0" borderId="35" xfId="7" applyFont="1" applyFill="1" applyBorder="1" applyAlignment="1">
      <alignment horizontal="center" wrapText="1"/>
    </xf>
    <xf numFmtId="0" fontId="6" fillId="0" borderId="35" xfId="7" applyFont="1" applyFill="1" applyBorder="1" applyAlignment="1">
      <alignment horizontal="left" wrapText="1"/>
    </xf>
    <xf numFmtId="9" fontId="6" fillId="0" borderId="35" xfId="7" applyNumberFormat="1" applyFont="1" applyFill="1" applyBorder="1" applyAlignment="1">
      <alignment horizontal="right" wrapText="1"/>
    </xf>
    <xf numFmtId="0" fontId="16" fillId="0" borderId="35" xfId="7" applyFont="1" applyBorder="1" applyAlignment="1">
      <alignment wrapText="1"/>
    </xf>
    <xf numFmtId="5" fontId="6" fillId="0" borderId="35" xfId="7" applyNumberFormat="1" applyFont="1" applyBorder="1" applyAlignment="1">
      <alignment horizontal="right" wrapText="1"/>
    </xf>
    <xf numFmtId="165" fontId="6" fillId="0" borderId="35" xfId="7" applyNumberFormat="1" applyFont="1" applyBorder="1" applyAlignment="1">
      <alignment horizontal="right" wrapText="1"/>
    </xf>
    <xf numFmtId="165" fontId="3" fillId="0" borderId="35" xfId="7" applyNumberFormat="1" applyFont="1" applyBorder="1" applyAlignment="1">
      <alignment horizontal="right" wrapText="1"/>
    </xf>
    <xf numFmtId="0" fontId="1" fillId="0" borderId="35" xfId="7" applyFont="1" applyBorder="1" applyAlignment="1">
      <alignment horizontal="right" wrapText="1"/>
    </xf>
    <xf numFmtId="0" fontId="11" fillId="0" borderId="35" xfId="7" applyFont="1" applyBorder="1" applyAlignment="1">
      <alignment wrapText="1"/>
    </xf>
    <xf numFmtId="164" fontId="5" fillId="0" borderId="35" xfId="8" applyNumberFormat="1" applyFont="1" applyFill="1" applyBorder="1" applyAlignment="1">
      <alignment horizontal="center"/>
    </xf>
    <xf numFmtId="0" fontId="3" fillId="0" borderId="0" xfId="8" applyFont="1" applyBorder="1" applyAlignment="1">
      <alignment horizontal="center"/>
    </xf>
    <xf numFmtId="0" fontId="6" fillId="0" borderId="35" xfId="8" applyFont="1" applyFill="1" applyBorder="1" applyAlignment="1">
      <alignment horizontal="left"/>
    </xf>
    <xf numFmtId="0" fontId="8" fillId="0" borderId="0" xfId="8" applyNumberFormat="1" applyFont="1" applyFill="1" applyBorder="1" applyAlignment="1" applyProtection="1"/>
    <xf numFmtId="0" fontId="6" fillId="0" borderId="37" xfId="8" applyFont="1" applyFill="1" applyBorder="1" applyAlignment="1">
      <alignment horizontal="center"/>
    </xf>
    <xf numFmtId="0" fontId="3" fillId="2" borderId="35" xfId="8" applyFont="1" applyFill="1" applyBorder="1" applyAlignment="1">
      <alignment horizontal="center"/>
    </xf>
    <xf numFmtId="0" fontId="4" fillId="2" borderId="35" xfId="8" applyFont="1" applyFill="1" applyBorder="1" applyAlignment="1">
      <alignment horizontal="left"/>
    </xf>
    <xf numFmtId="5" fontId="3" fillId="2" borderId="35" xfId="8" applyNumberFormat="1" applyFont="1" applyFill="1" applyBorder="1" applyAlignment="1">
      <alignment horizontal="right"/>
    </xf>
    <xf numFmtId="165" fontId="3" fillId="2" borderId="35" xfId="8" applyNumberFormat="1" applyFont="1" applyFill="1" applyBorder="1" applyAlignment="1">
      <alignment horizontal="right"/>
    </xf>
    <xf numFmtId="0" fontId="5" fillId="2" borderId="35" xfId="8" applyFont="1" applyFill="1" applyBorder="1" applyAlignment="1">
      <alignment horizontal="left"/>
    </xf>
    <xf numFmtId="43" fontId="3" fillId="2" borderId="35" xfId="8" applyNumberFormat="1" applyFont="1" applyFill="1" applyBorder="1" applyAlignment="1">
      <alignment horizontal="right"/>
    </xf>
    <xf numFmtId="0" fontId="1" fillId="2" borderId="35" xfId="8" applyFont="1" applyFill="1" applyBorder="1" applyAlignment="1">
      <alignment horizontal="center"/>
    </xf>
    <xf numFmtId="0" fontId="6" fillId="2" borderId="35" xfId="8" applyFont="1" applyFill="1" applyBorder="1" applyAlignment="1">
      <alignment horizontal="left" wrapText="1"/>
    </xf>
    <xf numFmtId="5" fontId="6" fillId="2" borderId="35" xfId="8" applyNumberFormat="1" applyFont="1" applyFill="1" applyBorder="1" applyAlignment="1"/>
    <xf numFmtId="0" fontId="2" fillId="2" borderId="35" xfId="8" applyFont="1" applyFill="1" applyBorder="1" applyAlignment="1">
      <alignment horizontal="left"/>
    </xf>
    <xf numFmtId="164" fontId="3" fillId="2" borderId="35" xfId="8" applyNumberFormat="1" applyFont="1" applyFill="1" applyBorder="1" applyAlignment="1">
      <alignment horizontal="right"/>
    </xf>
    <xf numFmtId="0" fontId="1" fillId="2" borderId="35" xfId="8" applyFont="1" applyFill="1" applyBorder="1" applyAlignment="1">
      <alignment horizontal="left"/>
    </xf>
    <xf numFmtId="5" fontId="1" fillId="2" borderId="35" xfId="8" applyNumberFormat="1" applyFont="1" applyFill="1" applyBorder="1" applyAlignment="1"/>
    <xf numFmtId="0" fontId="1" fillId="2" borderId="32" xfId="8" applyFont="1" applyFill="1" applyBorder="1" applyAlignment="1">
      <alignment horizontal="left"/>
    </xf>
    <xf numFmtId="0" fontId="8" fillId="2" borderId="35" xfId="8" applyFill="1" applyBorder="1"/>
    <xf numFmtId="5" fontId="3" fillId="2" borderId="35" xfId="8" applyNumberFormat="1" applyFont="1" applyFill="1" applyBorder="1" applyAlignment="1"/>
    <xf numFmtId="165" fontId="3" fillId="2" borderId="35" xfId="8" applyNumberFormat="1" applyFont="1" applyFill="1" applyBorder="1" applyAlignment="1"/>
    <xf numFmtId="1" fontId="3" fillId="2" borderId="35" xfId="8" applyNumberFormat="1" applyFont="1" applyFill="1" applyBorder="1" applyAlignment="1"/>
    <xf numFmtId="42" fontId="1" fillId="2" borderId="35" xfId="8" applyNumberFormat="1" applyFont="1" applyFill="1" applyBorder="1" applyAlignment="1"/>
    <xf numFmtId="42" fontId="6" fillId="2" borderId="35" xfId="8" applyNumberFormat="1" applyFont="1" applyFill="1" applyBorder="1" applyAlignment="1"/>
    <xf numFmtId="5" fontId="6" fillId="2" borderId="35" xfId="8" applyNumberFormat="1" applyFont="1" applyFill="1" applyBorder="1" applyAlignment="1">
      <alignment horizontal="right"/>
    </xf>
    <xf numFmtId="42" fontId="6" fillId="2" borderId="35" xfId="8" applyNumberFormat="1" applyFont="1" applyFill="1" applyBorder="1" applyAlignment="1">
      <alignment horizontal="right"/>
    </xf>
    <xf numFmtId="1" fontId="3" fillId="2" borderId="35" xfId="8" applyNumberFormat="1" applyFont="1" applyFill="1" applyBorder="1" applyAlignment="1">
      <alignment horizontal="right"/>
    </xf>
    <xf numFmtId="165" fontId="6" fillId="2" borderId="35" xfId="8" applyNumberFormat="1" applyFont="1" applyFill="1" applyBorder="1" applyAlignment="1">
      <alignment horizontal="right"/>
    </xf>
    <xf numFmtId="168" fontId="3" fillId="2" borderId="35" xfId="8" applyNumberFormat="1" applyFont="1" applyFill="1" applyBorder="1" applyAlignment="1">
      <alignment horizontal="right"/>
    </xf>
    <xf numFmtId="0" fontId="6" fillId="2" borderId="0" xfId="8" applyFont="1" applyFill="1" applyBorder="1" applyAlignment="1"/>
    <xf numFmtId="168" fontId="3" fillId="2" borderId="35" xfId="8" applyNumberFormat="1" applyFont="1" applyFill="1" applyBorder="1" applyAlignment="1"/>
    <xf numFmtId="0" fontId="1" fillId="0" borderId="20" xfId="8" applyFont="1" applyBorder="1" applyAlignment="1">
      <alignment horizontal="center"/>
    </xf>
    <xf numFmtId="164" fontId="2" fillId="0" borderId="16" xfId="8" applyNumberFormat="1" applyFont="1" applyBorder="1" applyAlignment="1"/>
    <xf numFmtId="164" fontId="2" fillId="0" borderId="16" xfId="8" applyNumberFormat="1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164" fontId="11" fillId="0" borderId="0" xfId="8" applyNumberFormat="1" applyFont="1" applyBorder="1" applyAlignment="1">
      <alignment horizontal="center"/>
    </xf>
    <xf numFmtId="0" fontId="8" fillId="0" borderId="0" xfId="8" applyBorder="1"/>
    <xf numFmtId="0" fontId="2" fillId="0" borderId="0" xfId="8" applyFont="1" applyFill="1" applyBorder="1" applyAlignment="1">
      <alignment horizontal="center"/>
    </xf>
    <xf numFmtId="164" fontId="6" fillId="0" borderId="0" xfId="8" applyNumberFormat="1" applyFont="1" applyBorder="1" applyAlignment="1">
      <alignment horizontal="center"/>
    </xf>
    <xf numFmtId="0" fontId="11" fillId="0" borderId="0" xfId="8" applyFont="1" applyBorder="1" applyAlignment="1">
      <alignment horizontal="center"/>
    </xf>
    <xf numFmtId="0" fontId="5" fillId="0" borderId="20" xfId="8" applyFont="1" applyBorder="1" applyAlignment="1">
      <alignment horizontal="center"/>
    </xf>
    <xf numFmtId="164" fontId="5" fillId="0" borderId="16" xfId="8" applyNumberFormat="1" applyFont="1" applyFill="1" applyBorder="1" applyAlignment="1"/>
    <xf numFmtId="164" fontId="5" fillId="0" borderId="16" xfId="8" applyNumberFormat="1" applyFont="1" applyBorder="1" applyAlignment="1">
      <alignment horizontal="center"/>
    </xf>
    <xf numFmtId="0" fontId="11" fillId="0" borderId="0" xfId="8" applyFont="1" applyBorder="1"/>
    <xf numFmtId="164" fontId="1" fillId="0" borderId="16" xfId="8" applyNumberFormat="1" applyFont="1" applyBorder="1" applyAlignment="1">
      <alignment horizontal="center"/>
    </xf>
    <xf numFmtId="0" fontId="6" fillId="0" borderId="20" xfId="8" applyFont="1" applyBorder="1" applyAlignment="1">
      <alignment horizontal="center"/>
    </xf>
    <xf numFmtId="164" fontId="6" fillId="0" borderId="16" xfId="8" applyNumberFormat="1" applyFont="1" applyBorder="1" applyAlignment="1"/>
    <xf numFmtId="3" fontId="1" fillId="0" borderId="16" xfId="8" applyNumberFormat="1" applyFont="1" applyBorder="1" applyAlignment="1">
      <alignment horizontal="right"/>
    </xf>
    <xf numFmtId="1" fontId="1" fillId="0" borderId="16" xfId="8" applyNumberFormat="1" applyFont="1" applyBorder="1" applyAlignment="1">
      <alignment horizontal="right"/>
    </xf>
    <xf numFmtId="167" fontId="1" fillId="0" borderId="16" xfId="10" applyNumberFormat="1" applyFont="1" applyBorder="1" applyAlignment="1">
      <alignment horizontal="right"/>
    </xf>
    <xf numFmtId="5" fontId="11" fillId="0" borderId="0" xfId="8" applyNumberFormat="1" applyFont="1" applyBorder="1"/>
    <xf numFmtId="164" fontId="3" fillId="0" borderId="16" xfId="8" applyNumberFormat="1" applyFont="1" applyBorder="1" applyAlignment="1"/>
    <xf numFmtId="3" fontId="3" fillId="0" borderId="16" xfId="8" applyNumberFormat="1" applyFont="1" applyBorder="1" applyAlignment="1">
      <alignment horizontal="right"/>
    </xf>
    <xf numFmtId="167" fontId="3" fillId="0" borderId="16" xfId="10" applyNumberFormat="1" applyFont="1" applyBorder="1" applyAlignment="1">
      <alignment horizontal="right"/>
    </xf>
    <xf numFmtId="164" fontId="1" fillId="0" borderId="16" xfId="8" applyNumberFormat="1" applyFont="1" applyBorder="1" applyAlignment="1"/>
    <xf numFmtId="3" fontId="2" fillId="0" borderId="16" xfId="8" applyNumberFormat="1" applyFont="1" applyBorder="1" applyAlignment="1">
      <alignment horizontal="right"/>
    </xf>
    <xf numFmtId="167" fontId="2" fillId="0" borderId="16" xfId="10" applyNumberFormat="1" applyFont="1" applyBorder="1" applyAlignment="1">
      <alignment horizontal="right"/>
    </xf>
    <xf numFmtId="1" fontId="2" fillId="0" borderId="16" xfId="8" applyNumberFormat="1" applyFont="1" applyBorder="1" applyAlignment="1">
      <alignment horizontal="right"/>
    </xf>
    <xf numFmtId="167" fontId="2" fillId="0" borderId="16" xfId="8" applyNumberFormat="1" applyFont="1" applyBorder="1" applyAlignment="1">
      <alignment horizontal="right"/>
    </xf>
    <xf numFmtId="37" fontId="2" fillId="0" borderId="16" xfId="8" applyNumberFormat="1" applyFont="1" applyBorder="1" applyAlignment="1">
      <alignment horizontal="right"/>
    </xf>
    <xf numFmtId="9" fontId="2" fillId="0" borderId="16" xfId="8" applyNumberFormat="1" applyFont="1" applyBorder="1" applyAlignment="1">
      <alignment horizontal="right"/>
    </xf>
    <xf numFmtId="9" fontId="6" fillId="0" borderId="0" xfId="10" applyFont="1" applyBorder="1" applyAlignment="1">
      <alignment horizontal="center"/>
    </xf>
    <xf numFmtId="0" fontId="3" fillId="0" borderId="0" xfId="8" applyFont="1" applyBorder="1" applyAlignment="1"/>
    <xf numFmtId="164" fontId="3" fillId="0" borderId="0" xfId="8" applyNumberFormat="1" applyFont="1" applyBorder="1" applyAlignment="1"/>
    <xf numFmtId="0" fontId="1" fillId="0" borderId="0" xfId="8" applyFont="1" applyBorder="1"/>
    <xf numFmtId="164" fontId="1" fillId="0" borderId="0" xfId="8" applyNumberFormat="1" applyFont="1" applyBorder="1" applyAlignment="1">
      <alignment horizontal="center"/>
    </xf>
    <xf numFmtId="164" fontId="2" fillId="0" borderId="0" xfId="8" applyNumberFormat="1" applyFont="1" applyBorder="1" applyAlignment="1"/>
    <xf numFmtId="0" fontId="8" fillId="0" borderId="0" xfId="8" applyBorder="1" applyAlignment="1">
      <alignment horizontal="center"/>
    </xf>
    <xf numFmtId="164" fontId="6" fillId="0" borderId="0" xfId="8" applyNumberFormat="1" applyFont="1" applyBorder="1" applyAlignment="1"/>
    <xf numFmtId="164" fontId="6" fillId="0" borderId="0" xfId="8" applyNumberFormat="1" applyFont="1" applyBorder="1" applyAlignment="1">
      <alignment horizontal="right"/>
    </xf>
    <xf numFmtId="164" fontId="3" fillId="0" borderId="16" xfId="8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8" applyFont="1"/>
    <xf numFmtId="164" fontId="2" fillId="0" borderId="0" xfId="8" applyNumberFormat="1" applyFont="1" applyBorder="1" applyAlignment="1">
      <alignment horizontal="center"/>
    </xf>
    <xf numFmtId="0" fontId="1" fillId="0" borderId="9" xfId="8" applyFont="1" applyBorder="1" applyAlignment="1">
      <alignment horizontal="center"/>
    </xf>
    <xf numFmtId="164" fontId="5" fillId="0" borderId="16" xfId="8" applyNumberFormat="1" applyFont="1" applyBorder="1" applyAlignment="1">
      <alignment wrapText="1"/>
    </xf>
    <xf numFmtId="164" fontId="4" fillId="0" borderId="16" xfId="8" applyNumberFormat="1" applyFont="1" applyBorder="1" applyAlignment="1">
      <alignment horizontal="center"/>
    </xf>
    <xf numFmtId="164" fontId="6" fillId="0" borderId="16" xfId="8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8" applyNumberFormat="1" applyFont="1" applyBorder="1" applyAlignment="1">
      <alignment horizontal="right"/>
    </xf>
    <xf numFmtId="3" fontId="6" fillId="0" borderId="16" xfId="8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8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9" applyFont="1" applyAlignment="1" applyProtection="1">
      <alignment horizontal="center"/>
      <protection locked="0"/>
    </xf>
    <xf numFmtId="0" fontId="11" fillId="0" borderId="0" xfId="9" applyFont="1" applyBorder="1" applyProtection="1">
      <protection locked="0"/>
    </xf>
    <xf numFmtId="0" fontId="11" fillId="0" borderId="0" xfId="9" applyFont="1" applyProtection="1">
      <protection locked="0"/>
    </xf>
    <xf numFmtId="0" fontId="3" fillId="0" borderId="16" xfId="9" applyFont="1" applyBorder="1" applyAlignment="1" applyProtection="1">
      <alignment horizontal="left"/>
      <protection locked="0"/>
    </xf>
    <xf numFmtId="0" fontId="3" fillId="0" borderId="16" xfId="9" applyFont="1" applyBorder="1" applyAlignment="1" applyProtection="1">
      <alignment horizontal="center"/>
      <protection locked="0"/>
    </xf>
    <xf numFmtId="0" fontId="11" fillId="0" borderId="12" xfId="9" applyFont="1" applyBorder="1" applyProtection="1">
      <protection locked="0"/>
    </xf>
    <xf numFmtId="0" fontId="18" fillId="0" borderId="16" xfId="9" applyFont="1" applyBorder="1" applyAlignment="1" applyProtection="1">
      <alignment horizontal="center"/>
      <protection locked="0"/>
    </xf>
    <xf numFmtId="0" fontId="18" fillId="0" borderId="12" xfId="9" applyFont="1" applyBorder="1" applyAlignment="1" applyProtection="1">
      <alignment horizontal="center"/>
      <protection locked="0"/>
    </xf>
    <xf numFmtId="0" fontId="11" fillId="0" borderId="0" xfId="9" applyFont="1" applyBorder="1" applyAlignment="1" applyProtection="1">
      <alignment horizontal="center"/>
      <protection locked="0"/>
    </xf>
    <xf numFmtId="0" fontId="19" fillId="0" borderId="0" xfId="9" applyFont="1" applyAlignment="1" applyProtection="1">
      <alignment horizontal="center"/>
      <protection locked="0"/>
    </xf>
    <xf numFmtId="0" fontId="20" fillId="0" borderId="16" xfId="9" applyFont="1" applyBorder="1" applyAlignment="1" applyProtection="1">
      <alignment horizontal="center"/>
      <protection locked="0"/>
    </xf>
    <xf numFmtId="0" fontId="20" fillId="0" borderId="16" xfId="9" applyFont="1" applyBorder="1" applyAlignment="1" applyProtection="1">
      <alignment horizontal="left"/>
      <protection locked="0"/>
    </xf>
    <xf numFmtId="0" fontId="20" fillId="0" borderId="8" xfId="9" applyFont="1" applyBorder="1" applyAlignment="1" applyProtection="1">
      <alignment horizontal="center" wrapText="1"/>
      <protection locked="0"/>
    </xf>
    <xf numFmtId="0" fontId="19" fillId="0" borderId="0" xfId="9" applyFont="1" applyBorder="1" applyAlignment="1" applyProtection="1">
      <alignment horizontal="center"/>
      <protection locked="0"/>
    </xf>
    <xf numFmtId="0" fontId="20" fillId="0" borderId="0" xfId="9" applyFont="1" applyBorder="1" applyAlignment="1" applyProtection="1">
      <alignment horizontal="center"/>
      <protection locked="0"/>
    </xf>
    <xf numFmtId="0" fontId="20" fillId="0" borderId="0" xfId="9" applyFont="1" applyBorder="1" applyAlignment="1" applyProtection="1">
      <alignment horizontal="left"/>
      <protection locked="0"/>
    </xf>
    <xf numFmtId="0" fontId="18" fillId="0" borderId="0" xfId="9" applyFont="1" applyBorder="1" applyAlignment="1" applyProtection="1">
      <alignment horizontal="center" wrapText="1"/>
      <protection locked="0"/>
    </xf>
    <xf numFmtId="0" fontId="3" fillId="0" borderId="0" xfId="9" applyFont="1" applyBorder="1" applyAlignment="1" applyProtection="1">
      <alignment horizontal="center"/>
      <protection locked="0"/>
    </xf>
    <xf numFmtId="0" fontId="5" fillId="0" borderId="0" xfId="9" applyFont="1" applyBorder="1" applyAlignment="1" applyProtection="1">
      <alignment horizontal="left"/>
      <protection locked="0"/>
    </xf>
    <xf numFmtId="0" fontId="11" fillId="0" borderId="0" xfId="9" applyFont="1" applyBorder="1" applyAlignment="1" applyProtection="1">
      <alignment horizontal="right"/>
      <protection locked="0"/>
    </xf>
    <xf numFmtId="165" fontId="11" fillId="0" borderId="0" xfId="9" applyNumberFormat="1" applyFont="1" applyFill="1" applyBorder="1" applyAlignment="1" applyProtection="1">
      <alignment horizontal="center"/>
      <protection locked="0"/>
    </xf>
    <xf numFmtId="9" fontId="11" fillId="0" borderId="0" xfId="12" applyNumberFormat="1" applyFont="1" applyFill="1" applyBorder="1" applyAlignment="1" applyProtection="1">
      <alignment horizontal="center"/>
      <protection locked="0"/>
    </xf>
    <xf numFmtId="5" fontId="11" fillId="0" borderId="0" xfId="9" applyNumberFormat="1" applyFont="1" applyFill="1" applyBorder="1" applyAlignment="1" applyProtection="1">
      <alignment horizontal="right"/>
      <protection locked="0"/>
    </xf>
    <xf numFmtId="9" fontId="11" fillId="0" borderId="0" xfId="12" applyNumberFormat="1" applyFont="1" applyBorder="1" applyAlignment="1" applyProtection="1">
      <alignment horizontal="right"/>
      <protection locked="0"/>
    </xf>
    <xf numFmtId="0" fontId="3" fillId="0" borderId="0" xfId="9" applyFont="1" applyFill="1" applyBorder="1" applyAlignment="1" applyProtection="1">
      <alignment horizontal="center"/>
      <protection locked="0"/>
    </xf>
    <xf numFmtId="0" fontId="5" fillId="0" borderId="0" xfId="9" applyFont="1" applyAlignment="1" applyProtection="1">
      <alignment horizontal="left"/>
      <protection locked="0"/>
    </xf>
    <xf numFmtId="0" fontId="11" fillId="0" borderId="0" xfId="9" applyFont="1" applyBorder="1" applyAlignment="1" applyProtection="1">
      <alignment horizontal="left"/>
      <protection locked="0"/>
    </xf>
    <xf numFmtId="0" fontId="21" fillId="0" borderId="0" xfId="9" quotePrefix="1" applyFont="1" applyFill="1" applyBorder="1" applyAlignment="1" applyProtection="1">
      <alignment horizontal="left"/>
      <protection locked="0"/>
    </xf>
    <xf numFmtId="0" fontId="19" fillId="0" borderId="0" xfId="9" applyFont="1" applyFill="1" applyBorder="1" applyAlignment="1" applyProtection="1">
      <alignment horizontal="left" wrapText="1"/>
      <protection locked="0"/>
    </xf>
    <xf numFmtId="5" fontId="11" fillId="0" borderId="0" xfId="9" applyNumberFormat="1" applyFont="1" applyFill="1" applyBorder="1" applyProtection="1">
      <protection locked="0"/>
    </xf>
    <xf numFmtId="9" fontId="11" fillId="0" borderId="0" xfId="12" applyNumberFormat="1" applyFont="1" applyFill="1" applyBorder="1" applyProtection="1">
      <protection locked="0"/>
    </xf>
    <xf numFmtId="5" fontId="22" fillId="0" borderId="0" xfId="9" applyNumberFormat="1" applyFont="1" applyFill="1" applyBorder="1" applyProtection="1">
      <protection locked="0"/>
    </xf>
    <xf numFmtId="0" fontId="11" fillId="0" borderId="0" xfId="9" applyFont="1" applyFill="1" applyBorder="1" applyAlignment="1" applyProtection="1">
      <alignment horizontal="center"/>
      <protection locked="0"/>
    </xf>
    <xf numFmtId="0" fontId="19" fillId="0" borderId="0" xfId="9" quotePrefix="1" applyFont="1" applyFill="1" applyBorder="1" applyAlignment="1" applyProtection="1">
      <alignment horizontal="left" wrapText="1"/>
      <protection locked="0"/>
    </xf>
    <xf numFmtId="10" fontId="11" fillId="0" borderId="0" xfId="12" applyNumberFormat="1" applyFont="1" applyFill="1" applyBorder="1" applyAlignment="1" applyProtection="1">
      <alignment horizontal="right"/>
      <protection locked="0"/>
    </xf>
    <xf numFmtId="10" fontId="11" fillId="0" borderId="0" xfId="12" applyNumberFormat="1" applyFont="1" applyFill="1" applyBorder="1" applyProtection="1">
      <protection locked="0"/>
    </xf>
    <xf numFmtId="9" fontId="22" fillId="0" borderId="0" xfId="12" applyFont="1" applyFill="1" applyBorder="1" applyAlignment="1" applyProtection="1">
      <alignment horizontal="right"/>
      <protection locked="0"/>
    </xf>
    <xf numFmtId="37" fontId="19" fillId="0" borderId="0" xfId="9" applyNumberFormat="1" applyFont="1" applyFill="1" applyBorder="1" applyProtection="1">
      <protection locked="0"/>
    </xf>
    <xf numFmtId="37" fontId="22" fillId="0" borderId="0" xfId="9" applyNumberFormat="1" applyFont="1" applyFill="1" applyBorder="1" applyProtection="1">
      <protection locked="0"/>
    </xf>
    <xf numFmtId="9" fontId="11" fillId="0" borderId="0" xfId="12" applyFont="1" applyFill="1" applyBorder="1" applyAlignment="1" applyProtection="1">
      <alignment horizontal="right"/>
      <protection locked="0"/>
    </xf>
    <xf numFmtId="171" fontId="11" fillId="0" borderId="0" xfId="9" applyNumberFormat="1" applyFont="1" applyFill="1" applyBorder="1" applyProtection="1">
      <protection locked="0"/>
    </xf>
    <xf numFmtId="172" fontId="11" fillId="0" borderId="0" xfId="9" applyNumberFormat="1" applyFont="1" applyFill="1" applyBorder="1" applyProtection="1">
      <protection locked="0"/>
    </xf>
    <xf numFmtId="173" fontId="22" fillId="0" borderId="0" xfId="9" applyNumberFormat="1" applyFont="1" applyFill="1" applyBorder="1" applyProtection="1">
      <protection locked="0"/>
    </xf>
    <xf numFmtId="37" fontId="11" fillId="0" borderId="0" xfId="9" applyNumberFormat="1" applyFont="1" applyFill="1" applyBorder="1" applyAlignment="1" applyProtection="1">
      <alignment horizontal="right"/>
      <protection locked="0"/>
    </xf>
    <xf numFmtId="169" fontId="11" fillId="0" borderId="0" xfId="9" applyNumberFormat="1" applyFont="1" applyFill="1" applyBorder="1" applyProtection="1">
      <protection locked="0"/>
    </xf>
    <xf numFmtId="173" fontId="11" fillId="0" borderId="0" xfId="9" applyNumberFormat="1" applyFont="1" applyFill="1" applyBorder="1" applyAlignment="1" applyProtection="1">
      <alignment horizontal="right"/>
      <protection locked="0"/>
    </xf>
    <xf numFmtId="7" fontId="11" fillId="0" borderId="0" xfId="9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9" applyNumberFormat="1" applyFont="1" applyFill="1" applyBorder="1" applyProtection="1">
      <protection locked="0"/>
    </xf>
    <xf numFmtId="165" fontId="22" fillId="0" borderId="0" xfId="9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9" applyFont="1" applyFill="1" applyBorder="1" applyAlignment="1" applyProtection="1">
      <alignment horizontal="left"/>
      <protection locked="0"/>
    </xf>
    <xf numFmtId="165" fontId="11" fillId="0" borderId="0" xfId="9" applyNumberFormat="1" applyFont="1" applyFill="1" applyBorder="1" applyAlignment="1" applyProtection="1">
      <alignment horizontal="right"/>
      <protection locked="0"/>
    </xf>
    <xf numFmtId="9" fontId="22" fillId="0" borderId="0" xfId="12" applyFont="1" applyFill="1" applyBorder="1" applyProtection="1">
      <protection locked="0"/>
    </xf>
    <xf numFmtId="0" fontId="11" fillId="0" borderId="30" xfId="9" applyFont="1" applyFill="1" applyBorder="1" applyAlignment="1" applyProtection="1">
      <alignment horizontal="center"/>
      <protection locked="0"/>
    </xf>
    <xf numFmtId="167" fontId="11" fillId="0" borderId="0" xfId="12" applyNumberFormat="1" applyFont="1" applyFill="1" applyBorder="1" applyProtection="1">
      <protection locked="0"/>
    </xf>
    <xf numFmtId="167" fontId="22" fillId="0" borderId="0" xfId="12" applyNumberFormat="1" applyFont="1" applyFill="1" applyBorder="1" applyProtection="1">
      <protection locked="0"/>
    </xf>
    <xf numFmtId="167" fontId="11" fillId="0" borderId="0" xfId="12" applyNumberFormat="1" applyFont="1" applyFill="1" applyBorder="1" applyAlignment="1" applyProtection="1">
      <alignment horizontal="right"/>
      <protection locked="0"/>
    </xf>
    <xf numFmtId="5" fontId="22" fillId="0" borderId="0" xfId="9" applyNumberFormat="1" applyFont="1" applyFill="1" applyBorder="1" applyAlignment="1" applyProtection="1">
      <alignment horizontal="right"/>
      <protection locked="0"/>
    </xf>
    <xf numFmtId="37" fontId="22" fillId="0" borderId="0" xfId="9" applyNumberFormat="1" applyFont="1" applyFill="1" applyBorder="1" applyAlignment="1" applyProtection="1">
      <alignment horizontal="right"/>
      <protection locked="0"/>
    </xf>
    <xf numFmtId="5" fontId="11" fillId="0" borderId="0" xfId="12" applyNumberFormat="1" applyFont="1" applyFill="1" applyBorder="1" applyProtection="1">
      <protection locked="0"/>
    </xf>
    <xf numFmtId="5" fontId="22" fillId="0" borderId="0" xfId="12" applyNumberFormat="1" applyFont="1" applyFill="1" applyBorder="1" applyProtection="1">
      <protection locked="0"/>
    </xf>
    <xf numFmtId="5" fontId="11" fillId="0" borderId="0" xfId="12" applyNumberFormat="1" applyFont="1" applyFill="1" applyBorder="1" applyAlignment="1" applyProtection="1">
      <alignment horizontal="right"/>
      <protection locked="0"/>
    </xf>
    <xf numFmtId="39" fontId="11" fillId="0" borderId="0" xfId="9" applyNumberFormat="1" applyFont="1" applyFill="1" applyBorder="1" applyAlignment="1" applyProtection="1">
      <alignment horizontal="right"/>
      <protection locked="0"/>
    </xf>
    <xf numFmtId="9" fontId="11" fillId="0" borderId="0" xfId="12" applyNumberFormat="1" applyFont="1" applyFill="1" applyBorder="1" applyAlignment="1" applyProtection="1">
      <alignment horizontal="right"/>
      <protection locked="0"/>
    </xf>
    <xf numFmtId="39" fontId="22" fillId="0" borderId="0" xfId="9" applyNumberFormat="1" applyFont="1" applyFill="1" applyBorder="1" applyProtection="1">
      <protection locked="0"/>
    </xf>
    <xf numFmtId="0" fontId="11" fillId="0" borderId="0" xfId="9" applyFont="1" applyAlignment="1" applyProtection="1">
      <alignment horizontal="left"/>
      <protection locked="0"/>
    </xf>
    <xf numFmtId="6" fontId="11" fillId="0" borderId="0" xfId="5" applyNumberFormat="1" applyFont="1" applyBorder="1" applyProtection="1">
      <protection locked="0"/>
    </xf>
    <xf numFmtId="0" fontId="11" fillId="0" borderId="0" xfId="9" applyFont="1" applyAlignment="1" applyProtection="1">
      <alignment horizontal="right"/>
      <protection locked="0"/>
    </xf>
    <xf numFmtId="5" fontId="11" fillId="0" borderId="0" xfId="5" applyNumberFormat="1" applyFont="1" applyBorder="1" applyProtection="1">
      <protection locked="0"/>
    </xf>
    <xf numFmtId="9" fontId="11" fillId="0" borderId="0" xfId="12" applyNumberFormat="1" applyFont="1" applyBorder="1" applyProtection="1">
      <protection locked="0"/>
    </xf>
    <xf numFmtId="5" fontId="23" fillId="0" borderId="0" xfId="5" applyNumberFormat="1" applyFont="1" applyBorder="1" applyProtection="1">
      <protection locked="0"/>
    </xf>
    <xf numFmtId="6" fontId="11" fillId="0" borderId="0" xfId="5" applyNumberFormat="1" applyFont="1" applyBorder="1" applyAlignment="1" applyProtection="1">
      <alignment horizontal="right"/>
      <protection locked="0"/>
    </xf>
    <xf numFmtId="5" fontId="11" fillId="0" borderId="0" xfId="5" applyNumberFormat="1" applyFont="1" applyBorder="1" applyAlignment="1" applyProtection="1">
      <alignment horizontal="right"/>
      <protection locked="0"/>
    </xf>
    <xf numFmtId="10" fontId="11" fillId="0" borderId="0" xfId="12" applyNumberFormat="1" applyFont="1" applyBorder="1" applyProtection="1">
      <protection locked="0"/>
    </xf>
    <xf numFmtId="0" fontId="11" fillId="0" borderId="0" xfId="9" applyFont="1" applyFill="1" applyBorder="1" applyAlignment="1" applyProtection="1">
      <alignment horizontal="right"/>
      <protection locked="0"/>
    </xf>
    <xf numFmtId="0" fontId="3" fillId="0" borderId="0" xfId="9" applyFont="1" applyFill="1" applyBorder="1" applyAlignment="1" applyProtection="1">
      <alignment horizontal="left"/>
      <protection locked="0"/>
    </xf>
    <xf numFmtId="0" fontId="11" fillId="0" borderId="0" xfId="9" applyFont="1" applyFill="1" applyBorder="1" applyProtection="1">
      <protection locked="0"/>
    </xf>
    <xf numFmtId="9" fontId="11" fillId="0" borderId="0" xfId="9" applyNumberFormat="1" applyFont="1" applyFill="1" applyBorder="1" applyProtection="1">
      <protection locked="0"/>
    </xf>
    <xf numFmtId="0" fontId="22" fillId="0" borderId="0" xfId="9" applyFont="1" applyFill="1" applyBorder="1" applyProtection="1">
      <protection locked="0"/>
    </xf>
    <xf numFmtId="7" fontId="11" fillId="0" borderId="0" xfId="9" applyNumberFormat="1" applyFont="1" applyFill="1" applyBorder="1" applyAlignment="1" applyProtection="1">
      <alignment horizontal="right"/>
      <protection locked="0"/>
    </xf>
    <xf numFmtId="165" fontId="22" fillId="0" borderId="0" xfId="9" applyNumberFormat="1" applyFont="1" applyFill="1" applyBorder="1" applyAlignment="1" applyProtection="1">
      <alignment horizontal="right"/>
      <protection locked="0"/>
    </xf>
    <xf numFmtId="7" fontId="22" fillId="0" borderId="0" xfId="9" applyNumberFormat="1" applyFont="1" applyFill="1" applyBorder="1" applyProtection="1">
      <protection locked="0"/>
    </xf>
    <xf numFmtId="0" fontId="11" fillId="0" borderId="0" xfId="9" applyFont="1" applyFill="1" applyAlignment="1" applyProtection="1">
      <alignment horizontal="center"/>
      <protection locked="0"/>
    </xf>
    <xf numFmtId="9" fontId="11" fillId="0" borderId="0" xfId="12" applyFont="1" applyFill="1" applyBorder="1" applyProtection="1">
      <protection locked="0"/>
    </xf>
    <xf numFmtId="175" fontId="22" fillId="0" borderId="0" xfId="9" applyNumberFormat="1" applyFont="1" applyFill="1" applyBorder="1" applyProtection="1">
      <protection locked="0"/>
    </xf>
    <xf numFmtId="175" fontId="11" fillId="0" borderId="0" xfId="9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9" applyNumberFormat="1" applyFont="1" applyFill="1" applyBorder="1" applyProtection="1">
      <protection locked="0"/>
    </xf>
    <xf numFmtId="7" fontId="11" fillId="0" borderId="0" xfId="9" applyNumberFormat="1" applyFont="1" applyFill="1" applyBorder="1" applyAlignment="1" applyProtection="1">
      <alignment horizontal="left"/>
      <protection locked="0"/>
    </xf>
    <xf numFmtId="5" fontId="11" fillId="0" borderId="0" xfId="5" applyNumberFormat="1" applyFont="1" applyFill="1" applyBorder="1" applyProtection="1">
      <protection locked="0"/>
    </xf>
    <xf numFmtId="5" fontId="22" fillId="0" borderId="0" xfId="5" applyNumberFormat="1" applyFont="1" applyFill="1" applyBorder="1" applyProtection="1">
      <protection locked="0"/>
    </xf>
    <xf numFmtId="5" fontId="11" fillId="0" borderId="0" xfId="5" applyNumberFormat="1" applyFont="1" applyFill="1" applyBorder="1" applyAlignment="1" applyProtection="1">
      <alignment horizontal="right"/>
      <protection locked="0"/>
    </xf>
    <xf numFmtId="39" fontId="22" fillId="0" borderId="0" xfId="9" applyNumberFormat="1" applyFont="1" applyFill="1" applyBorder="1" applyAlignment="1" applyProtection="1">
      <alignment horizontal="right"/>
      <protection locked="0"/>
    </xf>
    <xf numFmtId="0" fontId="3" fillId="0" borderId="0" xfId="9" applyFont="1" applyAlignment="1" applyProtection="1">
      <alignment horizontal="left"/>
      <protection locked="0"/>
    </xf>
    <xf numFmtId="5" fontId="11" fillId="0" borderId="0" xfId="9" applyNumberFormat="1" applyFont="1" applyBorder="1" applyProtection="1">
      <protection locked="0"/>
    </xf>
    <xf numFmtId="5" fontId="22" fillId="0" borderId="0" xfId="9" applyNumberFormat="1" applyFont="1" applyBorder="1" applyProtection="1">
      <protection locked="0"/>
    </xf>
    <xf numFmtId="5" fontId="11" fillId="0" borderId="0" xfId="9" applyNumberFormat="1" applyFont="1" applyBorder="1" applyAlignment="1" applyProtection="1">
      <alignment horizontal="right"/>
      <protection locked="0"/>
    </xf>
    <xf numFmtId="7" fontId="11" fillId="0" borderId="0" xfId="12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9" applyNumberFormat="1" applyFont="1" applyAlignment="1" applyProtection="1">
      <alignment horizontal="right"/>
      <protection locked="0"/>
    </xf>
    <xf numFmtId="5" fontId="25" fillId="0" borderId="0" xfId="5" applyNumberFormat="1" applyFont="1" applyBorder="1" applyProtection="1">
      <protection locked="0"/>
    </xf>
    <xf numFmtId="0" fontId="11" fillId="0" borderId="0" xfId="9" quotePrefix="1" applyFont="1" applyBorder="1" applyAlignment="1" applyProtection="1">
      <alignment horizontal="left"/>
      <protection locked="0"/>
    </xf>
    <xf numFmtId="37" fontId="23" fillId="0" borderId="0" xfId="9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2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9" quotePrefix="1" applyFont="1" applyFill="1" applyBorder="1" applyAlignment="1" applyProtection="1">
      <alignment horizontal="left"/>
      <protection locked="0"/>
    </xf>
    <xf numFmtId="5" fontId="23" fillId="0" borderId="0" xfId="9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9" applyNumberFormat="1" applyFont="1" applyFill="1" applyBorder="1" applyAlignment="1" applyProtection="1"/>
    <xf numFmtId="5" fontId="3" fillId="0" borderId="0" xfId="9" applyNumberFormat="1" applyFont="1" applyFill="1" applyBorder="1" applyAlignment="1" applyProtection="1">
      <alignment horizontal="right"/>
      <protection locked="0"/>
    </xf>
    <xf numFmtId="0" fontId="5" fillId="0" borderId="0" xfId="9" applyFont="1" applyFill="1" applyBorder="1" applyAlignment="1" applyProtection="1">
      <alignment horizontal="left"/>
      <protection locked="0"/>
    </xf>
    <xf numFmtId="5" fontId="11" fillId="0" borderId="0" xfId="9" applyNumberFormat="1" applyFont="1" applyFill="1" applyBorder="1" applyAlignment="1" applyProtection="1">
      <alignment horizontal="left"/>
      <protection locked="0"/>
    </xf>
    <xf numFmtId="0" fontId="11" fillId="0" borderId="0" xfId="9" applyFont="1" applyBorder="1" applyAlignment="1">
      <alignment vertical="top"/>
    </xf>
    <xf numFmtId="0" fontId="3" fillId="0" borderId="0" xfId="9" applyFont="1" applyBorder="1" applyAlignment="1" applyProtection="1">
      <alignment horizontal="left"/>
      <protection locked="0"/>
    </xf>
    <xf numFmtId="9" fontId="11" fillId="0" borderId="0" xfId="12" applyFont="1" applyFill="1" applyBorder="1" applyAlignment="1" applyProtection="1">
      <alignment horizontal="left"/>
      <protection locked="0"/>
    </xf>
    <xf numFmtId="10" fontId="11" fillId="0" borderId="0" xfId="9" applyNumberFormat="1" applyFont="1" applyBorder="1" applyAlignment="1">
      <alignment horizontal="center"/>
    </xf>
    <xf numFmtId="10" fontId="11" fillId="0" borderId="0" xfId="9" applyNumberFormat="1" applyFont="1" applyFill="1" applyBorder="1" applyAlignment="1" applyProtection="1">
      <alignment horizontal="center"/>
      <protection locked="0"/>
    </xf>
    <xf numFmtId="0" fontId="11" fillId="0" borderId="0" xfId="9" applyFont="1" applyBorder="1" applyAlignment="1" applyProtection="1">
      <protection locked="0"/>
    </xf>
    <xf numFmtId="0" fontId="18" fillId="0" borderId="0" xfId="9" applyFont="1" applyAlignment="1" applyProtection="1">
      <alignment horizontal="center"/>
      <protection locked="0"/>
    </xf>
    <xf numFmtId="0" fontId="18" fillId="0" borderId="0" xfId="9" applyFont="1" applyAlignment="1" applyProtection="1">
      <alignment horizontal="left"/>
      <protection locked="0"/>
    </xf>
    <xf numFmtId="5" fontId="11" fillId="0" borderId="0" xfId="5" applyNumberFormat="1" applyFont="1" applyBorder="1" applyAlignment="1" applyProtection="1">
      <alignment horizontal="left"/>
      <protection locked="0"/>
    </xf>
    <xf numFmtId="37" fontId="11" fillId="0" borderId="0" xfId="5" applyNumberFormat="1" applyFont="1" applyBorder="1" applyAlignment="1" applyProtection="1">
      <alignment horizontal="left"/>
      <protection locked="0"/>
    </xf>
    <xf numFmtId="37" fontId="11" fillId="0" borderId="0" xfId="5" applyNumberFormat="1" applyFont="1" applyBorder="1" applyProtection="1">
      <protection locked="0"/>
    </xf>
    <xf numFmtId="173" fontId="11" fillId="0" borderId="0" xfId="9" applyNumberFormat="1" applyFont="1" applyFill="1" applyBorder="1" applyAlignment="1" applyProtection="1">
      <alignment horizontal="left"/>
      <protection locked="0"/>
    </xf>
    <xf numFmtId="173" fontId="11" fillId="0" borderId="0" xfId="9" applyNumberFormat="1" applyFont="1" applyFill="1" applyBorder="1" applyProtection="1">
      <protection locked="0"/>
    </xf>
    <xf numFmtId="175" fontId="11" fillId="0" borderId="0" xfId="9" applyNumberFormat="1" applyFont="1" applyFill="1" applyBorder="1" applyProtection="1">
      <protection locked="0"/>
    </xf>
    <xf numFmtId="37" fontId="11" fillId="0" borderId="0" xfId="9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9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2" applyNumberFormat="1" applyFont="1" applyFill="1" applyBorder="1" applyAlignment="1" applyProtection="1">
      <alignment horizontal="left"/>
      <protection locked="0"/>
    </xf>
    <xf numFmtId="164" fontId="11" fillId="0" borderId="0" xfId="9" applyNumberFormat="1" applyFont="1" applyFill="1" applyBorder="1" applyAlignment="1" applyProtection="1">
      <alignment horizontal="left"/>
      <protection locked="0"/>
    </xf>
    <xf numFmtId="164" fontId="11" fillId="0" borderId="0" xfId="9" applyNumberFormat="1" applyFont="1" applyBorder="1" applyAlignment="1" applyProtection="1">
      <alignment horizontal="left"/>
      <protection locked="0"/>
    </xf>
    <xf numFmtId="5" fontId="11" fillId="0" borderId="0" xfId="12" applyNumberFormat="1" applyFont="1" applyFill="1" applyBorder="1" applyAlignment="1" applyProtection="1">
      <alignment horizontal="left"/>
      <protection locked="0"/>
    </xf>
    <xf numFmtId="39" fontId="11" fillId="0" borderId="0" xfId="9" applyNumberFormat="1" applyFont="1" applyFill="1" applyBorder="1" applyAlignment="1" applyProtection="1">
      <alignment horizontal="left"/>
      <protection locked="0"/>
    </xf>
    <xf numFmtId="39" fontId="11" fillId="0" borderId="0" xfId="9" applyNumberFormat="1" applyFont="1" applyFill="1" applyBorder="1" applyProtection="1">
      <protection locked="0"/>
    </xf>
    <xf numFmtId="9" fontId="11" fillId="0" borderId="0" xfId="12" applyNumberFormat="1" applyFont="1" applyFill="1" applyBorder="1" applyAlignment="1" applyProtection="1">
      <alignment horizontal="left"/>
      <protection locked="0"/>
    </xf>
    <xf numFmtId="164" fontId="11" fillId="0" borderId="0" xfId="9" applyNumberFormat="1" applyFont="1" applyAlignment="1" applyProtection="1">
      <alignment horizontal="left"/>
      <protection locked="0"/>
    </xf>
    <xf numFmtId="0" fontId="19" fillId="0" borderId="0" xfId="9" applyFont="1" applyProtection="1">
      <protection locked="0"/>
    </xf>
    <xf numFmtId="164" fontId="18" fillId="0" borderId="16" xfId="9" applyNumberFormat="1" applyFont="1" applyBorder="1" applyAlignment="1" applyProtection="1">
      <alignment horizontal="center"/>
      <protection locked="0"/>
    </xf>
    <xf numFmtId="0" fontId="5" fillId="0" borderId="8" xfId="9" applyFont="1" applyBorder="1" applyAlignment="1" applyProtection="1">
      <alignment horizontal="center"/>
      <protection locked="0"/>
    </xf>
    <xf numFmtId="0" fontId="5" fillId="0" borderId="8" xfId="9" applyFont="1" applyBorder="1" applyAlignment="1">
      <alignment horizontal="left"/>
    </xf>
    <xf numFmtId="0" fontId="3" fillId="0" borderId="8" xfId="9" applyFont="1" applyBorder="1" applyAlignment="1" applyProtection="1">
      <alignment horizontal="center" wrapText="1"/>
      <protection locked="0"/>
    </xf>
    <xf numFmtId="0" fontId="20" fillId="0" borderId="8" xfId="9" applyFont="1" applyBorder="1" applyAlignment="1" applyProtection="1">
      <alignment horizontal="center"/>
      <protection locked="0"/>
    </xf>
    <xf numFmtId="0" fontId="20" fillId="0" borderId="8" xfId="9" applyFont="1" applyBorder="1" applyAlignment="1">
      <alignment horizontal="left"/>
    </xf>
    <xf numFmtId="0" fontId="18" fillId="0" borderId="8" xfId="9" applyFont="1" applyBorder="1" applyAlignment="1" applyProtection="1">
      <alignment horizontal="center"/>
      <protection locked="0"/>
    </xf>
    <xf numFmtId="0" fontId="11" fillId="0" borderId="16" xfId="9" applyFont="1" applyBorder="1" applyAlignment="1"/>
    <xf numFmtId="0" fontId="9" fillId="0" borderId="16" xfId="9" applyFont="1" applyBorder="1" applyAlignment="1">
      <alignment horizontal="center" vertical="top"/>
    </xf>
    <xf numFmtId="0" fontId="5" fillId="0" borderId="16" xfId="9" applyFont="1" applyBorder="1" applyAlignment="1"/>
    <xf numFmtId="0" fontId="19" fillId="0" borderId="16" xfId="9" applyFont="1" applyBorder="1" applyAlignment="1" applyProtection="1">
      <alignment horizontal="center"/>
      <protection locked="0"/>
    </xf>
    <xf numFmtId="0" fontId="11" fillId="0" borderId="16" xfId="9" applyFont="1" applyBorder="1" applyAlignment="1">
      <alignment horizontal="center"/>
    </xf>
    <xf numFmtId="0" fontId="11" fillId="0" borderId="16" xfId="9" applyFont="1" applyBorder="1" applyAlignment="1" applyProtection="1">
      <alignment horizontal="center"/>
      <protection locked="0"/>
    </xf>
    <xf numFmtId="0" fontId="11" fillId="0" borderId="0" xfId="9" applyFont="1" applyAlignment="1" applyProtection="1">
      <alignment horizontal="center"/>
      <protection locked="0"/>
    </xf>
    <xf numFmtId="0" fontId="18" fillId="0" borderId="16" xfId="9" applyFont="1" applyBorder="1" applyAlignment="1">
      <alignment horizontal="center" vertical="top"/>
    </xf>
    <xf numFmtId="0" fontId="20" fillId="0" borderId="16" xfId="9" applyFont="1" applyBorder="1" applyAlignment="1">
      <alignment vertical="top"/>
    </xf>
    <xf numFmtId="0" fontId="11" fillId="0" borderId="16" xfId="9" applyFont="1" applyBorder="1" applyProtection="1">
      <protection locked="0"/>
    </xf>
    <xf numFmtId="0" fontId="11" fillId="0" borderId="16" xfId="9" applyFont="1" applyBorder="1" applyAlignment="1">
      <alignment vertical="top" wrapText="1"/>
    </xf>
    <xf numFmtId="0" fontId="11" fillId="0" borderId="16" xfId="9" applyFont="1" applyBorder="1" applyAlignment="1">
      <alignment horizontal="center" vertical="top"/>
    </xf>
    <xf numFmtId="6" fontId="11" fillId="0" borderId="16" xfId="9" applyNumberFormat="1" applyFont="1" applyBorder="1" applyAlignment="1">
      <alignment horizontal="right" vertical="top"/>
    </xf>
    <xf numFmtId="6" fontId="11" fillId="0" borderId="16" xfId="9" applyNumberFormat="1" applyFont="1" applyBorder="1" applyAlignment="1">
      <alignment vertical="top"/>
    </xf>
    <xf numFmtId="38" fontId="11" fillId="0" borderId="16" xfId="9" applyNumberFormat="1" applyFont="1" applyBorder="1" applyAlignment="1">
      <alignment horizontal="right" vertical="top"/>
    </xf>
    <xf numFmtId="0" fontId="18" fillId="0" borderId="16" xfId="9" applyFont="1" applyBorder="1" applyAlignment="1">
      <alignment vertical="top" wrapText="1"/>
    </xf>
    <xf numFmtId="6" fontId="18" fillId="0" borderId="16" xfId="9" applyNumberFormat="1" applyFont="1" applyBorder="1" applyAlignment="1">
      <alignment vertical="top"/>
    </xf>
    <xf numFmtId="38" fontId="11" fillId="0" borderId="16" xfId="9" applyNumberFormat="1" applyFont="1" applyBorder="1" applyAlignment="1">
      <alignment vertical="top"/>
    </xf>
    <xf numFmtId="0" fontId="19" fillId="0" borderId="16" xfId="9" applyFont="1" applyBorder="1" applyAlignment="1" applyProtection="1">
      <alignment horizontal="left"/>
      <protection locked="0"/>
    </xf>
    <xf numFmtId="0" fontId="19" fillId="0" borderId="16" xfId="9" applyFont="1" applyBorder="1" applyProtection="1">
      <protection locked="0"/>
    </xf>
    <xf numFmtId="0" fontId="20" fillId="0" borderId="16" xfId="9" applyFont="1" applyBorder="1" applyProtection="1">
      <protection locked="0"/>
    </xf>
    <xf numFmtId="0" fontId="20" fillId="0" borderId="16" xfId="9" applyFont="1" applyBorder="1" applyAlignment="1"/>
    <xf numFmtId="10" fontId="11" fillId="0" borderId="16" xfId="12" applyNumberFormat="1" applyFont="1" applyBorder="1" applyAlignment="1">
      <alignment vertical="top"/>
    </xf>
    <xf numFmtId="10" fontId="18" fillId="0" borderId="16" xfId="9" applyNumberFormat="1" applyFont="1" applyBorder="1" applyAlignment="1">
      <alignment vertical="top"/>
    </xf>
    <xf numFmtId="10" fontId="18" fillId="0" borderId="16" xfId="12" applyNumberFormat="1" applyFont="1" applyBorder="1" applyAlignment="1">
      <alignment vertical="top"/>
    </xf>
    <xf numFmtId="10" fontId="18" fillId="0" borderId="16" xfId="9" applyNumberFormat="1" applyFont="1" applyBorder="1" applyAlignment="1" applyProtection="1">
      <alignment horizontal="center"/>
      <protection locked="0"/>
    </xf>
    <xf numFmtId="0" fontId="18" fillId="0" borderId="16" xfId="9" applyFont="1" applyBorder="1" applyProtection="1">
      <protection locked="0"/>
    </xf>
    <xf numFmtId="167" fontId="11" fillId="0" borderId="16" xfId="12" applyNumberFormat="1" applyFont="1" applyBorder="1" applyAlignment="1">
      <alignment vertical="top"/>
    </xf>
    <xf numFmtId="0" fontId="9" fillId="0" borderId="16" xfId="9" applyFont="1" applyBorder="1" applyAlignment="1" applyProtection="1">
      <alignment horizontal="center"/>
      <protection locked="0"/>
    </xf>
    <xf numFmtId="3" fontId="11" fillId="0" borderId="16" xfId="9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9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9" applyNumberFormat="1" applyFont="1" applyBorder="1" applyAlignment="1">
      <alignment vertical="top"/>
    </xf>
    <xf numFmtId="3" fontId="11" fillId="0" borderId="16" xfId="9" applyNumberFormat="1" applyFont="1" applyFill="1" applyBorder="1" applyAlignment="1">
      <alignment vertical="top"/>
    </xf>
    <xf numFmtId="170" fontId="11" fillId="0" borderId="16" xfId="9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9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9" applyNumberFormat="1" applyFont="1" applyBorder="1" applyAlignment="1">
      <alignment vertical="top"/>
    </xf>
    <xf numFmtId="180" fontId="11" fillId="0" borderId="16" xfId="9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9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9" applyFont="1" applyBorder="1" applyAlignment="1">
      <alignment horizontal="right" vertical="top"/>
    </xf>
    <xf numFmtId="6" fontId="11" fillId="0" borderId="16" xfId="9" applyNumberFormat="1" applyFont="1" applyBorder="1" applyProtection="1">
      <protection locked="0"/>
    </xf>
    <xf numFmtId="10" fontId="11" fillId="0" borderId="16" xfId="12" applyNumberFormat="1" applyFont="1" applyBorder="1" applyProtection="1">
      <protection locked="0"/>
    </xf>
    <xf numFmtId="0" fontId="27" fillId="0" borderId="16" xfId="9" applyFont="1" applyFill="1" applyBorder="1" applyAlignment="1">
      <alignment vertical="top" wrapText="1"/>
    </xf>
    <xf numFmtId="6" fontId="11" fillId="0" borderId="16" xfId="9" applyNumberFormat="1" applyFont="1" applyFill="1" applyBorder="1" applyProtection="1">
      <protection locked="0"/>
    </xf>
    <xf numFmtId="0" fontId="5" fillId="0" borderId="16" xfId="9" applyFont="1" applyBorder="1" applyAlignment="1">
      <alignment vertical="top"/>
    </xf>
    <xf numFmtId="0" fontId="11" fillId="0" borderId="16" xfId="9" applyFont="1" applyBorder="1" applyAlignment="1" applyProtection="1">
      <alignment horizontal="left"/>
      <protection locked="0"/>
    </xf>
    <xf numFmtId="0" fontId="18" fillId="0" borderId="16" xfId="9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9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9" applyNumberFormat="1" applyFont="1" applyBorder="1" applyProtection="1">
      <protection locked="0"/>
    </xf>
    <xf numFmtId="181" fontId="11" fillId="0" borderId="16" xfId="9" applyNumberFormat="1" applyFont="1" applyBorder="1" applyProtection="1">
      <protection locked="0"/>
    </xf>
    <xf numFmtId="181" fontId="18" fillId="0" borderId="16" xfId="9" applyNumberFormat="1" applyFont="1" applyBorder="1" applyProtection="1">
      <protection locked="0"/>
    </xf>
    <xf numFmtId="182" fontId="18" fillId="0" borderId="16" xfId="9" applyNumberFormat="1" applyFont="1" applyBorder="1" applyProtection="1">
      <protection locked="0"/>
    </xf>
    <xf numFmtId="8" fontId="11" fillId="0" borderId="16" xfId="9" applyNumberFormat="1" applyFont="1" applyBorder="1" applyProtection="1">
      <protection locked="0"/>
    </xf>
    <xf numFmtId="8" fontId="18" fillId="0" borderId="16" xfId="9" applyNumberFormat="1" applyFont="1" applyBorder="1" applyProtection="1">
      <protection locked="0"/>
    </xf>
    <xf numFmtId="8" fontId="11" fillId="0" borderId="16" xfId="9" applyNumberFormat="1" applyFont="1" applyBorder="1" applyAlignment="1" applyProtection="1">
      <alignment horizontal="right"/>
      <protection locked="0"/>
    </xf>
    <xf numFmtId="8" fontId="18" fillId="0" borderId="16" xfId="9" applyNumberFormat="1" applyFont="1" applyBorder="1" applyAlignment="1" applyProtection="1">
      <alignment horizontal="right"/>
      <protection locked="0"/>
    </xf>
    <xf numFmtId="6" fontId="18" fillId="0" borderId="16" xfId="9" applyNumberFormat="1" applyFont="1" applyBorder="1" applyProtection="1">
      <protection locked="0"/>
    </xf>
    <xf numFmtId="6" fontId="29" fillId="0" borderId="16" xfId="9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9" applyNumberFormat="1" applyFont="1" applyBorder="1" applyProtection="1">
      <protection locked="0"/>
    </xf>
    <xf numFmtId="6" fontId="11" fillId="0" borderId="23" xfId="9" applyNumberFormat="1" applyFont="1" applyBorder="1" applyProtection="1">
      <protection locked="0"/>
    </xf>
    <xf numFmtId="0" fontId="11" fillId="0" borderId="16" xfId="9" applyFont="1" applyFill="1" applyBorder="1" applyAlignment="1">
      <alignment horizontal="center" vertical="top"/>
    </xf>
    <xf numFmtId="0" fontId="11" fillId="0" borderId="16" xfId="9" applyFont="1" applyFill="1" applyBorder="1" applyAlignment="1">
      <alignment vertical="top"/>
    </xf>
    <xf numFmtId="6" fontId="29" fillId="0" borderId="16" xfId="9" applyNumberFormat="1" applyFont="1" applyFill="1" applyBorder="1" applyProtection="1">
      <protection locked="0"/>
    </xf>
    <xf numFmtId="0" fontId="19" fillId="0" borderId="0" xfId="9" applyFont="1" applyFill="1" applyProtection="1">
      <protection locked="0"/>
    </xf>
    <xf numFmtId="0" fontId="3" fillId="0" borderId="16" xfId="9" applyFont="1" applyBorder="1" applyAlignment="1">
      <alignment vertical="top"/>
    </xf>
    <xf numFmtId="10" fontId="11" fillId="0" borderId="16" xfId="9" applyNumberFormat="1" applyFont="1" applyBorder="1" applyProtection="1">
      <protection locked="0"/>
    </xf>
    <xf numFmtId="10" fontId="18" fillId="0" borderId="16" xfId="12" applyNumberFormat="1" applyFont="1" applyBorder="1" applyProtection="1">
      <protection locked="0"/>
    </xf>
    <xf numFmtId="10" fontId="18" fillId="0" borderId="16" xfId="9" applyNumberFormat="1" applyFont="1" applyBorder="1" applyProtection="1">
      <protection locked="0"/>
    </xf>
    <xf numFmtId="0" fontId="3" fillId="0" borderId="16" xfId="9" applyFont="1" applyBorder="1" applyAlignment="1"/>
    <xf numFmtId="6" fontId="11" fillId="0" borderId="16" xfId="9" applyNumberFormat="1" applyFont="1" applyFill="1" applyBorder="1" applyAlignment="1">
      <alignment horizontal="right" vertical="top"/>
    </xf>
    <xf numFmtId="6" fontId="11" fillId="0" borderId="16" xfId="9" applyNumberFormat="1" applyFont="1" applyFill="1" applyBorder="1" applyAlignment="1">
      <alignment vertical="top"/>
    </xf>
    <xf numFmtId="6" fontId="18" fillId="0" borderId="16" xfId="9" applyNumberFormat="1" applyFont="1" applyFill="1" applyBorder="1" applyAlignment="1">
      <alignment vertical="top"/>
    </xf>
    <xf numFmtId="6" fontId="18" fillId="0" borderId="16" xfId="9" applyNumberFormat="1" applyFont="1" applyBorder="1" applyAlignment="1">
      <alignment horizontal="right" vertical="top"/>
    </xf>
    <xf numFmtId="6" fontId="18" fillId="0" borderId="16" xfId="9" applyNumberFormat="1" applyFont="1" applyFill="1" applyBorder="1" applyAlignment="1">
      <alignment horizontal="right" vertical="top"/>
    </xf>
    <xf numFmtId="0" fontId="11" fillId="0" borderId="0" xfId="9" applyFont="1" applyFill="1" applyBorder="1" applyAlignment="1" applyProtection="1">
      <alignment horizontal="left"/>
      <protection locked="0"/>
    </xf>
    <xf numFmtId="0" fontId="19" fillId="0" borderId="0" xfId="9" applyFont="1" applyAlignment="1" applyProtection="1">
      <alignment horizontal="left"/>
      <protection locked="0"/>
    </xf>
    <xf numFmtId="6" fontId="6" fillId="0" borderId="0" xfId="9" applyNumberFormat="1" applyFont="1" applyAlignment="1" applyProtection="1">
      <alignment horizontal="center"/>
      <protection locked="0"/>
    </xf>
    <xf numFmtId="0" fontId="6" fillId="0" borderId="0" xfId="9" applyFont="1" applyAlignment="1" applyProtection="1">
      <alignment horizontal="center"/>
      <protection locked="0"/>
    </xf>
    <xf numFmtId="164" fontId="3" fillId="0" borderId="16" xfId="9" applyNumberFormat="1" applyFont="1" applyBorder="1" applyAlignment="1" applyProtection="1">
      <alignment horizontal="center"/>
      <protection locked="0"/>
    </xf>
    <xf numFmtId="6" fontId="11" fillId="0" borderId="0" xfId="9" applyNumberFormat="1" applyFont="1" applyAlignment="1">
      <alignment vertical="top"/>
    </xf>
    <xf numFmtId="0" fontId="5" fillId="0" borderId="8" xfId="9" applyFont="1" applyBorder="1" applyAlignment="1" applyProtection="1">
      <alignment horizontal="left"/>
      <protection locked="0"/>
    </xf>
    <xf numFmtId="0" fontId="11" fillId="0" borderId="0" xfId="9" applyFont="1" applyAlignment="1"/>
    <xf numFmtId="0" fontId="3" fillId="0" borderId="8" xfId="9" applyFont="1" applyBorder="1" applyAlignment="1">
      <alignment horizontal="centerContinuous"/>
    </xf>
    <xf numFmtId="0" fontId="11" fillId="0" borderId="0" xfId="9" applyFont="1" applyAlignment="1">
      <alignment vertical="top"/>
    </xf>
    <xf numFmtId="0" fontId="11" fillId="0" borderId="16" xfId="9" applyFont="1" applyBorder="1" applyAlignment="1">
      <alignment vertical="top"/>
    </xf>
    <xf numFmtId="6" fontId="11" fillId="0" borderId="0" xfId="9" applyNumberFormat="1" applyFont="1" applyAlignment="1">
      <alignment horizontal="right" vertical="top"/>
    </xf>
    <xf numFmtId="0" fontId="18" fillId="0" borderId="16" xfId="9" applyFont="1" applyBorder="1" applyAlignment="1">
      <alignment vertical="top"/>
    </xf>
    <xf numFmtId="0" fontId="6" fillId="0" borderId="16" xfId="9" applyFont="1" applyBorder="1" applyProtection="1">
      <protection locked="0"/>
    </xf>
    <xf numFmtId="0" fontId="6" fillId="0" borderId="16" xfId="9" applyFont="1" applyBorder="1" applyAlignment="1" applyProtection="1">
      <alignment horizontal="left"/>
      <protection locked="0"/>
    </xf>
    <xf numFmtId="6" fontId="11" fillId="0" borderId="0" xfId="9" applyNumberFormat="1" applyFont="1" applyAlignment="1" applyProtection="1">
      <alignment vertical="top"/>
      <protection locked="0"/>
    </xf>
    <xf numFmtId="0" fontId="6" fillId="0" borderId="0" xfId="9" applyFont="1" applyProtection="1">
      <protection locked="0"/>
    </xf>
    <xf numFmtId="0" fontId="6" fillId="0" borderId="0" xfId="9" applyFont="1" applyAlignment="1" applyProtection="1">
      <alignment horizontal="left"/>
      <protection locked="0"/>
    </xf>
    <xf numFmtId="0" fontId="18" fillId="0" borderId="0" xfId="9" applyFont="1" applyAlignment="1">
      <alignment vertical="top"/>
    </xf>
    <xf numFmtId="3" fontId="11" fillId="0" borderId="0" xfId="9" applyNumberFormat="1" applyFont="1" applyAlignment="1">
      <alignment horizontal="right" vertical="top"/>
    </xf>
    <xf numFmtId="0" fontId="11" fillId="0" borderId="0" xfId="9" applyFont="1" applyAlignment="1">
      <alignment horizontal="right" vertical="top"/>
    </xf>
    <xf numFmtId="3" fontId="18" fillId="0" borderId="16" xfId="9" applyNumberFormat="1" applyFont="1" applyBorder="1" applyAlignment="1">
      <alignment horizontal="right" vertical="top"/>
    </xf>
    <xf numFmtId="10" fontId="11" fillId="0" borderId="16" xfId="9" applyNumberFormat="1" applyFont="1" applyBorder="1" applyAlignment="1">
      <alignment horizontal="right" vertical="top"/>
    </xf>
    <xf numFmtId="185" fontId="11" fillId="0" borderId="16" xfId="9" applyNumberFormat="1" applyFont="1" applyBorder="1" applyProtection="1">
      <protection locked="0"/>
    </xf>
    <xf numFmtId="0" fontId="6" fillId="0" borderId="16" xfId="9" applyFont="1" applyFill="1" applyBorder="1" applyAlignment="1">
      <alignment vertical="top"/>
    </xf>
    <xf numFmtId="0" fontId="6" fillId="0" borderId="16" xfId="9" applyFont="1" applyBorder="1" applyAlignment="1" applyProtection="1">
      <alignment horizontal="center"/>
      <protection locked="0"/>
    </xf>
    <xf numFmtId="6" fontId="11" fillId="0" borderId="30" xfId="9" applyNumberFormat="1" applyFont="1" applyBorder="1" applyAlignment="1">
      <alignment horizontal="right" vertical="top"/>
    </xf>
    <xf numFmtId="6" fontId="11" fillId="0" borderId="30" xfId="9" applyNumberFormat="1" applyFont="1" applyBorder="1" applyAlignment="1">
      <alignment vertical="top"/>
    </xf>
    <xf numFmtId="6" fontId="18" fillId="0" borderId="30" xfId="9" applyNumberFormat="1" applyFont="1" applyBorder="1" applyAlignment="1">
      <alignment horizontal="right" vertical="top"/>
    </xf>
    <xf numFmtId="0" fontId="1" fillId="0" borderId="35" xfId="8" applyFont="1" applyBorder="1"/>
    <xf numFmtId="0" fontId="3" fillId="0" borderId="0" xfId="8" applyFont="1" applyBorder="1" applyAlignment="1">
      <alignment horizontal="right"/>
    </xf>
    <xf numFmtId="37" fontId="2" fillId="0" borderId="35" xfId="8" applyNumberFormat="1" applyFont="1" applyBorder="1" applyAlignment="1">
      <alignment horizontal="center"/>
    </xf>
    <xf numFmtId="5" fontId="8" fillId="0" borderId="0" xfId="8" applyNumberFormat="1" applyBorder="1" applyAlignment="1">
      <alignment horizontal="center"/>
    </xf>
    <xf numFmtId="9" fontId="11" fillId="0" borderId="0" xfId="10" applyFont="1" applyBorder="1" applyAlignment="1">
      <alignment horizontal="center"/>
    </xf>
    <xf numFmtId="0" fontId="5" fillId="0" borderId="35" xfId="8" applyFont="1" applyBorder="1" applyAlignment="1">
      <alignment horizontal="center"/>
    </xf>
    <xf numFmtId="0" fontId="5" fillId="0" borderId="35" xfId="8" applyFont="1" applyBorder="1"/>
    <xf numFmtId="0" fontId="4" fillId="0" borderId="35" xfId="8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8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6" applyNumberFormat="1" applyFont="1" applyBorder="1" applyProtection="1">
      <protection locked="0"/>
    </xf>
    <xf numFmtId="37" fontId="11" fillId="0" borderId="0" xfId="6" applyNumberFormat="1" applyFont="1" applyBorder="1" applyProtection="1">
      <protection locked="0"/>
    </xf>
    <xf numFmtId="37" fontId="8" fillId="0" borderId="0" xfId="8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8" applyFont="1" applyBorder="1" applyAlignment="1">
      <alignment horizontal="left"/>
    </xf>
    <xf numFmtId="186" fontId="6" fillId="0" borderId="35" xfId="8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8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8" applyNumberFormat="1" applyFont="1" applyBorder="1" applyAlignment="1">
      <alignment horizontal="right"/>
    </xf>
    <xf numFmtId="9" fontId="10" fillId="0" borderId="35" xfId="8" applyNumberFormat="1" applyFont="1" applyBorder="1" applyAlignment="1">
      <alignment horizontal="right"/>
    </xf>
    <xf numFmtId="0" fontId="30" fillId="0" borderId="35" xfId="8" applyFont="1" applyBorder="1" applyAlignment="1">
      <alignment horizontal="center"/>
    </xf>
    <xf numFmtId="9" fontId="19" fillId="0" borderId="0" xfId="10" applyFont="1" applyBorder="1" applyAlignment="1">
      <alignment horizontal="center"/>
    </xf>
    <xf numFmtId="0" fontId="3" fillId="0" borderId="35" xfId="8" applyFont="1" applyBorder="1" applyAlignment="1">
      <alignment horizontal="left" wrapText="1"/>
    </xf>
    <xf numFmtId="167" fontId="3" fillId="0" borderId="35" xfId="8" applyNumberFormat="1" applyFont="1" applyBorder="1" applyAlignment="1">
      <alignment horizontal="right"/>
    </xf>
    <xf numFmtId="5" fontId="8" fillId="0" borderId="0" xfId="8" applyNumberFormat="1" applyBorder="1"/>
    <xf numFmtId="9" fontId="8" fillId="0" borderId="0" xfId="10" applyBorder="1"/>
    <xf numFmtId="0" fontId="8" fillId="0" borderId="0" xfId="8" applyBorder="1" applyAlignment="1">
      <alignment horizontal="right"/>
    </xf>
    <xf numFmtId="0" fontId="3" fillId="0" borderId="0" xfId="8" applyFont="1" applyBorder="1" applyAlignment="1">
      <alignment horizontal="left"/>
    </xf>
    <xf numFmtId="10" fontId="3" fillId="0" borderId="35" xfId="8" applyNumberFormat="1" applyFont="1" applyBorder="1" applyAlignment="1">
      <alignment horizontal="right"/>
    </xf>
    <xf numFmtId="0" fontId="2" fillId="0" borderId="35" xfId="8" applyFont="1" applyBorder="1" applyAlignment="1"/>
    <xf numFmtId="0" fontId="31" fillId="0" borderId="35" xfId="8" applyFont="1" applyBorder="1" applyAlignment="1">
      <alignment horizontal="left"/>
    </xf>
    <xf numFmtId="5" fontId="31" fillId="0" borderId="35" xfId="8" applyNumberFormat="1" applyFont="1" applyBorder="1" applyAlignment="1">
      <alignment horizontal="right"/>
    </xf>
    <xf numFmtId="7" fontId="11" fillId="0" borderId="0" xfId="6" applyNumberFormat="1" applyFont="1" applyBorder="1" applyProtection="1">
      <protection locked="0"/>
    </xf>
    <xf numFmtId="0" fontId="19" fillId="0" borderId="0" xfId="8" applyFont="1" applyBorder="1" applyAlignment="1">
      <alignment wrapText="1"/>
    </xf>
    <xf numFmtId="0" fontId="18" fillId="0" borderId="35" xfId="8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8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8" applyFont="1" applyAlignment="1">
      <alignment horizontal="center"/>
    </xf>
    <xf numFmtId="0" fontId="8" fillId="0" borderId="0" xfId="8" applyAlignment="1"/>
    <xf numFmtId="0" fontId="8" fillId="0" borderId="0" xfId="8"/>
    <xf numFmtId="0" fontId="32" fillId="0" borderId="0" xfId="8" quotePrefix="1" applyFont="1" applyBorder="1" applyAlignment="1">
      <alignment horizontal="center" wrapText="1"/>
    </xf>
    <xf numFmtId="0" fontId="33" fillId="0" borderId="0" xfId="8" applyFont="1" applyAlignment="1">
      <alignment horizontal="center"/>
    </xf>
    <xf numFmtId="0" fontId="33" fillId="0" borderId="0" xfId="8" applyFont="1" applyBorder="1" applyAlignment="1">
      <alignment horizontal="left" wrapText="1"/>
    </xf>
    <xf numFmtId="0" fontId="32" fillId="0" borderId="0" xfId="8" applyFont="1" applyBorder="1" applyAlignment="1">
      <alignment horizontal="center" wrapText="1"/>
    </xf>
    <xf numFmtId="0" fontId="34" fillId="0" borderId="0" xfId="8" applyFont="1"/>
    <xf numFmtId="0" fontId="33" fillId="0" borderId="0" xfId="8" applyFont="1" applyBorder="1" applyAlignment="1">
      <alignment horizontal="center" wrapText="1"/>
    </xf>
    <xf numFmtId="0" fontId="33" fillId="0" borderId="0" xfId="8" applyFont="1"/>
    <xf numFmtId="0" fontId="28" fillId="0" borderId="0" xfId="8" applyFont="1" applyBorder="1" applyAlignment="1">
      <alignment horizontal="center" wrapText="1"/>
    </xf>
    <xf numFmtId="0" fontId="35" fillId="0" borderId="0" xfId="8" applyFont="1" applyBorder="1" applyAlignment="1">
      <alignment horizontal="center"/>
    </xf>
    <xf numFmtId="0" fontId="35" fillId="0" borderId="0" xfId="8" applyFont="1" applyBorder="1" applyAlignment="1">
      <alignment horizontal="left" wrapText="1"/>
    </xf>
    <xf numFmtId="6" fontId="35" fillId="0" borderId="0" xfId="8" applyNumberFormat="1" applyFont="1" applyBorder="1" applyAlignment="1">
      <alignment horizontal="right" wrapText="1"/>
    </xf>
    <xf numFmtId="0" fontId="33" fillId="0" borderId="0" xfId="8" applyFont="1" applyBorder="1" applyAlignment="1">
      <alignment horizontal="left"/>
    </xf>
    <xf numFmtId="0" fontId="20" fillId="0" borderId="0" xfId="8" applyFont="1" applyAlignment="1">
      <alignment horizontal="left"/>
    </xf>
    <xf numFmtId="3" fontId="35" fillId="0" borderId="0" xfId="8" applyNumberFormat="1" applyFont="1" applyBorder="1" applyAlignment="1">
      <alignment horizontal="right"/>
    </xf>
    <xf numFmtId="3" fontId="35" fillId="0" borderId="0" xfId="8" applyNumberFormat="1" applyFont="1" applyBorder="1" applyAlignment="1">
      <alignment horizontal="right" wrapText="1"/>
    </xf>
    <xf numFmtId="187" fontId="35" fillId="0" borderId="0" xfId="8" applyNumberFormat="1" applyFont="1" applyBorder="1" applyAlignment="1">
      <alignment horizontal="right" wrapText="1"/>
    </xf>
    <xf numFmtId="172" fontId="35" fillId="0" borderId="0" xfId="8" applyNumberFormat="1" applyFont="1" applyFill="1" applyBorder="1" applyAlignment="1">
      <alignment horizontal="right" wrapText="1"/>
    </xf>
    <xf numFmtId="0" fontId="8" fillId="0" borderId="0" xfId="8" applyAlignment="1">
      <alignment horizontal="left" wrapText="1"/>
    </xf>
    <xf numFmtId="165" fontId="35" fillId="0" borderId="0" xfId="8" applyNumberFormat="1" applyFont="1" applyBorder="1" applyAlignment="1">
      <alignment horizontal="right" wrapText="1"/>
    </xf>
    <xf numFmtId="0" fontId="34" fillId="0" borderId="0" xfId="8" applyFont="1" applyBorder="1" applyAlignment="1">
      <alignment horizontal="center"/>
    </xf>
    <xf numFmtId="0" fontId="34" fillId="0" borderId="0" xfId="8" applyFont="1" applyBorder="1" applyAlignment="1">
      <alignment horizontal="left" wrapText="1"/>
    </xf>
    <xf numFmtId="165" fontId="34" fillId="0" borderId="0" xfId="8" applyNumberFormat="1" applyFont="1" applyBorder="1" applyAlignment="1">
      <alignment horizontal="right" wrapText="1"/>
    </xf>
    <xf numFmtId="9" fontId="35" fillId="0" borderId="0" xfId="10" applyFont="1" applyBorder="1"/>
    <xf numFmtId="6" fontId="34" fillId="0" borderId="0" xfId="8" applyNumberFormat="1" applyFont="1" applyBorder="1" applyAlignment="1">
      <alignment horizontal="right" wrapText="1"/>
    </xf>
    <xf numFmtId="9" fontId="34" fillId="0" borderId="0" xfId="10" applyFont="1" applyBorder="1"/>
    <xf numFmtId="188" fontId="34" fillId="0" borderId="0" xfId="8" applyNumberFormat="1" applyFont="1" applyBorder="1" applyAlignment="1">
      <alignment horizontal="right" wrapText="1"/>
    </xf>
    <xf numFmtId="188" fontId="35" fillId="0" borderId="0" xfId="8" applyNumberFormat="1" applyFont="1" applyBorder="1" applyAlignment="1">
      <alignment horizontal="right" wrapText="1"/>
    </xf>
    <xf numFmtId="165" fontId="35" fillId="0" borderId="0" xfId="6" applyNumberFormat="1" applyFont="1" applyBorder="1" applyAlignment="1">
      <alignment horizontal="right" wrapText="1"/>
    </xf>
    <xf numFmtId="6" fontId="36" fillId="0" borderId="0" xfId="8" applyNumberFormat="1" applyFont="1" applyBorder="1" applyAlignment="1">
      <alignment horizontal="right" wrapText="1"/>
    </xf>
    <xf numFmtId="44" fontId="2" fillId="0" borderId="32" xfId="4" applyFont="1" applyBorder="1" applyAlignment="1">
      <alignment horizontal="center"/>
    </xf>
    <xf numFmtId="44" fontId="2" fillId="0" borderId="33" xfId="4" applyFont="1" applyBorder="1" applyAlignment="1">
      <alignment horizontal="center"/>
    </xf>
    <xf numFmtId="44" fontId="2" fillId="0" borderId="34" xfId="4" applyFont="1" applyBorder="1" applyAlignment="1">
      <alignment horizontal="center"/>
    </xf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8" applyFont="1" applyBorder="1" applyAlignment="1">
      <alignment horizontal="center"/>
    </xf>
    <xf numFmtId="0" fontId="3" fillId="0" borderId="33" xfId="8" applyFont="1" applyBorder="1" applyAlignment="1">
      <alignment horizontal="center"/>
    </xf>
    <xf numFmtId="0" fontId="3" fillId="0" borderId="34" xfId="8" applyFont="1" applyBorder="1" applyAlignment="1">
      <alignment horizontal="center"/>
    </xf>
    <xf numFmtId="164" fontId="3" fillId="0" borderId="12" xfId="7" applyNumberFormat="1" applyFont="1" applyBorder="1" applyAlignment="1">
      <alignment horizontal="center"/>
    </xf>
    <xf numFmtId="164" fontId="3" fillId="0" borderId="8" xfId="7" applyNumberFormat="1" applyFont="1" applyBorder="1" applyAlignment="1">
      <alignment horizontal="center"/>
    </xf>
    <xf numFmtId="164" fontId="5" fillId="0" borderId="12" xfId="7" applyNumberFormat="1" applyFont="1" applyBorder="1" applyAlignment="1">
      <alignment horizontal="left" wrapText="1"/>
    </xf>
    <xf numFmtId="164" fontId="5" fillId="0" borderId="8" xfId="7" applyNumberFormat="1" applyFont="1" applyBorder="1" applyAlignment="1">
      <alignment horizontal="left" wrapText="1"/>
    </xf>
    <xf numFmtId="5" fontId="6" fillId="0" borderId="13" xfId="7" applyNumberFormat="1" applyFont="1" applyBorder="1" applyAlignment="1">
      <alignment horizontal="center"/>
    </xf>
    <xf numFmtId="5" fontId="6" fillId="0" borderId="14" xfId="7" applyNumberFormat="1" applyFont="1" applyBorder="1" applyAlignment="1">
      <alignment horizontal="center"/>
    </xf>
    <xf numFmtId="5" fontId="6" fillId="0" borderId="15" xfId="7" applyNumberFormat="1" applyFont="1" applyBorder="1" applyAlignment="1">
      <alignment horizontal="center"/>
    </xf>
    <xf numFmtId="5" fontId="6" fillId="0" borderId="9" xfId="7" applyNumberFormat="1" applyFont="1" applyBorder="1" applyAlignment="1">
      <alignment horizontal="center"/>
    </xf>
    <xf numFmtId="5" fontId="6" fillId="0" borderId="10" xfId="7" applyNumberFormat="1" applyFont="1" applyBorder="1" applyAlignment="1">
      <alignment horizontal="center"/>
    </xf>
    <xf numFmtId="5" fontId="6" fillId="0" borderId="11" xfId="7" applyNumberFormat="1" applyFont="1" applyBorder="1" applyAlignment="1">
      <alignment horizontal="center"/>
    </xf>
    <xf numFmtId="0" fontId="3" fillId="0" borderId="0" xfId="7" applyFont="1" applyBorder="1" applyAlignment="1">
      <alignment horizontal="center"/>
    </xf>
    <xf numFmtId="164" fontId="3" fillId="3" borderId="9" xfId="7" applyNumberFormat="1" applyFont="1" applyFill="1" applyBorder="1" applyAlignment="1">
      <alignment horizontal="center" wrapText="1"/>
    </xf>
    <xf numFmtId="164" fontId="3" fillId="3" borderId="10" xfId="7" applyNumberFormat="1" applyFont="1" applyFill="1" applyBorder="1" applyAlignment="1">
      <alignment horizontal="center" wrapText="1"/>
    </xf>
    <xf numFmtId="164" fontId="3" fillId="3" borderId="11" xfId="7" applyNumberFormat="1" applyFont="1" applyFill="1" applyBorder="1" applyAlignment="1">
      <alignment horizontal="center" wrapText="1"/>
    </xf>
    <xf numFmtId="0" fontId="3" fillId="0" borderId="20" xfId="8" applyFont="1" applyBorder="1" applyAlignment="1">
      <alignment horizontal="center"/>
    </xf>
    <xf numFmtId="0" fontId="3" fillId="0" borderId="21" xfId="8" applyFont="1" applyBorder="1" applyAlignment="1">
      <alignment horizontal="center"/>
    </xf>
    <xf numFmtId="0" fontId="3" fillId="0" borderId="22" xfId="8" applyFont="1" applyBorder="1" applyAlignment="1">
      <alignment horizontal="center"/>
    </xf>
    <xf numFmtId="0" fontId="13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164" fontId="12" fillId="3" borderId="27" xfId="7" applyNumberFormat="1" applyFont="1" applyFill="1" applyBorder="1" applyAlignment="1">
      <alignment horizontal="center" wrapText="1"/>
    </xf>
    <xf numFmtId="164" fontId="12" fillId="3" borderId="28" xfId="7" applyNumberFormat="1" applyFont="1" applyFill="1" applyBorder="1" applyAlignment="1">
      <alignment horizontal="center" wrapText="1"/>
    </xf>
    <xf numFmtId="164" fontId="12" fillId="3" borderId="29" xfId="7" applyNumberFormat="1" applyFont="1" applyFill="1" applyBorder="1" applyAlignment="1">
      <alignment horizontal="center" wrapText="1"/>
    </xf>
    <xf numFmtId="0" fontId="14" fillId="0" borderId="23" xfId="7" applyFont="1" applyBorder="1" applyAlignment="1">
      <alignment horizontal="center"/>
    </xf>
    <xf numFmtId="0" fontId="14" fillId="0" borderId="8" xfId="7" applyFont="1" applyBorder="1" applyAlignment="1">
      <alignment horizontal="center"/>
    </xf>
    <xf numFmtId="0" fontId="15" fillId="0" borderId="23" xfId="7" applyFont="1" applyBorder="1" applyAlignment="1"/>
    <xf numFmtId="0" fontId="15" fillId="0" borderId="8" xfId="7" applyFont="1" applyBorder="1" applyAlignment="1"/>
    <xf numFmtId="164" fontId="12" fillId="0" borderId="30" xfId="7" applyNumberFormat="1" applyFont="1" applyBorder="1" applyAlignment="1">
      <alignment horizontal="center" wrapText="1"/>
    </xf>
    <xf numFmtId="164" fontId="12" fillId="0" borderId="0" xfId="7" applyNumberFormat="1" applyFont="1" applyBorder="1" applyAlignment="1">
      <alignment horizontal="center" wrapText="1"/>
    </xf>
    <xf numFmtId="164" fontId="12" fillId="0" borderId="31" xfId="7" applyNumberFormat="1" applyFont="1" applyBorder="1" applyAlignment="1">
      <alignment horizontal="center" wrapText="1"/>
    </xf>
    <xf numFmtId="164" fontId="12" fillId="0" borderId="9" xfId="7" applyNumberFormat="1" applyFont="1" applyBorder="1" applyAlignment="1">
      <alignment horizontal="center" wrapText="1"/>
    </xf>
    <xf numFmtId="164" fontId="12" fillId="0" borderId="10" xfId="7" applyNumberFormat="1" applyFont="1" applyBorder="1" applyAlignment="1">
      <alignment horizontal="center" wrapText="1"/>
    </xf>
    <xf numFmtId="164" fontId="12" fillId="0" borderId="11" xfId="7" applyNumberFormat="1" applyFont="1" applyBorder="1" applyAlignment="1">
      <alignment horizontal="center" wrapText="1"/>
    </xf>
    <xf numFmtId="0" fontId="14" fillId="0" borderId="12" xfId="7" applyFont="1" applyBorder="1" applyAlignment="1">
      <alignment horizontal="center"/>
    </xf>
    <xf numFmtId="0" fontId="15" fillId="0" borderId="12" xfId="7" applyFont="1" applyBorder="1" applyAlignment="1">
      <alignment horizontal="left"/>
    </xf>
    <xf numFmtId="0" fontId="15" fillId="0" borderId="8" xfId="7" applyFont="1" applyBorder="1" applyAlignment="1">
      <alignment horizontal="left"/>
    </xf>
    <xf numFmtId="164" fontId="12" fillId="0" borderId="13" xfId="7" applyNumberFormat="1" applyFont="1" applyBorder="1" applyAlignment="1">
      <alignment horizontal="center" wrapText="1"/>
    </xf>
    <xf numFmtId="164" fontId="12" fillId="0" borderId="14" xfId="7" applyNumberFormat="1" applyFont="1" applyBorder="1" applyAlignment="1">
      <alignment horizontal="center" wrapText="1"/>
    </xf>
    <xf numFmtId="164" fontId="12" fillId="0" borderId="15" xfId="7" applyNumberFormat="1" applyFont="1" applyBorder="1" applyAlignment="1">
      <alignment horizontal="center" wrapText="1"/>
    </xf>
    <xf numFmtId="0" fontId="2" fillId="0" borderId="32" xfId="7" applyFont="1" applyBorder="1" applyAlignment="1">
      <alignment horizontal="center" wrapText="1"/>
    </xf>
    <xf numFmtId="0" fontId="2" fillId="0" borderId="33" xfId="7" applyFont="1" applyBorder="1" applyAlignment="1">
      <alignment horizontal="center" wrapText="1"/>
    </xf>
    <xf numFmtId="0" fontId="2" fillId="0" borderId="34" xfId="7" applyFont="1" applyBorder="1" applyAlignment="1">
      <alignment horizontal="center" wrapText="1"/>
    </xf>
    <xf numFmtId="164" fontId="3" fillId="0" borderId="20" xfId="8" applyNumberFormat="1" applyFont="1" applyBorder="1" applyAlignment="1">
      <alignment wrapText="1"/>
    </xf>
    <xf numFmtId="164" fontId="3" fillId="0" borderId="21" xfId="8" applyNumberFormat="1" applyFont="1" applyBorder="1" applyAlignment="1">
      <alignment wrapText="1"/>
    </xf>
    <xf numFmtId="164" fontId="3" fillId="0" borderId="22" xfId="8" applyNumberFormat="1" applyFont="1" applyBorder="1" applyAlignment="1">
      <alignment wrapText="1"/>
    </xf>
    <xf numFmtId="0" fontId="2" fillId="0" borderId="20" xfId="8" applyFont="1" applyBorder="1" applyAlignment="1">
      <alignment horizontal="center"/>
    </xf>
    <xf numFmtId="0" fontId="2" fillId="0" borderId="21" xfId="8" applyFont="1" applyBorder="1" applyAlignment="1">
      <alignment horizontal="center"/>
    </xf>
    <xf numFmtId="0" fontId="2" fillId="0" borderId="22" xfId="8" applyFont="1" applyBorder="1" applyAlignment="1">
      <alignment horizontal="center"/>
    </xf>
    <xf numFmtId="0" fontId="3" fillId="0" borderId="0" xfId="9" applyFont="1" applyAlignment="1" applyProtection="1">
      <alignment horizontal="center"/>
      <protection locked="0"/>
    </xf>
    <xf numFmtId="0" fontId="3" fillId="0" borderId="20" xfId="9" applyFont="1" applyBorder="1" applyAlignment="1" applyProtection="1">
      <alignment horizontal="center"/>
      <protection locked="0"/>
    </xf>
    <xf numFmtId="0" fontId="3" fillId="0" borderId="21" xfId="9" applyFont="1" applyBorder="1" applyAlignment="1" applyProtection="1">
      <alignment horizontal="center"/>
      <protection locked="0"/>
    </xf>
    <xf numFmtId="0" fontId="3" fillId="0" borderId="22" xfId="9" applyFont="1" applyBorder="1" applyAlignment="1" applyProtection="1">
      <alignment horizontal="center"/>
      <protection locked="0"/>
    </xf>
    <xf numFmtId="0" fontId="3" fillId="0" borderId="0" xfId="9" applyFont="1" applyBorder="1" applyAlignment="1">
      <alignment horizontal="center"/>
    </xf>
    <xf numFmtId="0" fontId="19" fillId="0" borderId="0" xfId="9" applyFont="1" applyBorder="1" applyAlignment="1" applyProtection="1">
      <alignment horizontal="left"/>
      <protection locked="0"/>
    </xf>
    <xf numFmtId="0" fontId="3" fillId="0" borderId="0" xfId="9" applyFont="1" applyBorder="1" applyAlignment="1" applyProtection="1">
      <alignment horizontal="center"/>
      <protection locked="0"/>
    </xf>
    <xf numFmtId="164" fontId="3" fillId="0" borderId="20" xfId="9" applyNumberFormat="1" applyFont="1" applyBorder="1" applyAlignment="1" applyProtection="1">
      <alignment horizontal="center"/>
      <protection locked="0"/>
    </xf>
    <xf numFmtId="164" fontId="3" fillId="0" borderId="21" xfId="9" applyNumberFormat="1" applyFont="1" applyBorder="1" applyAlignment="1" applyProtection="1">
      <alignment horizontal="center"/>
      <protection locked="0"/>
    </xf>
    <xf numFmtId="164" fontId="3" fillId="0" borderId="22" xfId="9" applyNumberFormat="1" applyFont="1" applyBorder="1" applyAlignment="1" applyProtection="1">
      <alignment horizontal="center"/>
      <protection locked="0"/>
    </xf>
    <xf numFmtId="0" fontId="3" fillId="0" borderId="32" xfId="8" applyFont="1" applyBorder="1" applyAlignment="1">
      <alignment horizontal="left"/>
    </xf>
    <xf numFmtId="0" fontId="3" fillId="0" borderId="33" xfId="8" applyFont="1" applyBorder="1" applyAlignment="1">
      <alignment horizontal="left"/>
    </xf>
    <xf numFmtId="0" fontId="3" fillId="0" borderId="34" xfId="8" applyFont="1" applyBorder="1" applyAlignment="1">
      <alignment horizontal="left"/>
    </xf>
    <xf numFmtId="0" fontId="1" fillId="0" borderId="32" xfId="8" applyFont="1" applyBorder="1"/>
    <xf numFmtId="0" fontId="1" fillId="0" borderId="33" xfId="8" applyFont="1" applyBorder="1"/>
    <xf numFmtId="0" fontId="1" fillId="0" borderId="34" xfId="8" applyFont="1" applyBorder="1"/>
    <xf numFmtId="0" fontId="2" fillId="0" borderId="32" xfId="8" applyFont="1" applyBorder="1" applyAlignment="1">
      <alignment horizontal="center"/>
    </xf>
    <xf numFmtId="0" fontId="2" fillId="0" borderId="33" xfId="8" applyFont="1" applyBorder="1" applyAlignment="1">
      <alignment horizontal="center"/>
    </xf>
    <xf numFmtId="0" fontId="2" fillId="0" borderId="34" xfId="8" applyFont="1" applyBorder="1" applyAlignment="1">
      <alignment horizontal="center"/>
    </xf>
    <xf numFmtId="0" fontId="3" fillId="0" borderId="32" xfId="8" applyFont="1" applyBorder="1" applyAlignment="1">
      <alignment horizontal="left" wrapText="1"/>
    </xf>
    <xf numFmtId="0" fontId="3" fillId="0" borderId="33" xfId="8" applyFont="1" applyBorder="1" applyAlignment="1">
      <alignment horizontal="left" wrapText="1"/>
    </xf>
    <xf numFmtId="0" fontId="3" fillId="0" borderId="34" xfId="8" applyFont="1" applyBorder="1" applyAlignment="1">
      <alignment horizontal="left" wrapText="1"/>
    </xf>
    <xf numFmtId="0" fontId="32" fillId="0" borderId="0" xfId="8" applyFont="1" applyAlignment="1">
      <alignment horizontal="center"/>
    </xf>
    <xf numFmtId="0" fontId="8" fillId="0" borderId="0" xfId="8" applyAlignment="1"/>
  </cellXfs>
  <cellStyles count="13">
    <cellStyle name="Comma 2" xfId="1"/>
    <cellStyle name="Comma 3" xfId="2"/>
    <cellStyle name="Comma 4" xfId="3"/>
    <cellStyle name="Currency" xfId="4" builtinId="4"/>
    <cellStyle name="Currency 2" xfId="5"/>
    <cellStyle name="Currency 3" xfId="6"/>
    <cellStyle name="Normal" xfId="0" builtinId="0"/>
    <cellStyle name="Normal 2" xfId="7"/>
    <cellStyle name="Normal 3" xfId="8"/>
    <cellStyle name="Normal 4" xfId="9"/>
    <cellStyle name="Percent 2" xfId="10"/>
    <cellStyle name="Percent 3" xfId="11"/>
    <cellStyle name="Percent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6" t="s">
        <v>1</v>
      </c>
      <c r="B2" s="767"/>
      <c r="C2" s="767"/>
      <c r="D2" s="767"/>
      <c r="E2" s="767"/>
      <c r="F2" s="768"/>
    </row>
    <row r="3" spans="1:8" ht="24" customHeight="1" x14ac:dyDescent="0.25">
      <c r="A3" s="766" t="s">
        <v>2</v>
      </c>
      <c r="B3" s="767"/>
      <c r="C3" s="767"/>
      <c r="D3" s="767"/>
      <c r="E3" s="767"/>
      <c r="F3" s="768"/>
    </row>
    <row r="4" spans="1:8" ht="24" customHeight="1" x14ac:dyDescent="0.25">
      <c r="A4" s="766" t="s">
        <v>3</v>
      </c>
      <c r="B4" s="767"/>
      <c r="C4" s="767"/>
      <c r="D4" s="767"/>
      <c r="E4" s="767"/>
      <c r="F4" s="768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6414687</v>
      </c>
      <c r="D13" s="22">
        <v>12239488</v>
      </c>
      <c r="E13" s="22">
        <f t="shared" ref="E13:E22" si="0">D13-C13</f>
        <v>5824801</v>
      </c>
      <c r="F13" s="23">
        <f t="shared" ref="F13:F22" si="1">IF(C13=0,0,E13/C13)</f>
        <v>0.90804134324870411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26534856</v>
      </c>
      <c r="D15" s="22">
        <v>27182276</v>
      </c>
      <c r="E15" s="22">
        <f t="shared" si="0"/>
        <v>647420</v>
      </c>
      <c r="F15" s="23">
        <f t="shared" si="1"/>
        <v>2.4398851081008317E-2</v>
      </c>
    </row>
    <row r="16" spans="1:8" ht="24" customHeight="1" x14ac:dyDescent="0.2">
      <c r="A16" s="20">
        <v>4</v>
      </c>
      <c r="B16" s="21" t="s">
        <v>19</v>
      </c>
      <c r="C16" s="22">
        <v>4781749</v>
      </c>
      <c r="D16" s="22">
        <v>1300096</v>
      </c>
      <c r="E16" s="22">
        <f t="shared" si="0"/>
        <v>-3481653</v>
      </c>
      <c r="F16" s="23">
        <f t="shared" si="1"/>
        <v>-0.7281128725075281</v>
      </c>
    </row>
    <row r="17" spans="1:11" ht="24" customHeight="1" x14ac:dyDescent="0.2">
      <c r="A17" s="20">
        <v>5</v>
      </c>
      <c r="B17" s="21" t="s">
        <v>20</v>
      </c>
      <c r="C17" s="22">
        <v>484258</v>
      </c>
      <c r="D17" s="22">
        <v>370120</v>
      </c>
      <c r="E17" s="22">
        <f t="shared" si="0"/>
        <v>-114138</v>
      </c>
      <c r="F17" s="23">
        <f t="shared" si="1"/>
        <v>-0.23569667408695366</v>
      </c>
    </row>
    <row r="18" spans="1:11" ht="24" customHeight="1" x14ac:dyDescent="0.2">
      <c r="A18" s="20">
        <v>6</v>
      </c>
      <c r="B18" s="21" t="s">
        <v>21</v>
      </c>
      <c r="C18" s="22">
        <v>3549365</v>
      </c>
      <c r="D18" s="22">
        <v>3078822</v>
      </c>
      <c r="E18" s="22">
        <f t="shared" si="0"/>
        <v>-470543</v>
      </c>
      <c r="F18" s="23">
        <f t="shared" si="1"/>
        <v>-0.13257103735456904</v>
      </c>
    </row>
    <row r="19" spans="1:11" ht="24" customHeight="1" x14ac:dyDescent="0.2">
      <c r="A19" s="20">
        <v>7</v>
      </c>
      <c r="B19" s="21" t="s">
        <v>22</v>
      </c>
      <c r="C19" s="22">
        <v>2660785</v>
      </c>
      <c r="D19" s="22">
        <v>3245125</v>
      </c>
      <c r="E19" s="22">
        <f t="shared" si="0"/>
        <v>584340</v>
      </c>
      <c r="F19" s="23">
        <f t="shared" si="1"/>
        <v>0.21961188145603647</v>
      </c>
    </row>
    <row r="20" spans="1:11" ht="24" customHeight="1" x14ac:dyDescent="0.2">
      <c r="A20" s="20">
        <v>8</v>
      </c>
      <c r="B20" s="21" t="s">
        <v>23</v>
      </c>
      <c r="C20" s="22">
        <v>2028449</v>
      </c>
      <c r="D20" s="22">
        <v>2316130</v>
      </c>
      <c r="E20" s="22">
        <f t="shared" si="0"/>
        <v>287681</v>
      </c>
      <c r="F20" s="23">
        <f t="shared" si="1"/>
        <v>0.14182313679072039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46454149</v>
      </c>
      <c r="D22" s="26">
        <f>SUM(D13:D21)</f>
        <v>49732057</v>
      </c>
      <c r="E22" s="26">
        <f t="shared" si="0"/>
        <v>3277908</v>
      </c>
      <c r="F22" s="27">
        <f t="shared" si="1"/>
        <v>7.0562222547656608E-2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8555283</v>
      </c>
      <c r="D25" s="22">
        <v>9021896</v>
      </c>
      <c r="E25" s="22">
        <f>D25-C25</f>
        <v>466613</v>
      </c>
      <c r="F25" s="23">
        <f>IF(C25=0,0,E25/C25)</f>
        <v>5.4540919336040668E-2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11603808</v>
      </c>
      <c r="D28" s="22">
        <v>11660074</v>
      </c>
      <c r="E28" s="22">
        <f>D28-C28</f>
        <v>56266</v>
      </c>
      <c r="F28" s="23">
        <f>IF(C28=0,0,E28/C28)</f>
        <v>4.84892545619507E-3</v>
      </c>
    </row>
    <row r="29" spans="1:11" ht="24" customHeight="1" x14ac:dyDescent="0.25">
      <c r="A29" s="24"/>
      <c r="B29" s="25" t="s">
        <v>32</v>
      </c>
      <c r="C29" s="26">
        <f>SUM(C25:C28)</f>
        <v>20159091</v>
      </c>
      <c r="D29" s="26">
        <f>SUM(D25:D28)</f>
        <v>20681970</v>
      </c>
      <c r="E29" s="26">
        <f>D29-C29</f>
        <v>522879</v>
      </c>
      <c r="F29" s="27">
        <f>IF(C29=0,0,E29/C29)</f>
        <v>2.5937627842445871E-2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6199192</v>
      </c>
      <c r="D31" s="22">
        <v>7278631</v>
      </c>
      <c r="E31" s="22">
        <f>D31-C31</f>
        <v>1079439</v>
      </c>
      <c r="F31" s="23">
        <f>IF(C31=0,0,E31/C31)</f>
        <v>0.17412575703414251</v>
      </c>
    </row>
    <row r="32" spans="1:11" ht="24" customHeight="1" x14ac:dyDescent="0.2">
      <c r="A32" s="20">
        <v>6</v>
      </c>
      <c r="B32" s="21" t="s">
        <v>34</v>
      </c>
      <c r="C32" s="22">
        <v>12113908</v>
      </c>
      <c r="D32" s="22">
        <v>7868128</v>
      </c>
      <c r="E32" s="22">
        <f>D32-C32</f>
        <v>-4245780</v>
      </c>
      <c r="F32" s="23">
        <f>IF(C32=0,0,E32/C32)</f>
        <v>-0.35048805059440769</v>
      </c>
    </row>
    <row r="33" spans="1:8" ht="24" customHeight="1" x14ac:dyDescent="0.2">
      <c r="A33" s="20">
        <v>7</v>
      </c>
      <c r="B33" s="21" t="s">
        <v>35</v>
      </c>
      <c r="C33" s="22">
        <v>33827422</v>
      </c>
      <c r="D33" s="22">
        <v>34019637</v>
      </c>
      <c r="E33" s="22">
        <f>D33-C33</f>
        <v>192215</v>
      </c>
      <c r="F33" s="23">
        <f>IF(C33=0,0,E33/C33)</f>
        <v>5.6822243208483345E-3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192484982</v>
      </c>
      <c r="D36" s="22">
        <v>188491903</v>
      </c>
      <c r="E36" s="22">
        <f>D36-C36</f>
        <v>-3993079</v>
      </c>
      <c r="F36" s="23">
        <f>IF(C36=0,0,E36/C36)</f>
        <v>-2.0744885956869092E-2</v>
      </c>
    </row>
    <row r="37" spans="1:8" ht="24" customHeight="1" x14ac:dyDescent="0.2">
      <c r="A37" s="20">
        <v>2</v>
      </c>
      <c r="B37" s="21" t="s">
        <v>39</v>
      </c>
      <c r="C37" s="22">
        <v>143593394</v>
      </c>
      <c r="D37" s="22">
        <v>134774977</v>
      </c>
      <c r="E37" s="22">
        <f>D37-C37</f>
        <v>-8818417</v>
      </c>
      <c r="F37" s="23">
        <f>IF(C37=0,0,E37/C37)</f>
        <v>-6.1412414278612285E-2</v>
      </c>
    </row>
    <row r="38" spans="1:8" ht="24" customHeight="1" x14ac:dyDescent="0.25">
      <c r="A38" s="24"/>
      <c r="B38" s="25" t="s">
        <v>40</v>
      </c>
      <c r="C38" s="26">
        <f>C36-C37</f>
        <v>48891588</v>
      </c>
      <c r="D38" s="26">
        <f>D36-D37</f>
        <v>53716926</v>
      </c>
      <c r="E38" s="26">
        <f>D38-C38</f>
        <v>4825338</v>
      </c>
      <c r="F38" s="27">
        <f>IF(C38=0,0,E38/C38)</f>
        <v>9.8694646612828368E-2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2426034</v>
      </c>
      <c r="D40" s="22">
        <v>857425</v>
      </c>
      <c r="E40" s="22">
        <f>D40-C40</f>
        <v>-1568609</v>
      </c>
      <c r="F40" s="23">
        <f>IF(C40=0,0,E40/C40)</f>
        <v>-0.64657337860887354</v>
      </c>
    </row>
    <row r="41" spans="1:8" ht="24" customHeight="1" x14ac:dyDescent="0.25">
      <c r="A41" s="24"/>
      <c r="B41" s="25" t="s">
        <v>42</v>
      </c>
      <c r="C41" s="26">
        <f>+C38+C40</f>
        <v>51317622</v>
      </c>
      <c r="D41" s="26">
        <f>+D38+D40</f>
        <v>54574351</v>
      </c>
      <c r="E41" s="26">
        <f>D41-C41</f>
        <v>3256729</v>
      </c>
      <c r="F41" s="27">
        <f>IF(C41=0,0,E41/C41)</f>
        <v>6.3462196280256317E-2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170071384</v>
      </c>
      <c r="D43" s="26">
        <f>D22+D29+D31+D32+D33+D41</f>
        <v>174154774</v>
      </c>
      <c r="E43" s="26">
        <f>D43-C43</f>
        <v>4083390</v>
      </c>
      <c r="F43" s="27">
        <f>IF(C43=0,0,E43/C43)</f>
        <v>2.4009859295318018E-2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14802176</v>
      </c>
      <c r="D49" s="22">
        <v>18611290</v>
      </c>
      <c r="E49" s="22">
        <f t="shared" ref="E49:E56" si="2">D49-C49</f>
        <v>3809114</v>
      </c>
      <c r="F49" s="23">
        <f t="shared" ref="F49:F56" si="3">IF(C49=0,0,E49/C49)</f>
        <v>0.25733473240691096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2900006</v>
      </c>
      <c r="D50" s="22">
        <v>2780288</v>
      </c>
      <c r="E50" s="22">
        <f t="shared" si="2"/>
        <v>-119718</v>
      </c>
      <c r="F50" s="23">
        <f t="shared" si="3"/>
        <v>-4.1281983554516781E-2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1343126</v>
      </c>
      <c r="D51" s="22">
        <v>2943941</v>
      </c>
      <c r="E51" s="22">
        <f t="shared" si="2"/>
        <v>1600815</v>
      </c>
      <c r="F51" s="23">
        <f t="shared" si="3"/>
        <v>1.1918576514787145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818583</v>
      </c>
      <c r="D52" s="22">
        <v>0</v>
      </c>
      <c r="E52" s="22">
        <f t="shared" si="2"/>
        <v>-818583</v>
      </c>
      <c r="F52" s="23">
        <f t="shared" si="3"/>
        <v>-1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7675582</v>
      </c>
      <c r="D53" s="22">
        <v>7733854</v>
      </c>
      <c r="E53" s="22">
        <f t="shared" si="2"/>
        <v>58272</v>
      </c>
      <c r="F53" s="23">
        <f t="shared" si="3"/>
        <v>7.5918673007467057E-3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2723177</v>
      </c>
      <c r="D54" s="22">
        <v>2675764</v>
      </c>
      <c r="E54" s="22">
        <f t="shared" si="2"/>
        <v>-47413</v>
      </c>
      <c r="F54" s="23">
        <f t="shared" si="3"/>
        <v>-1.7410913796642672E-2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5159945</v>
      </c>
      <c r="D55" s="22">
        <v>7166720</v>
      </c>
      <c r="E55" s="22">
        <f t="shared" si="2"/>
        <v>2006775</v>
      </c>
      <c r="F55" s="23">
        <f t="shared" si="3"/>
        <v>0.38891402912240342</v>
      </c>
    </row>
    <row r="56" spans="1:6" ht="24" customHeight="1" x14ac:dyDescent="0.25">
      <c r="A56" s="24"/>
      <c r="B56" s="25" t="s">
        <v>54</v>
      </c>
      <c r="C56" s="26">
        <f>SUM(C49:C55)</f>
        <v>35422595</v>
      </c>
      <c r="D56" s="26">
        <f>SUM(D49:D55)</f>
        <v>41911857</v>
      </c>
      <c r="E56" s="26">
        <f t="shared" si="2"/>
        <v>6489262</v>
      </c>
      <c r="F56" s="27">
        <f t="shared" si="3"/>
        <v>0.18319555639557181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42025800</v>
      </c>
      <c r="D59" s="22">
        <v>40780273</v>
      </c>
      <c r="E59" s="22">
        <f>D59-C59</f>
        <v>-1245527</v>
      </c>
      <c r="F59" s="23">
        <f>IF(C59=0,0,E59/C59)</f>
        <v>-2.9637199053914501E-2</v>
      </c>
    </row>
    <row r="60" spans="1:6" ht="24" customHeight="1" x14ac:dyDescent="0.2">
      <c r="A60" s="20">
        <v>2</v>
      </c>
      <c r="B60" s="21" t="s">
        <v>57</v>
      </c>
      <c r="C60" s="22">
        <v>9646833</v>
      </c>
      <c r="D60" s="22">
        <v>10013540</v>
      </c>
      <c r="E60" s="22">
        <f>D60-C60</f>
        <v>366707</v>
      </c>
      <c r="F60" s="23">
        <f>IF(C60=0,0,E60/C60)</f>
        <v>3.8013200809011619E-2</v>
      </c>
    </row>
    <row r="61" spans="1:6" ht="24" customHeight="1" x14ac:dyDescent="0.25">
      <c r="A61" s="24"/>
      <c r="B61" s="25" t="s">
        <v>58</v>
      </c>
      <c r="C61" s="26">
        <f>SUM(C59:C60)</f>
        <v>51672633</v>
      </c>
      <c r="D61" s="26">
        <f>SUM(D59:D60)</f>
        <v>50793813</v>
      </c>
      <c r="E61" s="26">
        <f>D61-C61</f>
        <v>-878820</v>
      </c>
      <c r="F61" s="27">
        <f>IF(C61=0,0,E61/C61)</f>
        <v>-1.700745537778189E-2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57470806</v>
      </c>
      <c r="D63" s="22">
        <v>29256268</v>
      </c>
      <c r="E63" s="22">
        <f>D63-C63</f>
        <v>-28214538</v>
      </c>
      <c r="F63" s="23">
        <f>IF(C63=0,0,E63/C63)</f>
        <v>-0.49093687671615394</v>
      </c>
    </row>
    <row r="64" spans="1:6" ht="24" customHeight="1" x14ac:dyDescent="0.2">
      <c r="A64" s="20">
        <v>4</v>
      </c>
      <c r="B64" s="21" t="s">
        <v>60</v>
      </c>
      <c r="C64" s="22">
        <v>10499577</v>
      </c>
      <c r="D64" s="22">
        <v>14461096</v>
      </c>
      <c r="E64" s="22">
        <f>D64-C64</f>
        <v>3961519</v>
      </c>
      <c r="F64" s="23">
        <f>IF(C64=0,0,E64/C64)</f>
        <v>0.37730272371925078</v>
      </c>
    </row>
    <row r="65" spans="1:6" ht="24" customHeight="1" x14ac:dyDescent="0.25">
      <c r="A65" s="24"/>
      <c r="B65" s="25" t="s">
        <v>61</v>
      </c>
      <c r="C65" s="26">
        <f>SUM(C61:C64)</f>
        <v>119643016</v>
      </c>
      <c r="D65" s="26">
        <f>SUM(D61:D64)</f>
        <v>94511177</v>
      </c>
      <c r="E65" s="26">
        <f>D65-C65</f>
        <v>-25131839</v>
      </c>
      <c r="F65" s="27">
        <f>IF(C65=0,0,E65/C65)</f>
        <v>-0.21005688288566715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4925515</v>
      </c>
      <c r="D70" s="22">
        <v>27759929</v>
      </c>
      <c r="E70" s="22">
        <f>D70-C70</f>
        <v>22834414</v>
      </c>
      <c r="F70" s="23">
        <f>IF(C70=0,0,E70/C70)</f>
        <v>4.6359444646904944</v>
      </c>
    </row>
    <row r="71" spans="1:6" ht="24" customHeight="1" x14ac:dyDescent="0.2">
      <c r="A71" s="20">
        <v>2</v>
      </c>
      <c r="B71" s="21" t="s">
        <v>65</v>
      </c>
      <c r="C71" s="22">
        <v>1905069</v>
      </c>
      <c r="D71" s="22">
        <v>1392902</v>
      </c>
      <c r="E71" s="22">
        <f>D71-C71</f>
        <v>-512167</v>
      </c>
      <c r="F71" s="23">
        <f>IF(C71=0,0,E71/C71)</f>
        <v>-0.26884433057280338</v>
      </c>
    </row>
    <row r="72" spans="1:6" ht="24" customHeight="1" x14ac:dyDescent="0.2">
      <c r="A72" s="20">
        <v>3</v>
      </c>
      <c r="B72" s="21" t="s">
        <v>66</v>
      </c>
      <c r="C72" s="22">
        <v>8175189</v>
      </c>
      <c r="D72" s="22">
        <v>8578909</v>
      </c>
      <c r="E72" s="22">
        <f>D72-C72</f>
        <v>403720</v>
      </c>
      <c r="F72" s="23">
        <f>IF(C72=0,0,E72/C72)</f>
        <v>4.9383567768280345E-2</v>
      </c>
    </row>
    <row r="73" spans="1:6" ht="24" customHeight="1" x14ac:dyDescent="0.25">
      <c r="A73" s="20"/>
      <c r="B73" s="25" t="s">
        <v>67</v>
      </c>
      <c r="C73" s="26">
        <f>SUM(C70:C72)</f>
        <v>15005773</v>
      </c>
      <c r="D73" s="26">
        <f>SUM(D70:D72)</f>
        <v>37731740</v>
      </c>
      <c r="E73" s="26">
        <f>D73-C73</f>
        <v>22725967</v>
      </c>
      <c r="F73" s="27">
        <f>IF(C73=0,0,E73/C73)</f>
        <v>1.5144815931841697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170071384</v>
      </c>
      <c r="D75" s="26">
        <f>D56+D65+D67+D73</f>
        <v>174154774</v>
      </c>
      <c r="E75" s="26">
        <f>D75-C75</f>
        <v>4083390</v>
      </c>
      <c r="F75" s="27">
        <f>IF(C75=0,0,E75/C75)</f>
        <v>2.4009859295318018E-2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9" t="s">
        <v>500</v>
      </c>
      <c r="B1" s="770"/>
      <c r="C1" s="770"/>
      <c r="D1" s="770"/>
      <c r="E1" s="771"/>
    </row>
    <row r="2" spans="1:6" ht="24" customHeight="1" x14ac:dyDescent="0.25">
      <c r="A2" s="769" t="s">
        <v>1</v>
      </c>
      <c r="B2" s="770"/>
      <c r="C2" s="770"/>
      <c r="D2" s="770"/>
      <c r="E2" s="771"/>
    </row>
    <row r="3" spans="1:6" ht="24" customHeight="1" x14ac:dyDescent="0.25">
      <c r="A3" s="769" t="s">
        <v>2</v>
      </c>
      <c r="B3" s="770"/>
      <c r="C3" s="770"/>
      <c r="D3" s="770"/>
      <c r="E3" s="771"/>
    </row>
    <row r="4" spans="1:6" ht="24" customHeight="1" x14ac:dyDescent="0.25">
      <c r="A4" s="769" t="s">
        <v>504</v>
      </c>
      <c r="B4" s="770"/>
      <c r="C4" s="770"/>
      <c r="D4" s="770"/>
      <c r="E4" s="771"/>
    </row>
    <row r="5" spans="1:6" ht="24" customHeight="1" x14ac:dyDescent="0.25">
      <c r="A5" s="769"/>
      <c r="B5" s="770"/>
      <c r="C5" s="770"/>
      <c r="D5" s="770"/>
      <c r="E5" s="771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261348876</v>
      </c>
      <c r="D11" s="76">
        <v>277042997</v>
      </c>
      <c r="E11" s="76">
        <v>298979957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19641309</v>
      </c>
      <c r="D12" s="185">
        <v>28839184</v>
      </c>
      <c r="E12" s="185">
        <v>28987736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280990185</v>
      </c>
      <c r="D13" s="76">
        <f>+D11+D12</f>
        <v>305882181</v>
      </c>
      <c r="E13" s="76">
        <f>+E11+E12</f>
        <v>327967693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280947508</v>
      </c>
      <c r="D14" s="185">
        <v>300954489</v>
      </c>
      <c r="E14" s="185">
        <v>327855198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42677</v>
      </c>
      <c r="D15" s="76">
        <f>+D13-D14</f>
        <v>4927692</v>
      </c>
      <c r="E15" s="76">
        <f>+E13-E14</f>
        <v>112495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-1341596</v>
      </c>
      <c r="D16" s="185">
        <v>-1200536</v>
      </c>
      <c r="E16" s="185">
        <v>-2138589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-1298919</v>
      </c>
      <c r="D17" s="76">
        <f>D15+D16</f>
        <v>3727156</v>
      </c>
      <c r="E17" s="76">
        <f>E15+E16</f>
        <v>-2026094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1.5260938792006565E-4</v>
      </c>
      <c r="D20" s="189">
        <f>IF(+D27=0,0,+D24/+D27)</f>
        <v>1.6173248637934852E-2</v>
      </c>
      <c r="E20" s="189">
        <f>IF(+E27=0,0,+E24/+E27)</f>
        <v>3.4525767839327208E-4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-4.7974352554305214E-3</v>
      </c>
      <c r="D21" s="189">
        <f>IF(+D27=0,0,+D26/+D27)</f>
        <v>-3.9402964363015698E-3</v>
      </c>
      <c r="E21" s="189">
        <f>IF(+E27=0,0,+E26/+E27)</f>
        <v>-6.5635296962299602E-3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-4.6448258675104558E-3</v>
      </c>
      <c r="D22" s="189">
        <f>IF(+D27=0,0,+D28/+D27)</f>
        <v>1.2232952201633281E-2</v>
      </c>
      <c r="E22" s="189">
        <f>IF(+E27=0,0,+E28/+E27)</f>
        <v>-6.2182720178366874E-3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42677</v>
      </c>
      <c r="D24" s="76">
        <f>+D15</f>
        <v>4927692</v>
      </c>
      <c r="E24" s="76">
        <f>+E15</f>
        <v>112495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280990185</v>
      </c>
      <c r="D25" s="76">
        <f>+D13</f>
        <v>305882181</v>
      </c>
      <c r="E25" s="76">
        <f>+E13</f>
        <v>327967693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-1341596</v>
      </c>
      <c r="D26" s="76">
        <f>+D16</f>
        <v>-1200536</v>
      </c>
      <c r="E26" s="76">
        <f>+E16</f>
        <v>-2138589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279648589</v>
      </c>
      <c r="D27" s="76">
        <f>SUM(D25:D26)</f>
        <v>304681645</v>
      </c>
      <c r="E27" s="76">
        <f>SUM(E25:E26)</f>
        <v>325829104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-1298919</v>
      </c>
      <c r="D28" s="76">
        <f>+D17</f>
        <v>3727156</v>
      </c>
      <c r="E28" s="76">
        <f>+E17</f>
        <v>-2026094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41815956</v>
      </c>
      <c r="D31" s="76">
        <v>36549384</v>
      </c>
      <c r="E31" s="76">
        <v>70965928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55161657</v>
      </c>
      <c r="D32" s="76">
        <v>51601261</v>
      </c>
      <c r="E32" s="76">
        <v>85849149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-16314825</v>
      </c>
      <c r="D33" s="76">
        <f>+D32-C32</f>
        <v>-3560396</v>
      </c>
      <c r="E33" s="76">
        <f>+E32-D32</f>
        <v>34247888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0.77170000000000005</v>
      </c>
      <c r="D34" s="193">
        <f>IF(C32=0,0,+D33/C32)</f>
        <v>-6.4544761590464919E-2</v>
      </c>
      <c r="E34" s="193">
        <f>IF(D32=0,0,+E33/D32)</f>
        <v>0.6637025401375366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1.2552876757622056</v>
      </c>
      <c r="D38" s="338">
        <f>IF(+D40=0,0,+D39/+D40)</f>
        <v>1.456033453204683</v>
      </c>
      <c r="E38" s="338">
        <f>IF(+E40=0,0,+E39/+E40)</f>
        <v>1.311508725619533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71146925</v>
      </c>
      <c r="D39" s="341">
        <v>85875895</v>
      </c>
      <c r="E39" s="341">
        <v>84389707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56677785</v>
      </c>
      <c r="D40" s="341">
        <v>58979342</v>
      </c>
      <c r="E40" s="341">
        <v>64345517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28.477312220814834</v>
      </c>
      <c r="D42" s="343">
        <f>IF((D48/365)=0,0,+D45/(D48/365))</f>
        <v>25.31276254323226</v>
      </c>
      <c r="E42" s="343">
        <f>IF((E48/365)=0,0,+E45/(E48/365))</f>
        <v>25.954656364633504</v>
      </c>
    </row>
    <row r="43" spans="1:14" ht="24" customHeight="1" x14ac:dyDescent="0.2">
      <c r="A43" s="339">
        <v>5</v>
      </c>
      <c r="B43" s="344" t="s">
        <v>16</v>
      </c>
      <c r="C43" s="345">
        <v>20991180</v>
      </c>
      <c r="D43" s="345">
        <v>20052067</v>
      </c>
      <c r="E43" s="345">
        <v>22439356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20991180</v>
      </c>
      <c r="D45" s="341">
        <f>+D43+D44</f>
        <v>20052067</v>
      </c>
      <c r="E45" s="341">
        <f>+E43+E44</f>
        <v>22439356</v>
      </c>
    </row>
    <row r="46" spans="1:14" ht="24" customHeight="1" x14ac:dyDescent="0.2">
      <c r="A46" s="339">
        <v>8</v>
      </c>
      <c r="B46" s="340" t="s">
        <v>334</v>
      </c>
      <c r="C46" s="341">
        <f>+C14</f>
        <v>280947508</v>
      </c>
      <c r="D46" s="341">
        <f>+D14</f>
        <v>300954489</v>
      </c>
      <c r="E46" s="341">
        <f>+E14</f>
        <v>327855198</v>
      </c>
    </row>
    <row r="47" spans="1:14" ht="24" customHeight="1" x14ac:dyDescent="0.2">
      <c r="A47" s="339">
        <v>9</v>
      </c>
      <c r="B47" s="340" t="s">
        <v>356</v>
      </c>
      <c r="C47" s="341">
        <v>11898918</v>
      </c>
      <c r="D47" s="341">
        <v>11811633</v>
      </c>
      <c r="E47" s="341">
        <v>12290822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269048590</v>
      </c>
      <c r="D48" s="341">
        <f>+D46-D47</f>
        <v>289142856</v>
      </c>
      <c r="E48" s="341">
        <f>+E46-E47</f>
        <v>315564376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53.031335746016367</v>
      </c>
      <c r="D50" s="350">
        <f>IF((D55/365)=0,0,+D54/(D55/365))</f>
        <v>63.661404749386243</v>
      </c>
      <c r="E50" s="350">
        <f>IF((E55/365)=0,0,+E54/(E55/365))</f>
        <v>55.516532400865927</v>
      </c>
    </row>
    <row r="51" spans="1:5" ht="24" customHeight="1" x14ac:dyDescent="0.2">
      <c r="A51" s="339">
        <v>12</v>
      </c>
      <c r="B51" s="344" t="s">
        <v>359</v>
      </c>
      <c r="C51" s="351">
        <v>39643428</v>
      </c>
      <c r="D51" s="351">
        <v>46711256</v>
      </c>
      <c r="E51" s="351">
        <v>46524143</v>
      </c>
    </row>
    <row r="52" spans="1:5" ht="24" customHeight="1" x14ac:dyDescent="0.2">
      <c r="A52" s="339">
        <v>13</v>
      </c>
      <c r="B52" s="344" t="s">
        <v>21</v>
      </c>
      <c r="C52" s="341">
        <v>432832</v>
      </c>
      <c r="D52" s="341">
        <v>4402920</v>
      </c>
      <c r="E52" s="341">
        <v>3463096</v>
      </c>
    </row>
    <row r="53" spans="1:5" ht="24" customHeight="1" x14ac:dyDescent="0.2">
      <c r="A53" s="339">
        <v>14</v>
      </c>
      <c r="B53" s="344" t="s">
        <v>49</v>
      </c>
      <c r="C53" s="341">
        <v>2104534</v>
      </c>
      <c r="D53" s="341">
        <v>2793775</v>
      </c>
      <c r="E53" s="341">
        <v>4512361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37971726</v>
      </c>
      <c r="D54" s="352">
        <f>+D51+D52-D53</f>
        <v>48320401</v>
      </c>
      <c r="E54" s="352">
        <f>+E51+E52-E53</f>
        <v>45474878</v>
      </c>
    </row>
    <row r="55" spans="1:5" ht="24" customHeight="1" x14ac:dyDescent="0.2">
      <c r="A55" s="339">
        <v>16</v>
      </c>
      <c r="B55" s="340" t="s">
        <v>75</v>
      </c>
      <c r="C55" s="341">
        <f>+C11</f>
        <v>261348876</v>
      </c>
      <c r="D55" s="341">
        <f>+D11</f>
        <v>277042997</v>
      </c>
      <c r="E55" s="341">
        <f>+E11</f>
        <v>298979957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76.890912251203403</v>
      </c>
      <c r="D57" s="355">
        <f>IF((D61/365)=0,0,+D58/(D61/365))</f>
        <v>74.452677571947333</v>
      </c>
      <c r="E57" s="355">
        <f>IF((E61/365)=0,0,+E58/(E61/365))</f>
        <v>74.425744764675215</v>
      </c>
    </row>
    <row r="58" spans="1:5" ht="24" customHeight="1" x14ac:dyDescent="0.2">
      <c r="A58" s="339">
        <v>18</v>
      </c>
      <c r="B58" s="340" t="s">
        <v>54</v>
      </c>
      <c r="C58" s="353">
        <f>+C40</f>
        <v>56677785</v>
      </c>
      <c r="D58" s="353">
        <f>+D40</f>
        <v>58979342</v>
      </c>
      <c r="E58" s="353">
        <f>+E40</f>
        <v>64345517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280947508</v>
      </c>
      <c r="D59" s="353">
        <f t="shared" si="0"/>
        <v>300954489</v>
      </c>
      <c r="E59" s="353">
        <f t="shared" si="0"/>
        <v>327855198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11898918</v>
      </c>
      <c r="D60" s="356">
        <f t="shared" si="0"/>
        <v>11811633</v>
      </c>
      <c r="E60" s="356">
        <f t="shared" si="0"/>
        <v>12290822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269048590</v>
      </c>
      <c r="D61" s="353">
        <f>+D59-D60</f>
        <v>289142856</v>
      </c>
      <c r="E61" s="353">
        <f>+E59-E60</f>
        <v>315564376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21.030814139247386</v>
      </c>
      <c r="D65" s="357">
        <f>IF(D67=0,0,(D66/D67)*100)</f>
        <v>18.214987550307306</v>
      </c>
      <c r="E65" s="357">
        <f>IF(E67=0,0,(E66/E67)*100)</f>
        <v>30.392657987169152</v>
      </c>
    </row>
    <row r="66" spans="1:5" ht="24" customHeight="1" x14ac:dyDescent="0.2">
      <c r="A66" s="339">
        <v>2</v>
      </c>
      <c r="B66" s="340" t="s">
        <v>67</v>
      </c>
      <c r="C66" s="353">
        <f>+C32</f>
        <v>55161657</v>
      </c>
      <c r="D66" s="353">
        <f>+D32</f>
        <v>51601261</v>
      </c>
      <c r="E66" s="353">
        <f>+E32</f>
        <v>85849149</v>
      </c>
    </row>
    <row r="67" spans="1:5" ht="24" customHeight="1" x14ac:dyDescent="0.2">
      <c r="A67" s="339">
        <v>3</v>
      </c>
      <c r="B67" s="340" t="s">
        <v>43</v>
      </c>
      <c r="C67" s="353">
        <v>262289689</v>
      </c>
      <c r="D67" s="353">
        <v>283290125</v>
      </c>
      <c r="E67" s="353">
        <v>282466736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7.3963999764152506</v>
      </c>
      <c r="D69" s="357">
        <f>IF(D75=0,0,(D72/D75)*100)</f>
        <v>10.605155130874639</v>
      </c>
      <c r="E69" s="357">
        <f>IF(E75=0,0,(E72/E75)*100)</f>
        <v>6.900122957197742</v>
      </c>
    </row>
    <row r="70" spans="1:5" ht="24" customHeight="1" x14ac:dyDescent="0.2">
      <c r="A70" s="339">
        <v>5</v>
      </c>
      <c r="B70" s="340" t="s">
        <v>366</v>
      </c>
      <c r="C70" s="353">
        <f>+C28</f>
        <v>-1298919</v>
      </c>
      <c r="D70" s="353">
        <f>+D28</f>
        <v>3727156</v>
      </c>
      <c r="E70" s="353">
        <f>+E28</f>
        <v>-2026094</v>
      </c>
    </row>
    <row r="71" spans="1:5" ht="24" customHeight="1" x14ac:dyDescent="0.2">
      <c r="A71" s="339">
        <v>6</v>
      </c>
      <c r="B71" s="340" t="s">
        <v>356</v>
      </c>
      <c r="C71" s="356">
        <f>+C47</f>
        <v>11898918</v>
      </c>
      <c r="D71" s="356">
        <f>+D47</f>
        <v>11811633</v>
      </c>
      <c r="E71" s="356">
        <f>+E47</f>
        <v>12290822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10599999</v>
      </c>
      <c r="D72" s="353">
        <f>+D70+D71</f>
        <v>15538789</v>
      </c>
      <c r="E72" s="353">
        <f>+E70+E71</f>
        <v>10264728</v>
      </c>
    </row>
    <row r="73" spans="1:5" ht="24" customHeight="1" x14ac:dyDescent="0.2">
      <c r="A73" s="339">
        <v>8</v>
      </c>
      <c r="B73" s="340" t="s">
        <v>54</v>
      </c>
      <c r="C73" s="341">
        <f>+C40</f>
        <v>56677785</v>
      </c>
      <c r="D73" s="341">
        <f>+D40</f>
        <v>58979342</v>
      </c>
      <c r="E73" s="341">
        <f>+E40</f>
        <v>64345517</v>
      </c>
    </row>
    <row r="74" spans="1:5" ht="24" customHeight="1" x14ac:dyDescent="0.2">
      <c r="A74" s="339">
        <v>9</v>
      </c>
      <c r="B74" s="340" t="s">
        <v>58</v>
      </c>
      <c r="C74" s="353">
        <v>86635165</v>
      </c>
      <c r="D74" s="353">
        <v>87541749</v>
      </c>
      <c r="E74" s="353">
        <v>84416006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143312950</v>
      </c>
      <c r="D75" s="341">
        <f>+D73+D74</f>
        <v>146521091</v>
      </c>
      <c r="E75" s="341">
        <f>+E73+E74</f>
        <v>148761523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61.098100633031116</v>
      </c>
      <c r="D77" s="359">
        <f>IF(D80=0,0,(D78/D80)*100)</f>
        <v>62.914945565716884</v>
      </c>
      <c r="E77" s="359">
        <f>IF(E80=0,0,(E78/E80)*100)</f>
        <v>49.579143777245555</v>
      </c>
    </row>
    <row r="78" spans="1:5" ht="24" customHeight="1" x14ac:dyDescent="0.2">
      <c r="A78" s="339">
        <v>12</v>
      </c>
      <c r="B78" s="340" t="s">
        <v>58</v>
      </c>
      <c r="C78" s="341">
        <f>+C74</f>
        <v>86635165</v>
      </c>
      <c r="D78" s="341">
        <f>+D74</f>
        <v>87541749</v>
      </c>
      <c r="E78" s="341">
        <f>+E74</f>
        <v>84416006</v>
      </c>
    </row>
    <row r="79" spans="1:5" ht="24" customHeight="1" x14ac:dyDescent="0.2">
      <c r="A79" s="339">
        <v>13</v>
      </c>
      <c r="B79" s="340" t="s">
        <v>67</v>
      </c>
      <c r="C79" s="341">
        <f>+C32</f>
        <v>55161657</v>
      </c>
      <c r="D79" s="341">
        <f>+D32</f>
        <v>51601261</v>
      </c>
      <c r="E79" s="341">
        <f>+E32</f>
        <v>85849149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141796822</v>
      </c>
      <c r="D80" s="341">
        <f>+D78+D79</f>
        <v>139143010</v>
      </c>
      <c r="E80" s="341">
        <f>+E78+E79</f>
        <v>170265155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23257</v>
      </c>
      <c r="D11" s="376">
        <v>5437</v>
      </c>
      <c r="E11" s="376">
        <v>5340</v>
      </c>
      <c r="F11" s="377">
        <v>82</v>
      </c>
      <c r="G11" s="377">
        <v>158</v>
      </c>
      <c r="H11" s="378">
        <f>IF(F11=0,0,$C11/(F11*365))</f>
        <v>0.77704644169729364</v>
      </c>
      <c r="I11" s="378">
        <f>IF(G11=0,0,$C11/(G11*365))</f>
        <v>0.40327726720998786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6119</v>
      </c>
      <c r="D13" s="376">
        <v>524</v>
      </c>
      <c r="E13" s="376">
        <v>0</v>
      </c>
      <c r="F13" s="377">
        <v>22</v>
      </c>
      <c r="G13" s="377">
        <v>25</v>
      </c>
      <c r="H13" s="378">
        <f>IF(F13=0,0,$C13/(F13*365))</f>
        <v>0.76201743462017435</v>
      </c>
      <c r="I13" s="378">
        <f>IF(G13=0,0,$C13/(G13*365))</f>
        <v>0.67057534246575345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1629</v>
      </c>
      <c r="D15" s="376">
        <v>280</v>
      </c>
      <c r="E15" s="376">
        <v>272</v>
      </c>
      <c r="F15" s="377">
        <v>5</v>
      </c>
      <c r="G15" s="377">
        <v>10</v>
      </c>
      <c r="H15" s="378">
        <f t="shared" ref="H15:I17" si="0">IF(F15=0,0,$C15/(F15*365))</f>
        <v>0.89260273972602744</v>
      </c>
      <c r="I15" s="378">
        <f t="shared" si="0"/>
        <v>0.44630136986301372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8649</v>
      </c>
      <c r="D16" s="376">
        <v>1165</v>
      </c>
      <c r="E16" s="376">
        <v>1159</v>
      </c>
      <c r="F16" s="377">
        <v>26</v>
      </c>
      <c r="G16" s="377">
        <v>26</v>
      </c>
      <c r="H16" s="378">
        <f t="shared" si="0"/>
        <v>0.91138040042149626</v>
      </c>
      <c r="I16" s="378">
        <f t="shared" si="0"/>
        <v>0.91138040042149626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10278</v>
      </c>
      <c r="D17" s="381">
        <f>SUM(D15:D16)</f>
        <v>1445</v>
      </c>
      <c r="E17" s="381">
        <f>SUM(E15:E16)</f>
        <v>1431</v>
      </c>
      <c r="F17" s="381">
        <f>SUM(F15:F16)</f>
        <v>31</v>
      </c>
      <c r="G17" s="381">
        <f>SUM(G15:G16)</f>
        <v>36</v>
      </c>
      <c r="H17" s="382">
        <f t="shared" si="0"/>
        <v>0.90835174547061426</v>
      </c>
      <c r="I17" s="382">
        <f t="shared" si="0"/>
        <v>0.78219178082191776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3362</v>
      </c>
      <c r="D21" s="376">
        <v>1223</v>
      </c>
      <c r="E21" s="376">
        <v>1227</v>
      </c>
      <c r="F21" s="377">
        <v>15</v>
      </c>
      <c r="G21" s="377">
        <v>30</v>
      </c>
      <c r="H21" s="378">
        <f>IF(F21=0,0,$C21/(F21*365))</f>
        <v>0.61406392694063927</v>
      </c>
      <c r="I21" s="378">
        <f>IF(G21=0,0,$C21/(G21*365))</f>
        <v>0.30703196347031964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3646</v>
      </c>
      <c r="D23" s="376">
        <v>1237</v>
      </c>
      <c r="E23" s="376">
        <v>1233</v>
      </c>
      <c r="F23" s="377">
        <v>21</v>
      </c>
      <c r="G23" s="377">
        <v>34</v>
      </c>
      <c r="H23" s="378">
        <f>IF(F23=0,0,$C23/(F23*365))</f>
        <v>0.47566862361382911</v>
      </c>
      <c r="I23" s="378">
        <f>IF(G23=0,0,$C23/(G23*365))</f>
        <v>0.29379532634971794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43016</v>
      </c>
      <c r="D31" s="384">
        <f>SUM(D10:D29)-D13-D17-D23</f>
        <v>8105</v>
      </c>
      <c r="E31" s="384">
        <f>SUM(E10:E29)-E17-E23</f>
        <v>7998</v>
      </c>
      <c r="F31" s="384">
        <f>SUM(F10:F29)-F17-F23</f>
        <v>150</v>
      </c>
      <c r="G31" s="384">
        <f>SUM(G10:G29)-G17-G23</f>
        <v>249</v>
      </c>
      <c r="H31" s="385">
        <f>IF(F31=0,0,$C31/(F31*365))</f>
        <v>0.78568036529680363</v>
      </c>
      <c r="I31" s="385">
        <f>IF(G31=0,0,$C31/(G31*365))</f>
        <v>0.47330142487759258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46662</v>
      </c>
      <c r="D33" s="384">
        <f>SUM(D10:D29)-D13-D17</f>
        <v>9342</v>
      </c>
      <c r="E33" s="384">
        <f>SUM(E10:E29)-E17</f>
        <v>9231</v>
      </c>
      <c r="F33" s="384">
        <f>SUM(F10:F29)-F17</f>
        <v>171</v>
      </c>
      <c r="G33" s="384">
        <f>SUM(G10:G29)-G17</f>
        <v>283</v>
      </c>
      <c r="H33" s="385">
        <f>IF(F33=0,0,$C33/(F33*365))</f>
        <v>0.74760874789714016</v>
      </c>
      <c r="I33" s="385">
        <f>IF(G33=0,0,$C33/(G33*365))</f>
        <v>0.4517353211675299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46662</v>
      </c>
      <c r="D36" s="384">
        <f t="shared" si="1"/>
        <v>9342</v>
      </c>
      <c r="E36" s="384">
        <f t="shared" si="1"/>
        <v>9231</v>
      </c>
      <c r="F36" s="384">
        <f t="shared" si="1"/>
        <v>171</v>
      </c>
      <c r="G36" s="384">
        <f t="shared" si="1"/>
        <v>283</v>
      </c>
      <c r="H36" s="387">
        <f t="shared" si="1"/>
        <v>0.74760874789714016</v>
      </c>
      <c r="I36" s="387">
        <f t="shared" si="1"/>
        <v>0.4517353211675299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45545</v>
      </c>
      <c r="D37" s="384">
        <v>8831</v>
      </c>
      <c r="E37" s="384">
        <v>8743</v>
      </c>
      <c r="F37" s="386">
        <v>171</v>
      </c>
      <c r="G37" s="386">
        <v>283</v>
      </c>
      <c r="H37" s="385">
        <f>IF(F37=0,0,$C37/(F37*365))</f>
        <v>0.72971240887607147</v>
      </c>
      <c r="I37" s="385">
        <f>IF(G37=0,0,$C37/(G37*365))</f>
        <v>0.44092163221840358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1117</v>
      </c>
      <c r="D38" s="384">
        <f t="shared" si="2"/>
        <v>511</v>
      </c>
      <c r="E38" s="384">
        <f t="shared" si="2"/>
        <v>488</v>
      </c>
      <c r="F38" s="384">
        <f t="shared" si="2"/>
        <v>0</v>
      </c>
      <c r="G38" s="384">
        <f t="shared" si="2"/>
        <v>0</v>
      </c>
      <c r="H38" s="387">
        <f t="shared" si="2"/>
        <v>1.7896339021068686E-2</v>
      </c>
      <c r="I38" s="387">
        <f t="shared" si="2"/>
        <v>1.0813688949126321E-2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2.4525194862224174E-2</v>
      </c>
      <c r="D40" s="389">
        <f t="shared" si="3"/>
        <v>5.7864341524176195E-2</v>
      </c>
      <c r="E40" s="389">
        <f t="shared" si="3"/>
        <v>5.5816081436577833E-2</v>
      </c>
      <c r="F40" s="389">
        <f t="shared" si="3"/>
        <v>0</v>
      </c>
      <c r="G40" s="389">
        <f t="shared" si="3"/>
        <v>0</v>
      </c>
      <c r="H40" s="389">
        <f t="shared" si="3"/>
        <v>2.4525194862224219E-2</v>
      </c>
      <c r="I40" s="389">
        <f t="shared" si="3"/>
        <v>2.4525194862224247E-2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6" t="s">
        <v>0</v>
      </c>
      <c r="B1" s="817"/>
      <c r="C1" s="817"/>
      <c r="D1" s="817"/>
      <c r="E1" s="817"/>
      <c r="F1" s="818"/>
    </row>
    <row r="2" spans="1:16" ht="15.75" customHeight="1" x14ac:dyDescent="0.25">
      <c r="A2" s="816" t="s">
        <v>1</v>
      </c>
      <c r="B2" s="817"/>
      <c r="C2" s="817"/>
      <c r="D2" s="817"/>
      <c r="E2" s="817"/>
      <c r="F2" s="818"/>
    </row>
    <row r="3" spans="1:16" ht="15.75" customHeight="1" x14ac:dyDescent="0.25">
      <c r="A3" s="816" t="s">
        <v>2</v>
      </c>
      <c r="B3" s="817"/>
      <c r="C3" s="817"/>
      <c r="D3" s="817"/>
      <c r="E3" s="817"/>
      <c r="F3" s="818"/>
    </row>
    <row r="4" spans="1:16" ht="15.75" customHeight="1" x14ac:dyDescent="0.25">
      <c r="A4" s="816" t="s">
        <v>553</v>
      </c>
      <c r="B4" s="817"/>
      <c r="C4" s="817"/>
      <c r="D4" s="817"/>
      <c r="E4" s="817"/>
      <c r="F4" s="818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3821</v>
      </c>
      <c r="D12" s="409">
        <v>4555</v>
      </c>
      <c r="E12" s="409">
        <f>+D12-C12</f>
        <v>734</v>
      </c>
      <c r="F12" s="410">
        <f>IF(C12=0,0,+E12/C12)</f>
        <v>0.19209630986652709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9033</v>
      </c>
      <c r="D13" s="409">
        <v>9119</v>
      </c>
      <c r="E13" s="409">
        <f>+D13-C13</f>
        <v>86</v>
      </c>
      <c r="F13" s="410">
        <f>IF(C13=0,0,+E13/C13)</f>
        <v>9.5206465183217091E-3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3270</v>
      </c>
      <c r="D14" s="409">
        <v>3373</v>
      </c>
      <c r="E14" s="409">
        <f>+D14-C14</f>
        <v>103</v>
      </c>
      <c r="F14" s="410">
        <f>IF(C14=0,0,+E14/C14)</f>
        <v>3.1498470948012232E-2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16124</v>
      </c>
      <c r="D16" s="401">
        <f>SUM(D12:D15)</f>
        <v>17047</v>
      </c>
      <c r="E16" s="401">
        <f>+D16-C16</f>
        <v>923</v>
      </c>
      <c r="F16" s="402">
        <f>IF(C16=0,0,+E16/C16)</f>
        <v>5.7243860084346315E-2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520</v>
      </c>
      <c r="D19" s="409">
        <v>674</v>
      </c>
      <c r="E19" s="409">
        <f>+D19-C19</f>
        <v>154</v>
      </c>
      <c r="F19" s="410">
        <f>IF(C19=0,0,+E19/C19)</f>
        <v>0.29615384615384616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2714</v>
      </c>
      <c r="D20" s="409">
        <v>2458</v>
      </c>
      <c r="E20" s="409">
        <f>+D20-C20</f>
        <v>-256</v>
      </c>
      <c r="F20" s="410">
        <f>IF(C20=0,0,+E20/C20)</f>
        <v>-9.4325718496683864E-2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56</v>
      </c>
      <c r="D21" s="409">
        <v>50</v>
      </c>
      <c r="E21" s="409">
        <f>+D21-C21</f>
        <v>-6</v>
      </c>
      <c r="F21" s="410">
        <f>IF(C21=0,0,+E21/C21)</f>
        <v>-0.10714285714285714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3290</v>
      </c>
      <c r="D23" s="401">
        <f>SUM(D19:D22)</f>
        <v>3182</v>
      </c>
      <c r="E23" s="401">
        <f>+D23-C23</f>
        <v>-108</v>
      </c>
      <c r="F23" s="402">
        <f>IF(C23=0,0,+E23/C23)</f>
        <v>-3.2826747720364743E-2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</v>
      </c>
      <c r="D27" s="409">
        <v>0</v>
      </c>
      <c r="E27" s="409">
        <f>+D27-C27</f>
        <v>-1</v>
      </c>
      <c r="F27" s="410">
        <f>IF(C27=0,0,+E27/C27)</f>
        <v>-1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</v>
      </c>
      <c r="D30" s="401">
        <f>SUM(D26:D29)</f>
        <v>0</v>
      </c>
      <c r="E30" s="401">
        <f>+D30-C30</f>
        <v>-1</v>
      </c>
      <c r="F30" s="402">
        <f>IF(C30=0,0,+E30/C30)</f>
        <v>-1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</v>
      </c>
      <c r="D33" s="409">
        <v>3</v>
      </c>
      <c r="E33" s="409">
        <f>+D33-C33</f>
        <v>2</v>
      </c>
      <c r="F33" s="410">
        <f>IF(C33=0,0,+E33/C33)</f>
        <v>2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468</v>
      </c>
      <c r="D34" s="409">
        <v>539</v>
      </c>
      <c r="E34" s="409">
        <f>+D34-C34</f>
        <v>71</v>
      </c>
      <c r="F34" s="410">
        <f>IF(C34=0,0,+E34/C34)</f>
        <v>0.1517094017094017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469</v>
      </c>
      <c r="D37" s="401">
        <f>SUM(D33:D36)</f>
        <v>542</v>
      </c>
      <c r="E37" s="401">
        <f>+D37-C37</f>
        <v>73</v>
      </c>
      <c r="F37" s="402">
        <f>IF(C37=0,0,+E37/C37)</f>
        <v>0.15565031982942432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2</v>
      </c>
      <c r="E58" s="409">
        <f>+D58-C58</f>
        <v>2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86</v>
      </c>
      <c r="D59" s="409">
        <v>79</v>
      </c>
      <c r="E59" s="409">
        <f>+D59-C59</f>
        <v>-7</v>
      </c>
      <c r="F59" s="410">
        <f>IF(C59=0,0,+E59/C59)</f>
        <v>-8.1395348837209308E-2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86</v>
      </c>
      <c r="D60" s="401">
        <f>SUM(D58:D59)</f>
        <v>81</v>
      </c>
      <c r="E60" s="401">
        <f>SUM(E58:E59)</f>
        <v>-5</v>
      </c>
      <c r="F60" s="402">
        <f>IF(C60=0,0,+E60/C60)</f>
        <v>-5.8139534883720929E-2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1283</v>
      </c>
      <c r="D63" s="409">
        <v>1417</v>
      </c>
      <c r="E63" s="409">
        <f>+D63-C63</f>
        <v>134</v>
      </c>
      <c r="F63" s="410">
        <f>IF(C63=0,0,+E63/C63)</f>
        <v>0.1044427123928293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5274</v>
      </c>
      <c r="D64" s="409">
        <v>5566</v>
      </c>
      <c r="E64" s="409">
        <f>+D64-C64</f>
        <v>292</v>
      </c>
      <c r="F64" s="410">
        <f>IF(C64=0,0,+E64/C64)</f>
        <v>5.5365946150929088E-2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6557</v>
      </c>
      <c r="D65" s="401">
        <f>SUM(D63:D64)</f>
        <v>6983</v>
      </c>
      <c r="E65" s="401">
        <f>+D65-C65</f>
        <v>426</v>
      </c>
      <c r="F65" s="402">
        <f>IF(C65=0,0,+E65/C65)</f>
        <v>6.4968735702302882E-2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500</v>
      </c>
      <c r="D68" s="409">
        <v>576</v>
      </c>
      <c r="E68" s="409">
        <f>+D68-C68</f>
        <v>76</v>
      </c>
      <c r="F68" s="410">
        <f>IF(C68=0,0,+E68/C68)</f>
        <v>0.152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6043</v>
      </c>
      <c r="D69" s="409">
        <v>5960</v>
      </c>
      <c r="E69" s="409">
        <f>+D69-C69</f>
        <v>-83</v>
      </c>
      <c r="F69" s="412">
        <f>IF(C69=0,0,+E69/C69)</f>
        <v>-1.3734899884163494E-2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6543</v>
      </c>
      <c r="D70" s="401">
        <f>SUM(D68:D69)</f>
        <v>6536</v>
      </c>
      <c r="E70" s="401">
        <f>+D70-C70</f>
        <v>-7</v>
      </c>
      <c r="F70" s="402">
        <f>IF(C70=0,0,+E70/C70)</f>
        <v>-1.0698456365581537E-3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5028</v>
      </c>
      <c r="D73" s="376">
        <v>6189</v>
      </c>
      <c r="E73" s="409">
        <f>+D73-C73</f>
        <v>1161</v>
      </c>
      <c r="F73" s="410">
        <f>IF(C73=0,0,+E73/C73)</f>
        <v>0.23090692124105011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41475</v>
      </c>
      <c r="D74" s="376">
        <v>40876</v>
      </c>
      <c r="E74" s="409">
        <f>+D74-C74</f>
        <v>-599</v>
      </c>
      <c r="F74" s="410">
        <f>IF(C74=0,0,+E74/C74)</f>
        <v>-1.4442435201928873E-2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46503</v>
      </c>
      <c r="D75" s="401">
        <f>SUM(D73:D74)</f>
        <v>47065</v>
      </c>
      <c r="E75" s="401">
        <f>SUM(E73:E74)</f>
        <v>562</v>
      </c>
      <c r="F75" s="402">
        <f>IF(C75=0,0,+E75/C75)</f>
        <v>1.2085241812356193E-2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79870</v>
      </c>
      <c r="D81" s="376">
        <v>79816</v>
      </c>
      <c r="E81" s="409">
        <f t="shared" si="0"/>
        <v>-54</v>
      </c>
      <c r="F81" s="410">
        <f t="shared" si="1"/>
        <v>-6.7609866032302497E-4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79870</v>
      </c>
      <c r="D92" s="381">
        <f>SUM(D79:D91)</f>
        <v>79816</v>
      </c>
      <c r="E92" s="401">
        <f t="shared" si="0"/>
        <v>-54</v>
      </c>
      <c r="F92" s="402">
        <f t="shared" si="1"/>
        <v>-6.7609866032302497E-4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70415</v>
      </c>
      <c r="D95" s="414">
        <v>92239</v>
      </c>
      <c r="E95" s="415">
        <f t="shared" ref="E95:E100" si="2">+D95-C95</f>
        <v>21824</v>
      </c>
      <c r="F95" s="412">
        <f t="shared" ref="F95:F100" si="3">IF(C95=0,0,+E95/C95)</f>
        <v>0.30993396293403397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6788</v>
      </c>
      <c r="D96" s="414">
        <v>7291</v>
      </c>
      <c r="E96" s="409">
        <f t="shared" si="2"/>
        <v>503</v>
      </c>
      <c r="F96" s="410">
        <f t="shared" si="3"/>
        <v>7.4101355332940488E-2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611</v>
      </c>
      <c r="D97" s="414">
        <v>1032</v>
      </c>
      <c r="E97" s="409">
        <f t="shared" si="2"/>
        <v>421</v>
      </c>
      <c r="F97" s="410">
        <f t="shared" si="3"/>
        <v>0.68903436988543376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6043</v>
      </c>
      <c r="D98" s="414">
        <v>5960</v>
      </c>
      <c r="E98" s="409">
        <f t="shared" si="2"/>
        <v>-83</v>
      </c>
      <c r="F98" s="410">
        <f t="shared" si="3"/>
        <v>-1.3734899884163494E-2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41412</v>
      </c>
      <c r="D99" s="414">
        <v>37155</v>
      </c>
      <c r="E99" s="409">
        <f t="shared" si="2"/>
        <v>-4257</v>
      </c>
      <c r="F99" s="410">
        <f t="shared" si="3"/>
        <v>-0.10279629093016517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125269</v>
      </c>
      <c r="D100" s="381">
        <f>SUM(D95:D99)</f>
        <v>143677</v>
      </c>
      <c r="E100" s="401">
        <f t="shared" si="2"/>
        <v>18408</v>
      </c>
      <c r="F100" s="402">
        <f t="shared" si="3"/>
        <v>0.14694776840239804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325</v>
      </c>
      <c r="D104" s="416">
        <v>326.2</v>
      </c>
      <c r="E104" s="417">
        <f>+D104-C104</f>
        <v>1.1999999999999886</v>
      </c>
      <c r="F104" s="410">
        <f>IF(C104=0,0,+E104/C104)</f>
        <v>3.6923076923076575E-3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14.6</v>
      </c>
      <c r="D105" s="416">
        <v>27.8</v>
      </c>
      <c r="E105" s="417">
        <f>+D105-C105</f>
        <v>13.200000000000001</v>
      </c>
      <c r="F105" s="410">
        <f>IF(C105=0,0,+E105/C105)</f>
        <v>0.90410958904109595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736.2</v>
      </c>
      <c r="D106" s="416">
        <v>754.7</v>
      </c>
      <c r="E106" s="417">
        <f>+D106-C106</f>
        <v>18.5</v>
      </c>
      <c r="F106" s="410">
        <f>IF(C106=0,0,+E106/C106)</f>
        <v>2.5129041021461559E-2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1075.8000000000002</v>
      </c>
      <c r="D107" s="418">
        <f>SUM(D104:D106)</f>
        <v>1108.7</v>
      </c>
      <c r="E107" s="418">
        <f>+D107-C107</f>
        <v>32.899999999999864</v>
      </c>
      <c r="F107" s="402">
        <f>IF(C107=0,0,+E107/C107)</f>
        <v>3.0581892545082597E-2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6" t="s">
        <v>0</v>
      </c>
      <c r="B1" s="817"/>
      <c r="C1" s="817"/>
      <c r="D1" s="817"/>
      <c r="E1" s="817"/>
      <c r="F1" s="818"/>
    </row>
    <row r="2" spans="1:6" ht="15.75" customHeight="1" x14ac:dyDescent="0.25">
      <c r="A2" s="816" t="s">
        <v>1</v>
      </c>
      <c r="B2" s="817"/>
      <c r="C2" s="817"/>
      <c r="D2" s="817"/>
      <c r="E2" s="817"/>
      <c r="F2" s="818"/>
    </row>
    <row r="3" spans="1:6" ht="15.75" customHeight="1" x14ac:dyDescent="0.25">
      <c r="A3" s="816" t="s">
        <v>2</v>
      </c>
      <c r="B3" s="817"/>
      <c r="C3" s="817"/>
      <c r="D3" s="817"/>
      <c r="E3" s="817"/>
      <c r="F3" s="818"/>
    </row>
    <row r="4" spans="1:6" ht="15.75" customHeight="1" x14ac:dyDescent="0.25">
      <c r="A4" s="816" t="s">
        <v>620</v>
      </c>
      <c r="B4" s="817"/>
      <c r="C4" s="817"/>
      <c r="D4" s="817"/>
      <c r="E4" s="817"/>
      <c r="F4" s="818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5274</v>
      </c>
      <c r="D12" s="409">
        <v>5566</v>
      </c>
      <c r="E12" s="409">
        <f>+D12-C12</f>
        <v>292</v>
      </c>
      <c r="F12" s="410">
        <f>IF(C12=0,0,+E12/C12)</f>
        <v>5.5365946150929088E-2</v>
      </c>
    </row>
    <row r="13" spans="1:6" ht="15.75" customHeight="1" x14ac:dyDescent="0.25">
      <c r="A13" s="374"/>
      <c r="B13" s="399" t="s">
        <v>622</v>
      </c>
      <c r="C13" s="401">
        <f>SUM(C11:C12)</f>
        <v>5274</v>
      </c>
      <c r="D13" s="401">
        <f>SUM(D11:D12)</f>
        <v>5566</v>
      </c>
      <c r="E13" s="401">
        <f>+D13-C13</f>
        <v>292</v>
      </c>
      <c r="F13" s="402">
        <f>IF(C13=0,0,+E13/C13)</f>
        <v>5.5365946150929088E-2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6043</v>
      </c>
      <c r="D16" s="409">
        <v>5960</v>
      </c>
      <c r="E16" s="409">
        <f>+D16-C16</f>
        <v>-83</v>
      </c>
      <c r="F16" s="410">
        <f>IF(C16=0,0,+E16/C16)</f>
        <v>-1.3734899884163494E-2</v>
      </c>
    </row>
    <row r="17" spans="1:6" ht="15.75" customHeight="1" x14ac:dyDescent="0.25">
      <c r="A17" s="374"/>
      <c r="B17" s="399" t="s">
        <v>623</v>
      </c>
      <c r="C17" s="401">
        <f>SUM(C15:C16)</f>
        <v>6043</v>
      </c>
      <c r="D17" s="401">
        <f>SUM(D15:D16)</f>
        <v>5960</v>
      </c>
      <c r="E17" s="401">
        <f>+D17-C17</f>
        <v>-83</v>
      </c>
      <c r="F17" s="402">
        <f>IF(C17=0,0,+E17/C17)</f>
        <v>-1.3734899884163494E-2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41475</v>
      </c>
      <c r="D20" s="409">
        <v>40876</v>
      </c>
      <c r="E20" s="409">
        <f>+D20-C20</f>
        <v>-599</v>
      </c>
      <c r="F20" s="410">
        <f>IF(C20=0,0,+E20/C20)</f>
        <v>-1.4442435201928873E-2</v>
      </c>
    </row>
    <row r="21" spans="1:6" ht="15.75" customHeight="1" x14ac:dyDescent="0.25">
      <c r="A21" s="374"/>
      <c r="B21" s="399" t="s">
        <v>626</v>
      </c>
      <c r="C21" s="401">
        <f>SUM(C19:C20)</f>
        <v>41475</v>
      </c>
      <c r="D21" s="401">
        <f>SUM(D19:D20)</f>
        <v>40876</v>
      </c>
      <c r="E21" s="401">
        <f>+D21-C21</f>
        <v>-599</v>
      </c>
      <c r="F21" s="402">
        <f>IF(C21=0,0,+E21/C21)</f>
        <v>-1.4442435201928873E-2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627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9" t="s">
        <v>0</v>
      </c>
      <c r="B1" s="819"/>
      <c r="C1" s="819"/>
      <c r="D1" s="819"/>
      <c r="E1" s="819"/>
      <c r="F1" s="819"/>
    </row>
    <row r="2" spans="1:21" ht="15.75" customHeight="1" x14ac:dyDescent="0.25">
      <c r="A2" s="820" t="s">
        <v>630</v>
      </c>
      <c r="B2" s="821"/>
      <c r="C2" s="821"/>
      <c r="D2" s="821"/>
      <c r="E2" s="821"/>
      <c r="F2" s="822"/>
    </row>
    <row r="3" spans="1:21" ht="15.75" customHeight="1" x14ac:dyDescent="0.25">
      <c r="A3" s="820" t="s">
        <v>2</v>
      </c>
      <c r="B3" s="821"/>
      <c r="C3" s="821"/>
      <c r="D3" s="821"/>
      <c r="E3" s="821"/>
      <c r="F3" s="822"/>
    </row>
    <row r="4" spans="1:21" ht="15.75" customHeight="1" x14ac:dyDescent="0.25">
      <c r="A4" s="820" t="s">
        <v>631</v>
      </c>
      <c r="B4" s="821"/>
      <c r="C4" s="821"/>
      <c r="D4" s="821"/>
      <c r="E4" s="821"/>
      <c r="F4" s="822"/>
    </row>
    <row r="5" spans="1:21" ht="15.75" customHeight="1" x14ac:dyDescent="0.25">
      <c r="A5" s="820" t="s">
        <v>632</v>
      </c>
      <c r="B5" s="821"/>
      <c r="C5" s="821"/>
      <c r="D5" s="821"/>
      <c r="E5" s="821"/>
      <c r="F5" s="822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105156405</v>
      </c>
      <c r="D15" s="448">
        <v>127499659</v>
      </c>
      <c r="E15" s="448">
        <f t="shared" ref="E15:E24" si="0">D15-C15</f>
        <v>22343254</v>
      </c>
      <c r="F15" s="449">
        <f t="shared" ref="F15:F24" si="1">IF(C15=0,0,E15/C15)</f>
        <v>0.2124763964686697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33324077</v>
      </c>
      <c r="D16" s="448">
        <v>37826304</v>
      </c>
      <c r="E16" s="448">
        <f t="shared" si="0"/>
        <v>4502227</v>
      </c>
      <c r="F16" s="449">
        <f t="shared" si="1"/>
        <v>0.13510432712059811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0.31690011654544487</v>
      </c>
      <c r="D17" s="453">
        <f>IF(LN_IA1=0,0,LN_IA2/LN_IA1)</f>
        <v>0.2966776875850311</v>
      </c>
      <c r="E17" s="454">
        <f t="shared" si="0"/>
        <v>-2.0222428960413763E-2</v>
      </c>
      <c r="F17" s="449">
        <f t="shared" si="1"/>
        <v>-6.3813258199019243E-2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3537</v>
      </c>
      <c r="D18" s="456">
        <v>3821</v>
      </c>
      <c r="E18" s="456">
        <f t="shared" si="0"/>
        <v>284</v>
      </c>
      <c r="F18" s="449">
        <f t="shared" si="1"/>
        <v>8.0294034492507771E-2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1.43563</v>
      </c>
      <c r="D19" s="459">
        <v>1.5048900000000001</v>
      </c>
      <c r="E19" s="460">
        <f t="shared" si="0"/>
        <v>6.9260000000000099E-2</v>
      </c>
      <c r="F19" s="449">
        <f t="shared" si="1"/>
        <v>4.8243628232901306E-2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5077.8233099999998</v>
      </c>
      <c r="D20" s="463">
        <f>LN_IA4*LN_IA5</f>
        <v>5750.18469</v>
      </c>
      <c r="E20" s="463">
        <f t="shared" si="0"/>
        <v>672.36138000000028</v>
      </c>
      <c r="F20" s="449">
        <f t="shared" si="1"/>
        <v>0.13241133827478538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6562.6696648489724</v>
      </c>
      <c r="D21" s="465">
        <f>IF(LN_IA6=0,0,LN_IA2/LN_IA6)</f>
        <v>6578.2763579372959</v>
      </c>
      <c r="E21" s="465">
        <f t="shared" si="0"/>
        <v>15.606693088323482</v>
      </c>
      <c r="F21" s="449">
        <f t="shared" si="1"/>
        <v>2.3781012736198174E-3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22742</v>
      </c>
      <c r="D22" s="456">
        <v>23189</v>
      </c>
      <c r="E22" s="456">
        <f t="shared" si="0"/>
        <v>447</v>
      </c>
      <c r="F22" s="449">
        <f t="shared" si="1"/>
        <v>1.9655263389323718E-2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1465.3098672060505</v>
      </c>
      <c r="D23" s="465">
        <f>IF(LN_IA8=0,0,LN_IA2/LN_IA8)</f>
        <v>1631.2175600500236</v>
      </c>
      <c r="E23" s="465">
        <f t="shared" si="0"/>
        <v>165.90769284397311</v>
      </c>
      <c r="F23" s="449">
        <f t="shared" si="1"/>
        <v>0.11322362358776318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6.429742719819056</v>
      </c>
      <c r="D24" s="466">
        <f>IF(LN_IA4=0,0,LN_IA8/LN_IA4)</f>
        <v>6.0688301491756089</v>
      </c>
      <c r="E24" s="466">
        <f t="shared" si="0"/>
        <v>-0.36091257064344706</v>
      </c>
      <c r="F24" s="449">
        <f t="shared" si="1"/>
        <v>-5.6131728184234994E-2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106739845</v>
      </c>
      <c r="D27" s="448">
        <v>118665503</v>
      </c>
      <c r="E27" s="448">
        <f t="shared" ref="E27:E32" si="2">D27-C27</f>
        <v>11925658</v>
      </c>
      <c r="F27" s="449">
        <f t="shared" ref="F27:F32" si="3">IF(C27=0,0,E27/C27)</f>
        <v>0.11172639420639968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26090286</v>
      </c>
      <c r="D28" s="448">
        <v>22680812</v>
      </c>
      <c r="E28" s="448">
        <f t="shared" si="2"/>
        <v>-3409474</v>
      </c>
      <c r="F28" s="449">
        <f t="shared" si="3"/>
        <v>-0.13067982466731104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0.24442874167561326</v>
      </c>
      <c r="D29" s="453">
        <f>IF(LN_IA11=0,0,LN_IA12/LN_IA11)</f>
        <v>0.19113231248006424</v>
      </c>
      <c r="E29" s="454">
        <f t="shared" si="2"/>
        <v>-5.3296429195549028E-2</v>
      </c>
      <c r="F29" s="449">
        <f t="shared" si="3"/>
        <v>-0.21804485360514553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1.015057951058711</v>
      </c>
      <c r="D30" s="453">
        <f>IF(LN_IA1=0,0,LN_IA11/LN_IA1)</f>
        <v>0.93071231665019594</v>
      </c>
      <c r="E30" s="454">
        <f t="shared" si="2"/>
        <v>-8.4345634408515058E-2</v>
      </c>
      <c r="F30" s="449">
        <f t="shared" si="3"/>
        <v>-8.3094402955557464E-2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3590.2599728946607</v>
      </c>
      <c r="D31" s="463">
        <f>LN_IA14*LN_IA4</f>
        <v>3556.2517619203986</v>
      </c>
      <c r="E31" s="463">
        <f t="shared" si="2"/>
        <v>-34.008210974262056</v>
      </c>
      <c r="F31" s="449">
        <f t="shared" si="3"/>
        <v>-9.4723533200975433E-3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7266.9628932092646</v>
      </c>
      <c r="D32" s="465">
        <f>IF(LN_IA15=0,0,LN_IA12/LN_IA15)</f>
        <v>6377.7295642736544</v>
      </c>
      <c r="E32" s="465">
        <f t="shared" si="2"/>
        <v>-889.23332893561019</v>
      </c>
      <c r="F32" s="449">
        <f t="shared" si="3"/>
        <v>-0.12236657073982987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211896250</v>
      </c>
      <c r="D35" s="448">
        <f>LN_IA1+LN_IA11</f>
        <v>246165162</v>
      </c>
      <c r="E35" s="448">
        <f>D35-C35</f>
        <v>34268912</v>
      </c>
      <c r="F35" s="449">
        <f>IF(C35=0,0,E35/C35)</f>
        <v>0.16172495737890594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59414363</v>
      </c>
      <c r="D36" s="448">
        <f>LN_IA2+LN_IA12</f>
        <v>60507116</v>
      </c>
      <c r="E36" s="448">
        <f>D36-C36</f>
        <v>1092753</v>
      </c>
      <c r="F36" s="449">
        <f>IF(C36=0,0,E36/C36)</f>
        <v>1.8392067924720493E-2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152481887</v>
      </c>
      <c r="D37" s="448">
        <f>LN_IA17-LN_IA18</f>
        <v>185658046</v>
      </c>
      <c r="E37" s="448">
        <f>D37-C37</f>
        <v>33176159</v>
      </c>
      <c r="F37" s="449">
        <f>IF(C37=0,0,E37/C37)</f>
        <v>0.21757442574146527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49771163</v>
      </c>
      <c r="D42" s="448">
        <v>57637109</v>
      </c>
      <c r="E42" s="448">
        <f t="shared" ref="E42:E53" si="4">D42-C42</f>
        <v>7865946</v>
      </c>
      <c r="F42" s="449">
        <f t="shared" ref="F42:F53" si="5">IF(C42=0,0,E42/C42)</f>
        <v>0.15804223823341237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26984875</v>
      </c>
      <c r="D43" s="448">
        <v>26813896</v>
      </c>
      <c r="E43" s="448">
        <f t="shared" si="4"/>
        <v>-170979</v>
      </c>
      <c r="F43" s="449">
        <f t="shared" si="5"/>
        <v>-6.3361049476790242E-3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0.54217891191331014</v>
      </c>
      <c r="D44" s="453">
        <f>IF(LN_IB1=0,0,LN_IB2/LN_IB1)</f>
        <v>0.46521930862285266</v>
      </c>
      <c r="E44" s="454">
        <f t="shared" si="4"/>
        <v>-7.6959603290457479E-2</v>
      </c>
      <c r="F44" s="449">
        <f t="shared" si="5"/>
        <v>-0.14194503253339863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3296</v>
      </c>
      <c r="D45" s="456">
        <v>3395</v>
      </c>
      <c r="E45" s="456">
        <f t="shared" si="4"/>
        <v>99</v>
      </c>
      <c r="F45" s="449">
        <f t="shared" si="5"/>
        <v>3.0036407766990292E-2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0.98934999999999995</v>
      </c>
      <c r="D46" s="459">
        <v>0.98411999999999999</v>
      </c>
      <c r="E46" s="460">
        <f t="shared" si="4"/>
        <v>-5.2299999999999569E-3</v>
      </c>
      <c r="F46" s="449">
        <f t="shared" si="5"/>
        <v>-5.2862990852579547E-3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3260.8975999999998</v>
      </c>
      <c r="D47" s="463">
        <f>LN_IB4*LN_IB5</f>
        <v>3341.0873999999999</v>
      </c>
      <c r="E47" s="463">
        <f t="shared" si="4"/>
        <v>80.189800000000105</v>
      </c>
      <c r="F47" s="449">
        <f t="shared" si="5"/>
        <v>2.4591327246829251E-2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8275.2905212356254</v>
      </c>
      <c r="D48" s="465">
        <f>IF(LN_IB6=0,0,LN_IB2/LN_IB6)</f>
        <v>8025.499722036604</v>
      </c>
      <c r="E48" s="465">
        <f t="shared" si="4"/>
        <v>-249.79079919902142</v>
      </c>
      <c r="F48" s="449">
        <f t="shared" si="5"/>
        <v>-3.0185139549846751E-2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-1712.620856386653</v>
      </c>
      <c r="D49" s="465">
        <f>LN_IA7-LN_IB7</f>
        <v>-1447.2233640993081</v>
      </c>
      <c r="E49" s="465">
        <f t="shared" si="4"/>
        <v>265.3974922873449</v>
      </c>
      <c r="F49" s="449">
        <f t="shared" si="5"/>
        <v>-0.15496570142634475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-5584681.2403011816</v>
      </c>
      <c r="D50" s="479">
        <f>LN_IB8*LN_IB6</f>
        <v>-4835299.7467778102</v>
      </c>
      <c r="E50" s="479">
        <f t="shared" si="4"/>
        <v>749381.49352337141</v>
      </c>
      <c r="F50" s="449">
        <f t="shared" si="5"/>
        <v>-0.13418518645532529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13179</v>
      </c>
      <c r="D51" s="456">
        <v>13150</v>
      </c>
      <c r="E51" s="456">
        <f t="shared" si="4"/>
        <v>-29</v>
      </c>
      <c r="F51" s="449">
        <f t="shared" si="5"/>
        <v>-2.2004704454055696E-3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2047.5662038090902</v>
      </c>
      <c r="D52" s="465">
        <f>IF(LN_IB10=0,0,LN_IB2/LN_IB10)</f>
        <v>2039.0795437262357</v>
      </c>
      <c r="E52" s="465">
        <f t="shared" si="4"/>
        <v>-8.4866600828545415</v>
      </c>
      <c r="F52" s="449">
        <f t="shared" si="5"/>
        <v>-4.1447549129629098E-3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3.998483009708738</v>
      </c>
      <c r="D53" s="466">
        <f>IF(LN_IB4=0,0,LN_IB10/LN_IB4)</f>
        <v>3.8733431516936672</v>
      </c>
      <c r="E53" s="466">
        <f t="shared" si="4"/>
        <v>-0.12513985801507088</v>
      </c>
      <c r="F53" s="449">
        <f t="shared" si="5"/>
        <v>-3.1296833752004975E-2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142894349</v>
      </c>
      <c r="D56" s="448">
        <v>153497062</v>
      </c>
      <c r="E56" s="448">
        <f t="shared" ref="E56:E63" si="6">D56-C56</f>
        <v>10602713</v>
      </c>
      <c r="F56" s="449">
        <f t="shared" ref="F56:F63" si="7">IF(C56=0,0,E56/C56)</f>
        <v>7.4199666216331617E-2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60709048</v>
      </c>
      <c r="D57" s="448">
        <v>61599256</v>
      </c>
      <c r="E57" s="448">
        <f t="shared" si="6"/>
        <v>890208</v>
      </c>
      <c r="F57" s="449">
        <f t="shared" si="7"/>
        <v>1.4663514407275832E-2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0.42485268609187615</v>
      </c>
      <c r="D58" s="453">
        <f>IF(LN_IB13=0,0,LN_IB14/LN_IB13)</f>
        <v>0.40130576570905313</v>
      </c>
      <c r="E58" s="454">
        <f t="shared" si="6"/>
        <v>-2.3546920382823022E-2</v>
      </c>
      <c r="F58" s="449">
        <f t="shared" si="7"/>
        <v>-5.5423729574186814E-2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2.8710269237630635</v>
      </c>
      <c r="D59" s="453">
        <f>IF(LN_IB1=0,0,LN_IB13/LN_IB1)</f>
        <v>2.6631637960883845</v>
      </c>
      <c r="E59" s="454">
        <f t="shared" si="6"/>
        <v>-0.20786312767467896</v>
      </c>
      <c r="F59" s="449">
        <f t="shared" si="7"/>
        <v>-7.2400271120492368E-2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9462.9047407230573</v>
      </c>
      <c r="D60" s="463">
        <f>LN_IB16*LN_IB4</f>
        <v>9041.4410877200662</v>
      </c>
      <c r="E60" s="463">
        <f t="shared" si="6"/>
        <v>-421.46365300299112</v>
      </c>
      <c r="F60" s="449">
        <f t="shared" si="7"/>
        <v>-4.4538507419317766E-2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6415.4770298745752</v>
      </c>
      <c r="D61" s="465">
        <f>IF(LN_IB17=0,0,LN_IB14/LN_IB17)</f>
        <v>6812.9909162006352</v>
      </c>
      <c r="E61" s="465">
        <f t="shared" si="6"/>
        <v>397.51388632605995</v>
      </c>
      <c r="F61" s="449">
        <f t="shared" si="7"/>
        <v>6.1961703623125822E-2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851.48586333468938</v>
      </c>
      <c r="D62" s="465">
        <f>LN_IA16-LN_IB18</f>
        <v>-435.26135192698075</v>
      </c>
      <c r="E62" s="465">
        <f t="shared" si="6"/>
        <v>-1286.7472152616701</v>
      </c>
      <c r="F62" s="449">
        <f t="shared" si="7"/>
        <v>-1.5111786004553955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8057529.6128084976</v>
      </c>
      <c r="D63" s="448">
        <f>LN_IB19*LN_IB17</f>
        <v>-3935389.8712091874</v>
      </c>
      <c r="E63" s="448">
        <f t="shared" si="6"/>
        <v>-11992919.484017685</v>
      </c>
      <c r="F63" s="449">
        <f t="shared" si="7"/>
        <v>-1.4884114685664165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192665512</v>
      </c>
      <c r="D66" s="448">
        <f>LN_IB1+LN_IB13</f>
        <v>211134171</v>
      </c>
      <c r="E66" s="448">
        <f>D66-C66</f>
        <v>18468659</v>
      </c>
      <c r="F66" s="449">
        <f>IF(C66=0,0,E66/C66)</f>
        <v>9.5858666184117064E-2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87693923</v>
      </c>
      <c r="D67" s="448">
        <f>LN_IB2+LN_IB14</f>
        <v>88413152</v>
      </c>
      <c r="E67" s="448">
        <f>D67-C67</f>
        <v>719229</v>
      </c>
      <c r="F67" s="449">
        <f>IF(C67=0,0,E67/C67)</f>
        <v>8.2015831359260778E-3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104971589</v>
      </c>
      <c r="D68" s="448">
        <f>LN_IB21-LN_IB22</f>
        <v>122721019</v>
      </c>
      <c r="E68" s="448">
        <f>D68-C68</f>
        <v>17749430</v>
      </c>
      <c r="F68" s="449">
        <f>IF(C68=0,0,E68/C68)</f>
        <v>0.16908794245269546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2472848.3725073161</v>
      </c>
      <c r="D70" s="441">
        <f>LN_IB9+LN_IB20</f>
        <v>-8770689.6179869976</v>
      </c>
      <c r="E70" s="448">
        <f>D70-C70</f>
        <v>-11243537.990494315</v>
      </c>
      <c r="F70" s="449">
        <f>IF(C70=0,0,E70/C70)</f>
        <v>-4.5467963646691603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192665512</v>
      </c>
      <c r="D73" s="488">
        <v>211134171</v>
      </c>
      <c r="E73" s="488">
        <f>D73-C73</f>
        <v>18468659</v>
      </c>
      <c r="F73" s="489">
        <f>IF(C73=0,0,E73/C73)</f>
        <v>9.5858666184117064E-2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87693923</v>
      </c>
      <c r="D74" s="488">
        <v>88413152</v>
      </c>
      <c r="E74" s="488">
        <f>D74-C74</f>
        <v>719229</v>
      </c>
      <c r="F74" s="489">
        <f>IF(C74=0,0,E74/C74)</f>
        <v>8.2015831359260778E-3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104971589</v>
      </c>
      <c r="D76" s="441">
        <f>LN_IB32-LN_IB33</f>
        <v>122721019</v>
      </c>
      <c r="E76" s="488">
        <f>D76-C76</f>
        <v>17749430</v>
      </c>
      <c r="F76" s="489">
        <f>IF(E76=0,0,E76/C76)</f>
        <v>0.16908794245269546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0.54483850228472652</v>
      </c>
      <c r="D77" s="453">
        <f>IF(LN_IB32=0,0,LN_IB34/LN_IB32)</f>
        <v>0.58124659982206295</v>
      </c>
      <c r="E77" s="493">
        <f>D77-C77</f>
        <v>3.6408097537336426E-2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2434687</v>
      </c>
      <c r="D83" s="448">
        <v>2371759</v>
      </c>
      <c r="E83" s="448">
        <f t="shared" ref="E83:E95" si="8">D83-C83</f>
        <v>-62928</v>
      </c>
      <c r="F83" s="449">
        <f t="shared" ref="F83:F95" si="9">IF(C83=0,0,E83/C83)</f>
        <v>-2.584644350587981E-2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25557</v>
      </c>
      <c r="D84" s="448">
        <v>78971</v>
      </c>
      <c r="E84" s="448">
        <f t="shared" si="8"/>
        <v>53414</v>
      </c>
      <c r="F84" s="449">
        <f t="shared" si="9"/>
        <v>2.0899949133309859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1.0497037196157043E-2</v>
      </c>
      <c r="D85" s="453">
        <f>IF(LN_IC1=0,0,LN_IC2/LN_IC1)</f>
        <v>3.3296384666401606E-2</v>
      </c>
      <c r="E85" s="454">
        <f t="shared" si="8"/>
        <v>2.2799347470244563E-2</v>
      </c>
      <c r="F85" s="449">
        <f t="shared" si="9"/>
        <v>2.1719792970335847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182</v>
      </c>
      <c r="D86" s="456">
        <v>218</v>
      </c>
      <c r="E86" s="456">
        <f t="shared" si="8"/>
        <v>36</v>
      </c>
      <c r="F86" s="449">
        <f t="shared" si="9"/>
        <v>0.19780219780219779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1.0105299999999999</v>
      </c>
      <c r="D87" s="459">
        <v>1.0421400000000001</v>
      </c>
      <c r="E87" s="460">
        <f t="shared" si="8"/>
        <v>3.1610000000000138E-2</v>
      </c>
      <c r="F87" s="449">
        <f t="shared" si="9"/>
        <v>3.1280615122757503E-2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183.91646</v>
      </c>
      <c r="D88" s="463">
        <f>LN_IC4*LN_IC5</f>
        <v>227.18652</v>
      </c>
      <c r="E88" s="463">
        <f t="shared" si="8"/>
        <v>43.270060000000001</v>
      </c>
      <c r="F88" s="449">
        <f t="shared" si="9"/>
        <v>0.23527018734484123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138.95982991408164</v>
      </c>
      <c r="D89" s="465">
        <f>IF(LN_IC6=0,0,LN_IC2/LN_IC6)</f>
        <v>347.60425046345176</v>
      </c>
      <c r="E89" s="465">
        <f t="shared" si="8"/>
        <v>208.64442054937012</v>
      </c>
      <c r="F89" s="449">
        <f t="shared" si="9"/>
        <v>1.5014729125559108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8136.3306913215438</v>
      </c>
      <c r="D90" s="465">
        <f>LN_IB7-LN_IC7</f>
        <v>7677.8954715731525</v>
      </c>
      <c r="E90" s="465">
        <f t="shared" si="8"/>
        <v>-458.43521974839132</v>
      </c>
      <c r="F90" s="449">
        <f t="shared" si="9"/>
        <v>-5.6344221632654651E-2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6423.7098349348908</v>
      </c>
      <c r="D91" s="465">
        <f>LN_IA7-LN_IC7</f>
        <v>6230.6721074738443</v>
      </c>
      <c r="E91" s="465">
        <f t="shared" si="8"/>
        <v>-193.03772746104642</v>
      </c>
      <c r="F91" s="449">
        <f t="shared" si="9"/>
        <v>-3.0050816805457872E-2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1181425.9729084095</v>
      </c>
      <c r="D92" s="441">
        <f>LN_IC9*LN_IC6</f>
        <v>1415524.7133580486</v>
      </c>
      <c r="E92" s="441">
        <f t="shared" si="8"/>
        <v>234098.74044963904</v>
      </c>
      <c r="F92" s="449">
        <f t="shared" si="9"/>
        <v>0.19814930923969759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975</v>
      </c>
      <c r="D93" s="456">
        <v>1077</v>
      </c>
      <c r="E93" s="456">
        <f t="shared" si="8"/>
        <v>102</v>
      </c>
      <c r="F93" s="449">
        <f t="shared" si="9"/>
        <v>0.10461538461538461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26.212307692307693</v>
      </c>
      <c r="D94" s="499">
        <f>IF(LN_IC11=0,0,LN_IC2/LN_IC11)</f>
        <v>73.324976787372336</v>
      </c>
      <c r="E94" s="499">
        <f t="shared" si="8"/>
        <v>47.112669095064646</v>
      </c>
      <c r="F94" s="449">
        <f t="shared" si="9"/>
        <v>1.7973491555224803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5.3571428571428568</v>
      </c>
      <c r="D95" s="466">
        <f>IF(LN_IC4=0,0,LN_IC11/LN_IC4)</f>
        <v>4.9403669724770642</v>
      </c>
      <c r="E95" s="466">
        <f t="shared" si="8"/>
        <v>-0.41677588466579252</v>
      </c>
      <c r="F95" s="449">
        <f t="shared" si="9"/>
        <v>-7.7798165137614603E-2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9151074</v>
      </c>
      <c r="D98" s="448">
        <v>7444649</v>
      </c>
      <c r="E98" s="448">
        <f t="shared" ref="E98:E106" si="10">D98-C98</f>
        <v>-1706425</v>
      </c>
      <c r="F98" s="449">
        <f t="shared" ref="F98:F106" si="11">IF(C98=0,0,E98/C98)</f>
        <v>-0.18647264790996118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329737</v>
      </c>
      <c r="D99" s="448">
        <v>397739</v>
      </c>
      <c r="E99" s="448">
        <f t="shared" si="10"/>
        <v>68002</v>
      </c>
      <c r="F99" s="449">
        <f t="shared" si="11"/>
        <v>0.20623102654539829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3.6032601200689671E-2</v>
      </c>
      <c r="D100" s="453">
        <f>IF(LN_IC14=0,0,LN_IC15/LN_IC14)</f>
        <v>5.342615884241151E-2</v>
      </c>
      <c r="E100" s="454">
        <f t="shared" si="10"/>
        <v>1.7393557641721839E-2</v>
      </c>
      <c r="F100" s="449">
        <f t="shared" si="11"/>
        <v>0.48271723556246954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3.7586244145551357</v>
      </c>
      <c r="D101" s="453">
        <f>IF(LN_IC1=0,0,LN_IC14/LN_IC1)</f>
        <v>3.138872457108838</v>
      </c>
      <c r="E101" s="454">
        <f t="shared" si="10"/>
        <v>-0.61975195744629774</v>
      </c>
      <c r="F101" s="449">
        <f t="shared" si="11"/>
        <v>-0.16488797205869543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684.06964344903474</v>
      </c>
      <c r="D102" s="463">
        <f>LN_IC17*LN_IC4</f>
        <v>684.27419564972672</v>
      </c>
      <c r="E102" s="463">
        <f t="shared" si="10"/>
        <v>0.20455220069197821</v>
      </c>
      <c r="F102" s="449">
        <f t="shared" si="11"/>
        <v>2.9902247914501704E-4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482.02255889837102</v>
      </c>
      <c r="D103" s="465">
        <f>IF(LN_IC18=0,0,LN_IC15/LN_IC18)</f>
        <v>581.25675720146364</v>
      </c>
      <c r="E103" s="465">
        <f t="shared" si="10"/>
        <v>99.234198303092626</v>
      </c>
      <c r="F103" s="449">
        <f t="shared" si="11"/>
        <v>0.20587044417565326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5933.454470976204</v>
      </c>
      <c r="D104" s="465">
        <f>LN_IB18-LN_IC19</f>
        <v>6231.734158999172</v>
      </c>
      <c r="E104" s="465">
        <f t="shared" si="10"/>
        <v>298.279688022968</v>
      </c>
      <c r="F104" s="449">
        <f t="shared" si="11"/>
        <v>5.0270831179714676E-2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6784.9403343108934</v>
      </c>
      <c r="D105" s="465">
        <f>LN_IA16-LN_IC19</f>
        <v>5796.4728070721903</v>
      </c>
      <c r="E105" s="465">
        <f t="shared" si="10"/>
        <v>-988.46752723870304</v>
      </c>
      <c r="F105" s="449">
        <f t="shared" si="11"/>
        <v>-0.14568551505753158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4641371.7153150272</v>
      </c>
      <c r="D106" s="448">
        <f>LN_IC21*LN_IC18</f>
        <v>3966376.7676648367</v>
      </c>
      <c r="E106" s="448">
        <f t="shared" si="10"/>
        <v>-674994.94765019044</v>
      </c>
      <c r="F106" s="449">
        <f t="shared" si="11"/>
        <v>-0.14543005582227453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11585761</v>
      </c>
      <c r="D109" s="448">
        <f>LN_IC1+LN_IC14</f>
        <v>9816408</v>
      </c>
      <c r="E109" s="448">
        <f>D109-C109</f>
        <v>-1769353</v>
      </c>
      <c r="F109" s="449">
        <f>IF(C109=0,0,E109/C109)</f>
        <v>-0.15271789224721621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355294</v>
      </c>
      <c r="D110" s="448">
        <f>LN_IC2+LN_IC15</f>
        <v>476710</v>
      </c>
      <c r="E110" s="448">
        <f>D110-C110</f>
        <v>121416</v>
      </c>
      <c r="F110" s="449">
        <f>IF(C110=0,0,E110/C110)</f>
        <v>0.34173388799135362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11230467</v>
      </c>
      <c r="D111" s="448">
        <f>LN_IC23-LN_IC24</f>
        <v>9339698</v>
      </c>
      <c r="E111" s="448">
        <f>D111-C111</f>
        <v>-1890769</v>
      </c>
      <c r="F111" s="449">
        <f>IF(C111=0,0,E111/C111)</f>
        <v>-0.1683606745828112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5822797.6882234365</v>
      </c>
      <c r="D113" s="448">
        <f>LN_IC10+LN_IC22</f>
        <v>5381901.4810228851</v>
      </c>
      <c r="E113" s="448">
        <f>D113-C113</f>
        <v>-440896.20720055141</v>
      </c>
      <c r="F113" s="449">
        <f>IF(C113=0,0,E113/C113)</f>
        <v>-7.5718963771016917E-2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29843751</v>
      </c>
      <c r="D118" s="448">
        <v>39765242</v>
      </c>
      <c r="E118" s="448">
        <f t="shared" ref="E118:E130" si="12">D118-C118</f>
        <v>9921491</v>
      </c>
      <c r="F118" s="449">
        <f t="shared" ref="F118:F130" si="13">IF(C118=0,0,E118/C118)</f>
        <v>0.33244785482897238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10559781</v>
      </c>
      <c r="D119" s="448">
        <v>11500711</v>
      </c>
      <c r="E119" s="448">
        <f t="shared" si="12"/>
        <v>940930</v>
      </c>
      <c r="F119" s="449">
        <f t="shared" si="13"/>
        <v>8.9105067614565117E-2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0.35383558186100666</v>
      </c>
      <c r="D120" s="453">
        <f>IF(LN_ID1=0,0,LN_1D2/LN_ID1)</f>
        <v>0.28921516433874589</v>
      </c>
      <c r="E120" s="454">
        <f t="shared" si="12"/>
        <v>-6.4620417522260776E-2</v>
      </c>
      <c r="F120" s="449">
        <f t="shared" si="13"/>
        <v>-0.1826283755364233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1957</v>
      </c>
      <c r="D121" s="456">
        <v>2085</v>
      </c>
      <c r="E121" s="456">
        <f t="shared" si="12"/>
        <v>128</v>
      </c>
      <c r="F121" s="449">
        <f t="shared" si="13"/>
        <v>6.5406234031681151E-2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0.92262999999999995</v>
      </c>
      <c r="D122" s="459">
        <v>0.96306000000000003</v>
      </c>
      <c r="E122" s="460">
        <f t="shared" si="12"/>
        <v>4.0430000000000077E-2</v>
      </c>
      <c r="F122" s="449">
        <f t="shared" si="13"/>
        <v>4.3820383035453082E-2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1805.58691</v>
      </c>
      <c r="D123" s="463">
        <f>LN_ID4*LN_ID5</f>
        <v>2007.9801</v>
      </c>
      <c r="E123" s="463">
        <f t="shared" si="12"/>
        <v>202.39319</v>
      </c>
      <c r="F123" s="449">
        <f t="shared" si="13"/>
        <v>0.1120927432953089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5848.3925318222427</v>
      </c>
      <c r="D124" s="465">
        <f>IF(LN_ID6=0,0,LN_1D2/LN_ID6)</f>
        <v>5727.5024787347247</v>
      </c>
      <c r="E124" s="465">
        <f t="shared" si="12"/>
        <v>-120.89005308751803</v>
      </c>
      <c r="F124" s="449">
        <f t="shared" si="13"/>
        <v>-2.0670646238215323E-2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2426.8979894133827</v>
      </c>
      <c r="D125" s="465">
        <f>LN_IB7-LN_ID7</f>
        <v>2297.9972433018793</v>
      </c>
      <c r="E125" s="465">
        <f t="shared" si="12"/>
        <v>-128.90074611150339</v>
      </c>
      <c r="F125" s="449">
        <f t="shared" si="13"/>
        <v>-5.311337628272568E-2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714.27713302672964</v>
      </c>
      <c r="D126" s="465">
        <f>LN_IA7-LN_ID7</f>
        <v>850.77387920257115</v>
      </c>
      <c r="E126" s="465">
        <f t="shared" si="12"/>
        <v>136.49674617584151</v>
      </c>
      <c r="F126" s="449">
        <f t="shared" si="13"/>
        <v>0.19109774044906117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1289689.4415053916</v>
      </c>
      <c r="D127" s="479">
        <f>LN_ID9*LN_ID6</f>
        <v>1708337.0190385666</v>
      </c>
      <c r="E127" s="479">
        <f t="shared" si="12"/>
        <v>418647.577533175</v>
      </c>
      <c r="F127" s="449">
        <f t="shared" si="13"/>
        <v>0.32461115370884025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9483</v>
      </c>
      <c r="D128" s="456">
        <v>10174</v>
      </c>
      <c r="E128" s="456">
        <f t="shared" si="12"/>
        <v>691</v>
      </c>
      <c r="F128" s="449">
        <f t="shared" si="13"/>
        <v>7.286723610671729E-2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1113.5485605820943</v>
      </c>
      <c r="D129" s="465">
        <f>IF(LN_ID11=0,0,LN_1D2/LN_ID11)</f>
        <v>1130.4021034008256</v>
      </c>
      <c r="E129" s="465">
        <f t="shared" si="12"/>
        <v>16.853542818731285</v>
      </c>
      <c r="F129" s="449">
        <f t="shared" si="13"/>
        <v>1.5134986847741328E-2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4.8456821665815024</v>
      </c>
      <c r="D130" s="466">
        <f>IF(LN_ID4=0,0,LN_ID11/LN_ID4)</f>
        <v>4.8796163069544365</v>
      </c>
      <c r="E130" s="466">
        <f t="shared" si="12"/>
        <v>3.3934140372934074E-2</v>
      </c>
      <c r="F130" s="449">
        <f t="shared" si="13"/>
        <v>7.0029645375758705E-3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55812465</v>
      </c>
      <c r="D133" s="448">
        <v>64243785</v>
      </c>
      <c r="E133" s="448">
        <f t="shared" ref="E133:E141" si="14">D133-C133</f>
        <v>8431320</v>
      </c>
      <c r="F133" s="449">
        <f t="shared" ref="F133:F141" si="15">IF(C133=0,0,E133/C133)</f>
        <v>0.15106517871948497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10869325</v>
      </c>
      <c r="D134" s="448">
        <v>11751049</v>
      </c>
      <c r="E134" s="448">
        <f t="shared" si="14"/>
        <v>881724</v>
      </c>
      <c r="F134" s="449">
        <f t="shared" si="15"/>
        <v>8.1120400760856817E-2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0.19474726658283234</v>
      </c>
      <c r="D135" s="453">
        <f>IF(LN_ID14=0,0,LN_ID15/LN_ID14)</f>
        <v>0.18291339777069487</v>
      </c>
      <c r="E135" s="454">
        <f t="shared" si="14"/>
        <v>-1.1833868812137466E-2</v>
      </c>
      <c r="F135" s="449">
        <f t="shared" si="15"/>
        <v>-6.076526269037074E-2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1.8701558326230507</v>
      </c>
      <c r="D136" s="453">
        <f>IF(LN_ID1=0,0,LN_ID14/LN_ID1)</f>
        <v>1.615576361889109</v>
      </c>
      <c r="E136" s="454">
        <f t="shared" si="14"/>
        <v>-0.25457947073394172</v>
      </c>
      <c r="F136" s="449">
        <f t="shared" si="15"/>
        <v>-0.13612741050400737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3659.8949644433101</v>
      </c>
      <c r="D137" s="463">
        <f>LN_ID17*LN_ID4</f>
        <v>3368.4767145387923</v>
      </c>
      <c r="E137" s="463">
        <f t="shared" si="14"/>
        <v>-291.41824990451778</v>
      </c>
      <c r="F137" s="449">
        <f t="shared" si="15"/>
        <v>-7.9624757741878008E-2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2969.8461583181756</v>
      </c>
      <c r="D138" s="465">
        <f>IF(LN_ID18=0,0,LN_ID15/LN_ID18)</f>
        <v>3488.5350251289888</v>
      </c>
      <c r="E138" s="465">
        <f t="shared" si="14"/>
        <v>518.68886681081312</v>
      </c>
      <c r="F138" s="449">
        <f t="shared" si="15"/>
        <v>0.17465176280529854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3445.6308715563996</v>
      </c>
      <c r="D139" s="465">
        <f>LN_IB18-LN_ID19</f>
        <v>3324.4558910716464</v>
      </c>
      <c r="E139" s="465">
        <f t="shared" si="14"/>
        <v>-121.17498048475318</v>
      </c>
      <c r="F139" s="449">
        <f t="shared" si="15"/>
        <v>-3.5167719643171808E-2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4297.1167348910894</v>
      </c>
      <c r="D140" s="465">
        <f>LN_IA16-LN_ID19</f>
        <v>2889.1945391446657</v>
      </c>
      <c r="E140" s="465">
        <f t="shared" si="14"/>
        <v>-1407.9221957464238</v>
      </c>
      <c r="F140" s="449">
        <f t="shared" si="15"/>
        <v>-0.32764346016355256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15726995.899652977</v>
      </c>
      <c r="D141" s="441">
        <f>LN_ID21*LN_ID18</f>
        <v>9732184.5288814437</v>
      </c>
      <c r="E141" s="441">
        <f t="shared" si="14"/>
        <v>-5994811.3707715329</v>
      </c>
      <c r="F141" s="449">
        <f t="shared" si="15"/>
        <v>-0.38117968676419706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85656216</v>
      </c>
      <c r="D144" s="448">
        <f>LN_ID1+LN_ID14</f>
        <v>104009027</v>
      </c>
      <c r="E144" s="448">
        <f>D144-C144</f>
        <v>18352811</v>
      </c>
      <c r="F144" s="449">
        <f>IF(C144=0,0,E144/C144)</f>
        <v>0.21426128606941963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21429106</v>
      </c>
      <c r="D145" s="448">
        <f>LN_1D2+LN_ID15</f>
        <v>23251760</v>
      </c>
      <c r="E145" s="448">
        <f>D145-C145</f>
        <v>1822654</v>
      </c>
      <c r="F145" s="449">
        <f>IF(C145=0,0,E145/C145)</f>
        <v>8.5055064826316126E-2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64227110</v>
      </c>
      <c r="D146" s="448">
        <f>LN_ID23-LN_ID24</f>
        <v>80757267</v>
      </c>
      <c r="E146" s="448">
        <f>D146-C146</f>
        <v>16530157</v>
      </c>
      <c r="F146" s="449">
        <f>IF(C146=0,0,E146/C146)</f>
        <v>0.25737040013165779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17016685.341158368</v>
      </c>
      <c r="D148" s="448">
        <f>LN_ID10+LN_ID22</f>
        <v>11440521.547920011</v>
      </c>
      <c r="E148" s="448">
        <f>D148-C148</f>
        <v>-5576163.7932383567</v>
      </c>
      <c r="F148" s="503">
        <f>IF(C148=0,0,E148/C148)</f>
        <v>-0.32768801217421895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8275.2905212356254</v>
      </c>
      <c r="D160" s="465">
        <f>LN_IB7-LN_IE7</f>
        <v>8025.499722036604</v>
      </c>
      <c r="E160" s="465">
        <f t="shared" si="16"/>
        <v>-249.79079919902142</v>
      </c>
      <c r="F160" s="449">
        <f t="shared" si="17"/>
        <v>-3.0185139549846751E-2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6562.6696648489724</v>
      </c>
      <c r="D161" s="465">
        <f>LN_IA7-LN_IE7</f>
        <v>6578.2763579372959</v>
      </c>
      <c r="E161" s="465">
        <f t="shared" si="16"/>
        <v>15.606693088323482</v>
      </c>
      <c r="F161" s="449">
        <f t="shared" si="17"/>
        <v>2.3781012736198174E-3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6415.4770298745752</v>
      </c>
      <c r="D174" s="465">
        <f>LN_IB18-LN_IE19</f>
        <v>6812.9909162006352</v>
      </c>
      <c r="E174" s="465">
        <f t="shared" si="18"/>
        <v>397.51388632605995</v>
      </c>
      <c r="F174" s="449">
        <f t="shared" si="19"/>
        <v>6.1961703623125822E-2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7266.9628932092646</v>
      </c>
      <c r="D175" s="465">
        <f>LN_IA16-LN_IE19</f>
        <v>6377.7295642736544</v>
      </c>
      <c r="E175" s="465">
        <f t="shared" si="18"/>
        <v>-889.23332893561019</v>
      </c>
      <c r="F175" s="449">
        <f t="shared" si="19"/>
        <v>-0.12236657073982987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29843751</v>
      </c>
      <c r="D188" s="448">
        <f>LN_ID1+LN_IE1</f>
        <v>39765242</v>
      </c>
      <c r="E188" s="448">
        <f t="shared" ref="E188:E200" si="20">D188-C188</f>
        <v>9921491</v>
      </c>
      <c r="F188" s="449">
        <f t="shared" ref="F188:F200" si="21">IF(C188=0,0,E188/C188)</f>
        <v>0.33244785482897238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10559781</v>
      </c>
      <c r="D189" s="448">
        <f>LN_1D2+LN_IE2</f>
        <v>11500711</v>
      </c>
      <c r="E189" s="448">
        <f t="shared" si="20"/>
        <v>940930</v>
      </c>
      <c r="F189" s="449">
        <f t="shared" si="21"/>
        <v>8.9105067614565117E-2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0.35383558186100666</v>
      </c>
      <c r="D190" s="453">
        <f>IF(LN_IF1=0,0,LN_IF2/LN_IF1)</f>
        <v>0.28921516433874589</v>
      </c>
      <c r="E190" s="454">
        <f t="shared" si="20"/>
        <v>-6.4620417522260776E-2</v>
      </c>
      <c r="F190" s="449">
        <f t="shared" si="21"/>
        <v>-0.1826283755364233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1957</v>
      </c>
      <c r="D191" s="456">
        <f>LN_ID4+LN_IE4</f>
        <v>2085</v>
      </c>
      <c r="E191" s="456">
        <f t="shared" si="20"/>
        <v>128</v>
      </c>
      <c r="F191" s="449">
        <f t="shared" si="21"/>
        <v>6.5406234031681151E-2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0.92262999999999995</v>
      </c>
      <c r="D192" s="459">
        <f>IF((LN_ID4+LN_IE4)=0,0,(LN_ID6+LN_IE6)/(LN_ID4+LN_IE4))</f>
        <v>0.96306000000000003</v>
      </c>
      <c r="E192" s="460">
        <f t="shared" si="20"/>
        <v>4.0430000000000077E-2</v>
      </c>
      <c r="F192" s="449">
        <f t="shared" si="21"/>
        <v>4.3820383035453082E-2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1805.58691</v>
      </c>
      <c r="D193" s="463">
        <f>LN_IF4*LN_IF5</f>
        <v>2007.9801</v>
      </c>
      <c r="E193" s="463">
        <f t="shared" si="20"/>
        <v>202.39319</v>
      </c>
      <c r="F193" s="449">
        <f t="shared" si="21"/>
        <v>0.1120927432953089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5848.3925318222427</v>
      </c>
      <c r="D194" s="465">
        <f>IF(LN_IF6=0,0,LN_IF2/LN_IF6)</f>
        <v>5727.5024787347247</v>
      </c>
      <c r="E194" s="465">
        <f t="shared" si="20"/>
        <v>-120.89005308751803</v>
      </c>
      <c r="F194" s="449">
        <f t="shared" si="21"/>
        <v>-2.0670646238215323E-2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2426.8979894133827</v>
      </c>
      <c r="D195" s="465">
        <f>LN_IB7-LN_IF7</f>
        <v>2297.9972433018793</v>
      </c>
      <c r="E195" s="465">
        <f t="shared" si="20"/>
        <v>-128.90074611150339</v>
      </c>
      <c r="F195" s="449">
        <f t="shared" si="21"/>
        <v>-5.311337628272568E-2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714.27713302672964</v>
      </c>
      <c r="D196" s="465">
        <f>LN_IA7-LN_IF7</f>
        <v>850.77387920257115</v>
      </c>
      <c r="E196" s="465">
        <f t="shared" si="20"/>
        <v>136.49674617584151</v>
      </c>
      <c r="F196" s="449">
        <f t="shared" si="21"/>
        <v>0.19109774044906117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1289689.4415053916</v>
      </c>
      <c r="D197" s="479">
        <f>LN_IF9*LN_IF6</f>
        <v>1708337.0190385666</v>
      </c>
      <c r="E197" s="479">
        <f t="shared" si="20"/>
        <v>418647.577533175</v>
      </c>
      <c r="F197" s="449">
        <f t="shared" si="21"/>
        <v>0.32461115370884025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9483</v>
      </c>
      <c r="D198" s="456">
        <f>LN_ID11+LN_IE11</f>
        <v>10174</v>
      </c>
      <c r="E198" s="456">
        <f t="shared" si="20"/>
        <v>691</v>
      </c>
      <c r="F198" s="449">
        <f t="shared" si="21"/>
        <v>7.286723610671729E-2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1113.5485605820943</v>
      </c>
      <c r="D199" s="519">
        <f>IF(LN_IF11=0,0,LN_IF2/LN_IF11)</f>
        <v>1130.4021034008256</v>
      </c>
      <c r="E199" s="519">
        <f t="shared" si="20"/>
        <v>16.853542818731285</v>
      </c>
      <c r="F199" s="449">
        <f t="shared" si="21"/>
        <v>1.5134986847741328E-2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4.8456821665815024</v>
      </c>
      <c r="D200" s="466">
        <f>IF(LN_IF4=0,0,LN_IF11/LN_IF4)</f>
        <v>4.8796163069544365</v>
      </c>
      <c r="E200" s="466">
        <f t="shared" si="20"/>
        <v>3.3934140372934074E-2</v>
      </c>
      <c r="F200" s="449">
        <f t="shared" si="21"/>
        <v>7.0029645375758705E-3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55812465</v>
      </c>
      <c r="D203" s="448">
        <f>LN_ID14+LN_IE14</f>
        <v>64243785</v>
      </c>
      <c r="E203" s="448">
        <f t="shared" ref="E203:E211" si="22">D203-C203</f>
        <v>8431320</v>
      </c>
      <c r="F203" s="449">
        <f t="shared" ref="F203:F211" si="23">IF(C203=0,0,E203/C203)</f>
        <v>0.15106517871948497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10869325</v>
      </c>
      <c r="D204" s="448">
        <f>LN_ID15+LN_IE15</f>
        <v>11751049</v>
      </c>
      <c r="E204" s="448">
        <f t="shared" si="22"/>
        <v>881724</v>
      </c>
      <c r="F204" s="449">
        <f t="shared" si="23"/>
        <v>8.1120400760856817E-2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0.19474726658283234</v>
      </c>
      <c r="D205" s="453">
        <f>IF(LN_IF14=0,0,LN_IF15/LN_IF14)</f>
        <v>0.18291339777069487</v>
      </c>
      <c r="E205" s="454">
        <f t="shared" si="22"/>
        <v>-1.1833868812137466E-2</v>
      </c>
      <c r="F205" s="449">
        <f t="shared" si="23"/>
        <v>-6.076526269037074E-2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1.8701558326230507</v>
      </c>
      <c r="D206" s="453">
        <f>IF(LN_IF1=0,0,LN_IF14/LN_IF1)</f>
        <v>1.615576361889109</v>
      </c>
      <c r="E206" s="454">
        <f t="shared" si="22"/>
        <v>-0.25457947073394172</v>
      </c>
      <c r="F206" s="449">
        <f t="shared" si="23"/>
        <v>-0.13612741050400737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3659.8949644433101</v>
      </c>
      <c r="D207" s="463">
        <f>LN_ID18+LN_IE18</f>
        <v>3368.4767145387923</v>
      </c>
      <c r="E207" s="463">
        <f t="shared" si="22"/>
        <v>-291.41824990451778</v>
      </c>
      <c r="F207" s="449">
        <f t="shared" si="23"/>
        <v>-7.9624757741878008E-2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2969.8461583181756</v>
      </c>
      <c r="D208" s="465">
        <f>IF(LN_IF18=0,0,LN_IF15/LN_IF18)</f>
        <v>3488.5350251289888</v>
      </c>
      <c r="E208" s="465">
        <f t="shared" si="22"/>
        <v>518.68886681081312</v>
      </c>
      <c r="F208" s="449">
        <f t="shared" si="23"/>
        <v>0.17465176280529854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3445.6308715563996</v>
      </c>
      <c r="D209" s="465">
        <f>LN_IB18-LN_IF19</f>
        <v>3324.4558910716464</v>
      </c>
      <c r="E209" s="465">
        <f t="shared" si="22"/>
        <v>-121.17498048475318</v>
      </c>
      <c r="F209" s="449">
        <f t="shared" si="23"/>
        <v>-3.5167719643171808E-2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4297.1167348910894</v>
      </c>
      <c r="D210" s="465">
        <f>LN_IA16-LN_IF19</f>
        <v>2889.1945391446657</v>
      </c>
      <c r="E210" s="465">
        <f t="shared" si="22"/>
        <v>-1407.9221957464238</v>
      </c>
      <c r="F210" s="449">
        <f t="shared" si="23"/>
        <v>-0.32764346016355256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15726995.899652977</v>
      </c>
      <c r="D211" s="441">
        <f>LN_IF21*LN_IF18</f>
        <v>9732184.5288814437</v>
      </c>
      <c r="E211" s="441">
        <f t="shared" si="22"/>
        <v>-5994811.3707715329</v>
      </c>
      <c r="F211" s="449">
        <f t="shared" si="23"/>
        <v>-0.38117968676419706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85656216</v>
      </c>
      <c r="D214" s="448">
        <f>LN_IF1+LN_IF14</f>
        <v>104009027</v>
      </c>
      <c r="E214" s="448">
        <f>D214-C214</f>
        <v>18352811</v>
      </c>
      <c r="F214" s="449">
        <f>IF(C214=0,0,E214/C214)</f>
        <v>0.21426128606941963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21429106</v>
      </c>
      <c r="D215" s="448">
        <f>LN_IF2+LN_IF15</f>
        <v>23251760</v>
      </c>
      <c r="E215" s="448">
        <f>D215-C215</f>
        <v>1822654</v>
      </c>
      <c r="F215" s="449">
        <f>IF(C215=0,0,E215/C215)</f>
        <v>8.5055064826316126E-2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64227110</v>
      </c>
      <c r="D216" s="448">
        <f>LN_IF23-LN_IF24</f>
        <v>80757267</v>
      </c>
      <c r="E216" s="448">
        <f>D216-C216</f>
        <v>16530157</v>
      </c>
      <c r="F216" s="449">
        <f>IF(C216=0,0,E216/C216)</f>
        <v>0.25737040013165779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530908</v>
      </c>
      <c r="D221" s="448">
        <v>611078</v>
      </c>
      <c r="E221" s="448">
        <f t="shared" ref="E221:E230" si="24">D221-C221</f>
        <v>80170</v>
      </c>
      <c r="F221" s="449">
        <f t="shared" ref="F221:F230" si="25">IF(C221=0,0,E221/C221)</f>
        <v>0.151005447271467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209708</v>
      </c>
      <c r="D222" s="448">
        <v>355811</v>
      </c>
      <c r="E222" s="448">
        <f t="shared" si="24"/>
        <v>146103</v>
      </c>
      <c r="F222" s="449">
        <f t="shared" si="25"/>
        <v>0.69669731245350675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0.39499875684676067</v>
      </c>
      <c r="D223" s="453">
        <f>IF(LN_IG1=0,0,LN_IG2/LN_IG1)</f>
        <v>0.58226773014246958</v>
      </c>
      <c r="E223" s="454">
        <f t="shared" si="24"/>
        <v>0.18726897329570891</v>
      </c>
      <c r="F223" s="449">
        <f t="shared" si="25"/>
        <v>0.47410015867052385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41</v>
      </c>
      <c r="D224" s="456">
        <v>41</v>
      </c>
      <c r="E224" s="456">
        <f t="shared" si="24"/>
        <v>0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0.90251000000000003</v>
      </c>
      <c r="D225" s="459">
        <v>1.0127900000000001</v>
      </c>
      <c r="E225" s="460">
        <f t="shared" si="24"/>
        <v>0.11028000000000004</v>
      </c>
      <c r="F225" s="449">
        <f t="shared" si="25"/>
        <v>0.12219255188308167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37.00291</v>
      </c>
      <c r="D226" s="463">
        <f>LN_IG3*LN_IG4</f>
        <v>41.524390000000004</v>
      </c>
      <c r="E226" s="463">
        <f t="shared" si="24"/>
        <v>4.5214800000000039</v>
      </c>
      <c r="F226" s="449">
        <f t="shared" si="25"/>
        <v>0.12219255188308173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5667.3380553042989</v>
      </c>
      <c r="D227" s="465">
        <f>IF(LN_IG5=0,0,LN_IG2/LN_IG5)</f>
        <v>8568.7231046621018</v>
      </c>
      <c r="E227" s="465">
        <f t="shared" si="24"/>
        <v>2901.3850493578029</v>
      </c>
      <c r="F227" s="449">
        <f t="shared" si="25"/>
        <v>0.51194847052440695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141</v>
      </c>
      <c r="D228" s="456">
        <v>149</v>
      </c>
      <c r="E228" s="456">
        <f t="shared" si="24"/>
        <v>8</v>
      </c>
      <c r="F228" s="449">
        <f t="shared" si="25"/>
        <v>5.6737588652482268E-2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1487.2907801418439</v>
      </c>
      <c r="D229" s="465">
        <f>IF(LN_IG6=0,0,LN_IG2/LN_IG6)</f>
        <v>2387.9932885906042</v>
      </c>
      <c r="E229" s="465">
        <f t="shared" si="24"/>
        <v>900.70250844876023</v>
      </c>
      <c r="F229" s="449">
        <f t="shared" si="25"/>
        <v>0.60559947017412397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3.4390243902439024</v>
      </c>
      <c r="D230" s="466">
        <f>IF(LN_IG3=0,0,LN_IG6/LN_IG3)</f>
        <v>3.6341463414634148</v>
      </c>
      <c r="E230" s="466">
        <f t="shared" si="24"/>
        <v>0.19512195121951237</v>
      </c>
      <c r="F230" s="449">
        <f t="shared" si="25"/>
        <v>5.6737588652482324E-2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1152920</v>
      </c>
      <c r="D233" s="448">
        <v>1104979</v>
      </c>
      <c r="E233" s="448">
        <f>D233-C233</f>
        <v>-47941</v>
      </c>
      <c r="F233" s="449">
        <f>IF(C233=0,0,E233/C233)</f>
        <v>-4.158224334732679E-2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799526</v>
      </c>
      <c r="D234" s="448">
        <v>292998</v>
      </c>
      <c r="E234" s="448">
        <f>D234-C234</f>
        <v>-506528</v>
      </c>
      <c r="F234" s="449">
        <f>IF(C234=0,0,E234/C234)</f>
        <v>-0.63353536970655111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1683828</v>
      </c>
      <c r="D237" s="448">
        <f>LN_IG1+LN_IG9</f>
        <v>1716057</v>
      </c>
      <c r="E237" s="448">
        <f>D237-C237</f>
        <v>32229</v>
      </c>
      <c r="F237" s="449">
        <f>IF(C237=0,0,E237/C237)</f>
        <v>1.9140315994270199E-2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1009234</v>
      </c>
      <c r="D238" s="448">
        <f>LN_IG2+LN_IG10</f>
        <v>648809</v>
      </c>
      <c r="E238" s="448">
        <f>D238-C238</f>
        <v>-360425</v>
      </c>
      <c r="F238" s="449">
        <f>IF(C238=0,0,E238/C238)</f>
        <v>-0.35712728663521048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674594</v>
      </c>
      <c r="D239" s="448">
        <f>LN_IG13-LN_IG14</f>
        <v>1067248</v>
      </c>
      <c r="E239" s="448">
        <f>D239-C239</f>
        <v>392654</v>
      </c>
      <c r="F239" s="449">
        <f>IF(C239=0,0,E239/C239)</f>
        <v>0.58205972777700365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19861936</v>
      </c>
      <c r="D243" s="448">
        <v>19289474</v>
      </c>
      <c r="E243" s="441">
        <f>D243-C243</f>
        <v>-572462</v>
      </c>
      <c r="F243" s="503">
        <f>IF(C243=0,0,E243/C243)</f>
        <v>-2.8822064475487182E-2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184446001</v>
      </c>
      <c r="D244" s="448">
        <v>188335086</v>
      </c>
      <c r="E244" s="441">
        <f>D244-C244</f>
        <v>3889085</v>
      </c>
      <c r="F244" s="503">
        <f>IF(C244=0,0,E244/C244)</f>
        <v>2.1085222660913099E-2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4953633</v>
      </c>
      <c r="D248" s="441">
        <v>3908882</v>
      </c>
      <c r="E248" s="441">
        <f>D248-C248</f>
        <v>-1044751</v>
      </c>
      <c r="F248" s="449">
        <f>IF(C248=0,0,E248/C248)</f>
        <v>-0.21090601584735891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6382307</v>
      </c>
      <c r="D249" s="441">
        <v>5518461</v>
      </c>
      <c r="E249" s="441">
        <f>D249-C249</f>
        <v>-863846</v>
      </c>
      <c r="F249" s="449">
        <f>IF(C249=0,0,E249/C249)</f>
        <v>-0.13535011712849288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11335940</v>
      </c>
      <c r="D250" s="441">
        <f>LN_IH4+LN_IH5</f>
        <v>9427343</v>
      </c>
      <c r="E250" s="441">
        <f>D250-C250</f>
        <v>-1908597</v>
      </c>
      <c r="F250" s="449">
        <f>IF(C250=0,0,E250/C250)</f>
        <v>-0.16836689326160864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3645985.4832385797</v>
      </c>
      <c r="D251" s="441">
        <f>LN_IH6*LN_III10</f>
        <v>2735878.7032968802</v>
      </c>
      <c r="E251" s="441">
        <f>D251-C251</f>
        <v>-910106.77994169947</v>
      </c>
      <c r="F251" s="449">
        <f>IF(C251=0,0,E251/C251)</f>
        <v>-0.24961887098170474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85656216</v>
      </c>
      <c r="D254" s="441">
        <f>LN_IF23</f>
        <v>104009027</v>
      </c>
      <c r="E254" s="441">
        <f>D254-C254</f>
        <v>18352811</v>
      </c>
      <c r="F254" s="449">
        <f>IF(C254=0,0,E254/C254)</f>
        <v>0.21426128606941963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21429106</v>
      </c>
      <c r="D255" s="441">
        <f>LN_IF24</f>
        <v>23251760</v>
      </c>
      <c r="E255" s="441">
        <f>D255-C255</f>
        <v>1822654</v>
      </c>
      <c r="F255" s="449">
        <f>IF(C255=0,0,E255/C255)</f>
        <v>8.5055064826316126E-2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27549662.408688486</v>
      </c>
      <c r="D256" s="441">
        <f>LN_IH8*LN_III10</f>
        <v>30184123.132035211</v>
      </c>
      <c r="E256" s="441">
        <f>D256-C256</f>
        <v>2634460.7233467251</v>
      </c>
      <c r="F256" s="449">
        <f>IF(C256=0,0,E256/C256)</f>
        <v>9.5625880428788154E-2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6120556.4086884856</v>
      </c>
      <c r="D257" s="441">
        <f>LN_IH10-LN_IH9</f>
        <v>6932363.1320352107</v>
      </c>
      <c r="E257" s="441">
        <f>D257-C257</f>
        <v>811806.72334672511</v>
      </c>
      <c r="F257" s="449">
        <f>IF(C257=0,0,E257/C257)</f>
        <v>0.13263609860605455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185302227</v>
      </c>
      <c r="D261" s="448">
        <f>LN_IA1+LN_IB1+LN_IF1+LN_IG1</f>
        <v>225513088</v>
      </c>
      <c r="E261" s="448">
        <f t="shared" ref="E261:E274" si="26">D261-C261</f>
        <v>40210861</v>
      </c>
      <c r="F261" s="503">
        <f t="shared" ref="F261:F274" si="27">IF(C261=0,0,E261/C261)</f>
        <v>0.21700149885408554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71078441</v>
      </c>
      <c r="D262" s="448">
        <f>+LN_IA2+LN_IB2+LN_IF2+LN_IG2</f>
        <v>76496722</v>
      </c>
      <c r="E262" s="448">
        <f t="shared" si="26"/>
        <v>5418281</v>
      </c>
      <c r="F262" s="503">
        <f t="shared" si="27"/>
        <v>7.6229598226556491E-2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0.38358114821793265</v>
      </c>
      <c r="D263" s="453">
        <f>IF(LN_IIA1=0,0,LN_IIA2/LN_IIA1)</f>
        <v>0.33921189532023971</v>
      </c>
      <c r="E263" s="454">
        <f t="shared" si="26"/>
        <v>-4.4369252897692946E-2</v>
      </c>
      <c r="F263" s="458">
        <f t="shared" si="27"/>
        <v>-0.11567109881136399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8831</v>
      </c>
      <c r="D264" s="456">
        <f>LN_IA4+LN_IB4+LN_IF4+LN_IG3</f>
        <v>9342</v>
      </c>
      <c r="E264" s="456">
        <f t="shared" si="26"/>
        <v>511</v>
      </c>
      <c r="F264" s="503">
        <f t="shared" si="27"/>
        <v>5.7864341524176195E-2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1.1529057558600384</v>
      </c>
      <c r="D265" s="525">
        <f>IF(LN_IIA4=0,0,LN_IIA6/LN_IIA4)</f>
        <v>1.19254726825091</v>
      </c>
      <c r="E265" s="525">
        <f t="shared" si="26"/>
        <v>3.9641512390871547E-2</v>
      </c>
      <c r="F265" s="503">
        <f t="shared" si="27"/>
        <v>3.4384000764485723E-2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10181.310729999999</v>
      </c>
      <c r="D266" s="463">
        <f>LN_IA6+LN_IB6+LN_IF6+LN_IG5</f>
        <v>11140.776580000002</v>
      </c>
      <c r="E266" s="463">
        <f t="shared" si="26"/>
        <v>959.46585000000232</v>
      </c>
      <c r="F266" s="503">
        <f t="shared" si="27"/>
        <v>9.4237949851865718E-2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306599579</v>
      </c>
      <c r="D267" s="448">
        <f>LN_IA11+LN_IB13+LN_IF14+LN_IG9</f>
        <v>337511329</v>
      </c>
      <c r="E267" s="448">
        <f t="shared" si="26"/>
        <v>30911750</v>
      </c>
      <c r="F267" s="503">
        <f t="shared" si="27"/>
        <v>0.10082124085369341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1.6545919817790424</v>
      </c>
      <c r="D268" s="453">
        <f>IF(LN_IIA1=0,0,LN_IIA7/LN_IIA1)</f>
        <v>1.4966374324136789</v>
      </c>
      <c r="E268" s="454">
        <f t="shared" si="26"/>
        <v>-0.15795454936536357</v>
      </c>
      <c r="F268" s="458">
        <f t="shared" si="27"/>
        <v>-9.5464350791503561E-2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98468185</v>
      </c>
      <c r="D269" s="448">
        <f>LN_IA12+LN_IB14+LN_IF15+LN_IG10</f>
        <v>96324115</v>
      </c>
      <c r="E269" s="448">
        <f t="shared" si="26"/>
        <v>-2144070</v>
      </c>
      <c r="F269" s="503">
        <f t="shared" si="27"/>
        <v>-2.1774241091170717E-2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0.32116216637075029</v>
      </c>
      <c r="D270" s="453">
        <f>IF(LN_IIA7=0,0,LN_IIA9/LN_IIA7)</f>
        <v>0.28539520520805983</v>
      </c>
      <c r="E270" s="454">
        <f t="shared" si="26"/>
        <v>-3.5766961162690458E-2</v>
      </c>
      <c r="F270" s="458">
        <f t="shared" si="27"/>
        <v>-0.11136729324898438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491901806</v>
      </c>
      <c r="D271" s="441">
        <f>LN_IIA1+LN_IIA7</f>
        <v>563024417</v>
      </c>
      <c r="E271" s="441">
        <f t="shared" si="26"/>
        <v>71122611</v>
      </c>
      <c r="F271" s="503">
        <f t="shared" si="27"/>
        <v>0.14458700930242163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169546626</v>
      </c>
      <c r="D272" s="441">
        <f>LN_IIA2+LN_IIA9</f>
        <v>172820837</v>
      </c>
      <c r="E272" s="441">
        <f t="shared" si="26"/>
        <v>3274211</v>
      </c>
      <c r="F272" s="503">
        <f t="shared" si="27"/>
        <v>1.9311566837077607E-2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0.34467575425002606</v>
      </c>
      <c r="D273" s="453">
        <f>IF(LN_IIA11=0,0,LN_IIA12/LN_IIA11)</f>
        <v>0.30695087421048739</v>
      </c>
      <c r="E273" s="454">
        <f t="shared" si="26"/>
        <v>-3.7724880039538666E-2</v>
      </c>
      <c r="F273" s="458">
        <f t="shared" si="27"/>
        <v>-0.10945034448861532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45545</v>
      </c>
      <c r="D274" s="508">
        <f>LN_IA8+LN_IB10+LN_IF11+LN_IG6</f>
        <v>46662</v>
      </c>
      <c r="E274" s="528">
        <f t="shared" si="26"/>
        <v>1117</v>
      </c>
      <c r="F274" s="458">
        <f t="shared" si="27"/>
        <v>2.4525194862224174E-2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135531064</v>
      </c>
      <c r="D277" s="448">
        <f>LN_IA1+LN_IF1+LN_IG1</f>
        <v>167875979</v>
      </c>
      <c r="E277" s="448">
        <f t="shared" ref="E277:E291" si="28">D277-C277</f>
        <v>32344915</v>
      </c>
      <c r="F277" s="503">
        <f t="shared" ref="F277:F291" si="29">IF(C277=0,0,E277/C277)</f>
        <v>0.23865314744374766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44093566</v>
      </c>
      <c r="D278" s="448">
        <f>LN_IA2+LN_IF2+LN_IG2</f>
        <v>49682826</v>
      </c>
      <c r="E278" s="448">
        <f t="shared" si="28"/>
        <v>5589260</v>
      </c>
      <c r="F278" s="503">
        <f t="shared" si="29"/>
        <v>0.12675908317326842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0.32533918570874643</v>
      </c>
      <c r="D279" s="453">
        <f>IF(D277=0,0,LN_IIB2/D277)</f>
        <v>0.29594958311456815</v>
      </c>
      <c r="E279" s="454">
        <f t="shared" si="28"/>
        <v>-2.9389602594178277E-2</v>
      </c>
      <c r="F279" s="458">
        <f t="shared" si="29"/>
        <v>-9.0335268191421444E-2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5535</v>
      </c>
      <c r="D280" s="456">
        <f>LN_IA4+LN_IF4+LN_IG3</f>
        <v>5947</v>
      </c>
      <c r="E280" s="456">
        <f t="shared" si="28"/>
        <v>412</v>
      </c>
      <c r="F280" s="503">
        <f t="shared" si="29"/>
        <v>7.4435411020776873E-2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1.2503004751580848</v>
      </c>
      <c r="D281" s="525">
        <f>IF(LN_IIB4=0,0,LN_IIB6/LN_IIB4)</f>
        <v>1.3115334084412307</v>
      </c>
      <c r="E281" s="525">
        <f t="shared" si="28"/>
        <v>6.123293328314583E-2</v>
      </c>
      <c r="F281" s="503">
        <f t="shared" si="29"/>
        <v>4.8974574112197862E-2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6920.4131299999999</v>
      </c>
      <c r="D282" s="463">
        <f>LN_IA6+LN_IF6+LN_IG5</f>
        <v>7799.6891799999994</v>
      </c>
      <c r="E282" s="463">
        <f t="shared" si="28"/>
        <v>879.27604999999949</v>
      </c>
      <c r="F282" s="503">
        <f t="shared" si="29"/>
        <v>0.12705542768658373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163705230</v>
      </c>
      <c r="D283" s="448">
        <f>LN_IA11+LN_IF14+LN_IG9</f>
        <v>184014267</v>
      </c>
      <c r="E283" s="448">
        <f t="shared" si="28"/>
        <v>20309037</v>
      </c>
      <c r="F283" s="503">
        <f t="shared" si="29"/>
        <v>0.12405857161680174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1.2078797669588133</v>
      </c>
      <c r="D284" s="453">
        <f>IF(D277=0,0,LN_IIB7/D277)</f>
        <v>1.0961322048343796</v>
      </c>
      <c r="E284" s="454">
        <f t="shared" si="28"/>
        <v>-0.11174756212443371</v>
      </c>
      <c r="F284" s="458">
        <f t="shared" si="29"/>
        <v>-9.2515468162688505E-2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37759137</v>
      </c>
      <c r="D285" s="448">
        <f>LN_IA12+LN_IF15+LN_IG10</f>
        <v>34724859</v>
      </c>
      <c r="E285" s="448">
        <f t="shared" si="28"/>
        <v>-3034278</v>
      </c>
      <c r="F285" s="503">
        <f t="shared" si="29"/>
        <v>-8.0358775148912959E-2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0.23065321126270677</v>
      </c>
      <c r="D286" s="453">
        <f>IF(LN_IIB7=0,0,LN_IIB9/LN_IIB7)</f>
        <v>0.18870742777786897</v>
      </c>
      <c r="E286" s="454">
        <f t="shared" si="28"/>
        <v>-4.1945783484837795E-2</v>
      </c>
      <c r="F286" s="458">
        <f t="shared" si="29"/>
        <v>-0.1818564903354537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299236294</v>
      </c>
      <c r="D287" s="441">
        <f>D277+LN_IIB7</f>
        <v>351890246</v>
      </c>
      <c r="E287" s="441">
        <f t="shared" si="28"/>
        <v>52653952</v>
      </c>
      <c r="F287" s="503">
        <f t="shared" si="29"/>
        <v>0.17596111519814506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81852703</v>
      </c>
      <c r="D288" s="441">
        <f>LN_IIB2+LN_IIB9</f>
        <v>84407685</v>
      </c>
      <c r="E288" s="441">
        <f t="shared" si="28"/>
        <v>2554982</v>
      </c>
      <c r="F288" s="503">
        <f t="shared" si="29"/>
        <v>3.121438762993569E-2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0.27353868712195722</v>
      </c>
      <c r="D289" s="453">
        <f>IF(LN_IIB11=0,0,LN_IIB12/LN_IIB11)</f>
        <v>0.23986935119537242</v>
      </c>
      <c r="E289" s="454">
        <f t="shared" si="28"/>
        <v>-3.3669335926584804E-2</v>
      </c>
      <c r="F289" s="458">
        <f t="shared" si="29"/>
        <v>-0.12308802195710375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32366</v>
      </c>
      <c r="D290" s="508">
        <f>LN_IA8+LN_IF11+LN_IG6</f>
        <v>33512</v>
      </c>
      <c r="E290" s="528">
        <f t="shared" si="28"/>
        <v>1146</v>
      </c>
      <c r="F290" s="458">
        <f t="shared" si="29"/>
        <v>3.5407526416610026E-2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217383591</v>
      </c>
      <c r="D291" s="516">
        <f>LN_IIB11-LN_IIB12</f>
        <v>267482561</v>
      </c>
      <c r="E291" s="441">
        <f t="shared" si="28"/>
        <v>50098970</v>
      </c>
      <c r="F291" s="503">
        <f t="shared" si="29"/>
        <v>0.23046343916547041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6.429742719819056</v>
      </c>
      <c r="D294" s="466">
        <f>IF(LN_IA4=0,0,LN_IA8/LN_IA4)</f>
        <v>6.0688301491756089</v>
      </c>
      <c r="E294" s="466">
        <f t="shared" ref="E294:E300" si="30">D294-C294</f>
        <v>-0.36091257064344706</v>
      </c>
      <c r="F294" s="503">
        <f t="shared" ref="F294:F300" si="31">IF(C294=0,0,E294/C294)</f>
        <v>-5.6131728184234994E-2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3.998483009708738</v>
      </c>
      <c r="D295" s="466">
        <f>IF(LN_IB4=0,0,(LN_IB10)/(LN_IB4))</f>
        <v>3.8733431516936672</v>
      </c>
      <c r="E295" s="466">
        <f t="shared" si="30"/>
        <v>-0.12513985801507088</v>
      </c>
      <c r="F295" s="503">
        <f t="shared" si="31"/>
        <v>-3.1296833752004975E-2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5.3571428571428568</v>
      </c>
      <c r="D296" s="466">
        <f>IF(LN_IC4=0,0,LN_IC11/LN_IC4)</f>
        <v>4.9403669724770642</v>
      </c>
      <c r="E296" s="466">
        <f t="shared" si="30"/>
        <v>-0.41677588466579252</v>
      </c>
      <c r="F296" s="503">
        <f t="shared" si="31"/>
        <v>-7.7798165137614603E-2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4.8456821665815024</v>
      </c>
      <c r="D297" s="466">
        <f>IF(LN_ID4=0,0,LN_ID11/LN_ID4)</f>
        <v>4.8796163069544365</v>
      </c>
      <c r="E297" s="466">
        <f t="shared" si="30"/>
        <v>3.3934140372934074E-2</v>
      </c>
      <c r="F297" s="503">
        <f t="shared" si="31"/>
        <v>7.0029645375758705E-3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3.4390243902439024</v>
      </c>
      <c r="D299" s="466">
        <f>IF(LN_IG3=0,0,LN_IG6/LN_IG3)</f>
        <v>3.6341463414634148</v>
      </c>
      <c r="E299" s="466">
        <f t="shared" si="30"/>
        <v>0.19512195121951237</v>
      </c>
      <c r="F299" s="503">
        <f t="shared" si="31"/>
        <v>5.6737588652482324E-2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5.1574000679424756</v>
      </c>
      <c r="D300" s="466">
        <f>IF(LN_IIA4=0,0,LN_IIA14/LN_IIA4)</f>
        <v>4.9948619139370587</v>
      </c>
      <c r="E300" s="466">
        <f t="shared" si="30"/>
        <v>-0.16253815400541693</v>
      </c>
      <c r="F300" s="503">
        <f t="shared" si="31"/>
        <v>-3.1515521748201492E-2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491901806</v>
      </c>
      <c r="D304" s="441">
        <f>LN_IIA11</f>
        <v>563024417</v>
      </c>
      <c r="E304" s="441">
        <f t="shared" ref="E304:E316" si="32">D304-C304</f>
        <v>71122611</v>
      </c>
      <c r="F304" s="449">
        <f>IF(C304=0,0,E304/C304)</f>
        <v>0.14458700930242163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217383591</v>
      </c>
      <c r="D305" s="441">
        <f>LN_IIB14</f>
        <v>267482561</v>
      </c>
      <c r="E305" s="441">
        <f t="shared" si="32"/>
        <v>50098970</v>
      </c>
      <c r="F305" s="449">
        <f>IF(C305=0,0,E305/C305)</f>
        <v>0.23046343916547041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11335940</v>
      </c>
      <c r="D306" s="441">
        <f>LN_IH6</f>
        <v>9427343</v>
      </c>
      <c r="E306" s="441">
        <f t="shared" si="32"/>
        <v>-1908597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104971589</v>
      </c>
      <c r="D307" s="441">
        <f>LN_IB32-LN_IB33</f>
        <v>122721019</v>
      </c>
      <c r="E307" s="441">
        <f t="shared" si="32"/>
        <v>17749430</v>
      </c>
      <c r="F307" s="449">
        <f t="shared" ref="F307:F316" si="33">IF(C307=0,0,E307/C307)</f>
        <v>0.16908794245269546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333691120</v>
      </c>
      <c r="D309" s="441">
        <f>LN_III2+LN_III3+LN_III4+LN_III5</f>
        <v>399630923</v>
      </c>
      <c r="E309" s="441">
        <f t="shared" si="32"/>
        <v>65939803</v>
      </c>
      <c r="F309" s="449">
        <f t="shared" si="33"/>
        <v>0.19760730522286599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158210686</v>
      </c>
      <c r="D310" s="441">
        <f>LN_III1-LN_III6</f>
        <v>163393494</v>
      </c>
      <c r="E310" s="441">
        <f t="shared" si="32"/>
        <v>5182808</v>
      </c>
      <c r="F310" s="449">
        <f t="shared" si="33"/>
        <v>3.2758899737025352E-2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158210686</v>
      </c>
      <c r="D312" s="441">
        <f>LN_III7+LN_III8</f>
        <v>163393494</v>
      </c>
      <c r="E312" s="441">
        <f t="shared" si="32"/>
        <v>5182808</v>
      </c>
      <c r="F312" s="449">
        <f t="shared" si="33"/>
        <v>3.2758899737025352E-2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0.32163062641815143</v>
      </c>
      <c r="D313" s="532">
        <f>IF(LN_III1=0,0,LN_III9/LN_III1)</f>
        <v>0.29020676380363802</v>
      </c>
      <c r="E313" s="532">
        <f t="shared" si="32"/>
        <v>-3.1423862614513409E-2</v>
      </c>
      <c r="F313" s="449">
        <f t="shared" si="33"/>
        <v>-9.7701711321667786E-2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3645985.4832385797</v>
      </c>
      <c r="D314" s="441">
        <f>D313*LN_III5</f>
        <v>2735878.7032968802</v>
      </c>
      <c r="E314" s="441">
        <f t="shared" si="32"/>
        <v>-910106.77994169947</v>
      </c>
      <c r="F314" s="449">
        <f t="shared" si="33"/>
        <v>-0.24961887098170474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6120556.4086884856</v>
      </c>
      <c r="D315" s="441">
        <f>D313*LN_IH8-LN_IH9</f>
        <v>6932363.1320352107</v>
      </c>
      <c r="E315" s="441">
        <f t="shared" si="32"/>
        <v>811806.72334672511</v>
      </c>
      <c r="F315" s="449">
        <f t="shared" si="33"/>
        <v>0.13263609860605455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9766541.8919270653</v>
      </c>
      <c r="D318" s="441">
        <f>D314+D315+D316</f>
        <v>9668241.8353320919</v>
      </c>
      <c r="E318" s="441">
        <f>D318-C318</f>
        <v>-98300.05659497343</v>
      </c>
      <c r="F318" s="449">
        <f>IF(C318=0,0,E318/C318)</f>
        <v>-1.0064980796962266E-2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15726995.899652977</v>
      </c>
      <c r="D322" s="441">
        <f>LN_ID22</f>
        <v>9732184.5288814437</v>
      </c>
      <c r="E322" s="441">
        <f>LN_IV2-C322</f>
        <v>-5994811.3707715329</v>
      </c>
      <c r="F322" s="449">
        <f>IF(C322=0,0,E322/C322)</f>
        <v>-0.38117968676419706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5822797.6882234365</v>
      </c>
      <c r="D324" s="441">
        <f>LN_IC10+LN_IC22</f>
        <v>5381901.4810228851</v>
      </c>
      <c r="E324" s="441">
        <f>LN_IV1-C324</f>
        <v>-440896.20720055141</v>
      </c>
      <c r="F324" s="449">
        <f>IF(C324=0,0,E324/C324)</f>
        <v>-7.5718963771016917E-2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21549793.587876413</v>
      </c>
      <c r="D325" s="516">
        <f>LN_IV1+LN_IV2+LN_IV3</f>
        <v>15114086.009904329</v>
      </c>
      <c r="E325" s="441">
        <f>LN_IV4-C325</f>
        <v>-6435707.5779720843</v>
      </c>
      <c r="F325" s="449">
        <f>IF(C325=0,0,E325/C325)</f>
        <v>-0.29864358337022384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5670938</v>
      </c>
      <c r="D330" s="516">
        <v>-2521217</v>
      </c>
      <c r="E330" s="518">
        <f t="shared" si="34"/>
        <v>-8192155</v>
      </c>
      <c r="F330" s="543">
        <f t="shared" si="35"/>
        <v>-1.4445855341744169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175217566</v>
      </c>
      <c r="D331" s="516">
        <v>170299621</v>
      </c>
      <c r="E331" s="518">
        <f t="shared" si="34"/>
        <v>-4917945</v>
      </c>
      <c r="F331" s="542">
        <f t="shared" si="35"/>
        <v>-2.8067648194587978E-2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491901806</v>
      </c>
      <c r="D333" s="516">
        <v>563024416</v>
      </c>
      <c r="E333" s="518">
        <f t="shared" si="34"/>
        <v>71122610</v>
      </c>
      <c r="F333" s="542">
        <f t="shared" si="35"/>
        <v>0.14458700726949558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11335940</v>
      </c>
      <c r="D335" s="516">
        <v>9427343</v>
      </c>
      <c r="E335" s="516">
        <f t="shared" si="34"/>
        <v>-1908597</v>
      </c>
      <c r="F335" s="542">
        <f t="shared" si="35"/>
        <v>-0.16836689326160864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4"/>
      <c r="B1" s="824"/>
      <c r="C1" s="824"/>
      <c r="D1" s="824"/>
      <c r="E1" s="824"/>
    </row>
    <row r="2" spans="1:5" s="428" customFormat="1" ht="15.75" customHeight="1" x14ac:dyDescent="0.25">
      <c r="A2" s="825" t="s">
        <v>0</v>
      </c>
      <c r="B2" s="825"/>
      <c r="C2" s="825"/>
      <c r="D2" s="825"/>
      <c r="E2" s="825"/>
    </row>
    <row r="3" spans="1:5" s="428" customFormat="1" ht="15.75" customHeight="1" x14ac:dyDescent="0.25">
      <c r="A3" s="823" t="s">
        <v>630</v>
      </c>
      <c r="B3" s="823"/>
      <c r="C3" s="823"/>
      <c r="D3" s="823"/>
      <c r="E3" s="823"/>
    </row>
    <row r="4" spans="1:5" s="428" customFormat="1" ht="15.75" customHeight="1" x14ac:dyDescent="0.25">
      <c r="A4" s="823" t="s">
        <v>770</v>
      </c>
      <c r="B4" s="823"/>
      <c r="C4" s="823"/>
      <c r="D4" s="823"/>
      <c r="E4" s="823"/>
    </row>
    <row r="5" spans="1:5" s="428" customFormat="1" ht="15.75" customHeight="1" x14ac:dyDescent="0.25">
      <c r="A5" s="823" t="s">
        <v>771</v>
      </c>
      <c r="B5" s="823"/>
      <c r="C5" s="823"/>
      <c r="D5" s="823"/>
      <c r="E5" s="823"/>
    </row>
    <row r="6" spans="1:5" s="428" customFormat="1" ht="15.75" customHeight="1" x14ac:dyDescent="0.25">
      <c r="A6" s="823" t="s">
        <v>772</v>
      </c>
      <c r="B6" s="823"/>
      <c r="C6" s="823"/>
      <c r="D6" s="823"/>
      <c r="E6" s="823"/>
    </row>
    <row r="7" spans="1:5" s="428" customFormat="1" ht="15.75" customHeight="1" x14ac:dyDescent="0.25">
      <c r="A7" s="823"/>
      <c r="B7" s="823"/>
      <c r="C7" s="823"/>
      <c r="D7" s="823"/>
      <c r="E7" s="823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49771163</v>
      </c>
      <c r="D14" s="589">
        <v>57637109</v>
      </c>
      <c r="E14" s="590">
        <f t="shared" ref="E14:E22" si="0">D14-C14</f>
        <v>7865946</v>
      </c>
    </row>
    <row r="15" spans="1:5" s="421" customFormat="1" x14ac:dyDescent="0.2">
      <c r="A15" s="588">
        <v>2</v>
      </c>
      <c r="B15" s="587" t="s">
        <v>636</v>
      </c>
      <c r="C15" s="589">
        <v>105156405</v>
      </c>
      <c r="D15" s="591">
        <v>127499659</v>
      </c>
      <c r="E15" s="590">
        <f t="shared" si="0"/>
        <v>22343254</v>
      </c>
    </row>
    <row r="16" spans="1:5" s="421" customFormat="1" x14ac:dyDescent="0.2">
      <c r="A16" s="588">
        <v>3</v>
      </c>
      <c r="B16" s="587" t="s">
        <v>778</v>
      </c>
      <c r="C16" s="589">
        <v>29843751</v>
      </c>
      <c r="D16" s="591">
        <v>39765242</v>
      </c>
      <c r="E16" s="590">
        <f t="shared" si="0"/>
        <v>9921491</v>
      </c>
    </row>
    <row r="17" spans="1:5" s="421" customFormat="1" x14ac:dyDescent="0.2">
      <c r="A17" s="588">
        <v>4</v>
      </c>
      <c r="B17" s="587" t="s">
        <v>115</v>
      </c>
      <c r="C17" s="589">
        <v>29843751</v>
      </c>
      <c r="D17" s="591">
        <v>39765242</v>
      </c>
      <c r="E17" s="590">
        <f t="shared" si="0"/>
        <v>9921491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530908</v>
      </c>
      <c r="D19" s="591">
        <v>611078</v>
      </c>
      <c r="E19" s="590">
        <f t="shared" si="0"/>
        <v>80170</v>
      </c>
    </row>
    <row r="20" spans="1:5" s="421" customFormat="1" x14ac:dyDescent="0.2">
      <c r="A20" s="588">
        <v>7</v>
      </c>
      <c r="B20" s="587" t="s">
        <v>759</v>
      </c>
      <c r="C20" s="589">
        <v>2434687</v>
      </c>
      <c r="D20" s="591">
        <v>2371759</v>
      </c>
      <c r="E20" s="590">
        <f t="shared" si="0"/>
        <v>-62928</v>
      </c>
    </row>
    <row r="21" spans="1:5" s="421" customFormat="1" x14ac:dyDescent="0.2">
      <c r="A21" s="588"/>
      <c r="B21" s="592" t="s">
        <v>779</v>
      </c>
      <c r="C21" s="593">
        <f>SUM(C15+C16+C19)</f>
        <v>135531064</v>
      </c>
      <c r="D21" s="593">
        <f>SUM(D15+D16+D19)</f>
        <v>167875979</v>
      </c>
      <c r="E21" s="593">
        <f t="shared" si="0"/>
        <v>32344915</v>
      </c>
    </row>
    <row r="22" spans="1:5" s="421" customFormat="1" x14ac:dyDescent="0.2">
      <c r="A22" s="588"/>
      <c r="B22" s="592" t="s">
        <v>465</v>
      </c>
      <c r="C22" s="593">
        <f>SUM(C14+C21)</f>
        <v>185302227</v>
      </c>
      <c r="D22" s="593">
        <f>SUM(D14+D21)</f>
        <v>225513088</v>
      </c>
      <c r="E22" s="593">
        <f t="shared" si="0"/>
        <v>40210861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142894349</v>
      </c>
      <c r="D25" s="589">
        <v>153497062</v>
      </c>
      <c r="E25" s="590">
        <f t="shared" ref="E25:E33" si="1">D25-C25</f>
        <v>10602713</v>
      </c>
    </row>
    <row r="26" spans="1:5" s="421" customFormat="1" x14ac:dyDescent="0.2">
      <c r="A26" s="588">
        <v>2</v>
      </c>
      <c r="B26" s="587" t="s">
        <v>636</v>
      </c>
      <c r="C26" s="589">
        <v>106739845</v>
      </c>
      <c r="D26" s="591">
        <v>118665503</v>
      </c>
      <c r="E26" s="590">
        <f t="shared" si="1"/>
        <v>11925658</v>
      </c>
    </row>
    <row r="27" spans="1:5" s="421" customFormat="1" x14ac:dyDescent="0.2">
      <c r="A27" s="588">
        <v>3</v>
      </c>
      <c r="B27" s="587" t="s">
        <v>778</v>
      </c>
      <c r="C27" s="589">
        <v>55812465</v>
      </c>
      <c r="D27" s="591">
        <v>64243785</v>
      </c>
      <c r="E27" s="590">
        <f t="shared" si="1"/>
        <v>8431320</v>
      </c>
    </row>
    <row r="28" spans="1:5" s="421" customFormat="1" x14ac:dyDescent="0.2">
      <c r="A28" s="588">
        <v>4</v>
      </c>
      <c r="B28" s="587" t="s">
        <v>115</v>
      </c>
      <c r="C28" s="589">
        <v>55812465</v>
      </c>
      <c r="D28" s="591">
        <v>64243785</v>
      </c>
      <c r="E28" s="590">
        <f t="shared" si="1"/>
        <v>8431320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1152920</v>
      </c>
      <c r="D30" s="591">
        <v>1104979</v>
      </c>
      <c r="E30" s="590">
        <f t="shared" si="1"/>
        <v>-47941</v>
      </c>
    </row>
    <row r="31" spans="1:5" s="421" customFormat="1" x14ac:dyDescent="0.2">
      <c r="A31" s="588">
        <v>7</v>
      </c>
      <c r="B31" s="587" t="s">
        <v>759</v>
      </c>
      <c r="C31" s="590">
        <v>9151074</v>
      </c>
      <c r="D31" s="594">
        <v>7444649</v>
      </c>
      <c r="E31" s="590">
        <f t="shared" si="1"/>
        <v>-1706425</v>
      </c>
    </row>
    <row r="32" spans="1:5" s="421" customFormat="1" x14ac:dyDescent="0.2">
      <c r="A32" s="588"/>
      <c r="B32" s="592" t="s">
        <v>781</v>
      </c>
      <c r="C32" s="593">
        <f>SUM(C26+C27+C30)</f>
        <v>163705230</v>
      </c>
      <c r="D32" s="593">
        <f>SUM(D26+D27+D30)</f>
        <v>184014267</v>
      </c>
      <c r="E32" s="593">
        <f t="shared" si="1"/>
        <v>20309037</v>
      </c>
    </row>
    <row r="33" spans="1:5" s="421" customFormat="1" x14ac:dyDescent="0.2">
      <c r="A33" s="588"/>
      <c r="B33" s="592" t="s">
        <v>467</v>
      </c>
      <c r="C33" s="593">
        <f>SUM(C25+C32)</f>
        <v>306599579</v>
      </c>
      <c r="D33" s="593">
        <f>SUM(D25+D32)</f>
        <v>337511329</v>
      </c>
      <c r="E33" s="593">
        <f t="shared" si="1"/>
        <v>30911750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192665512</v>
      </c>
      <c r="D36" s="590">
        <f t="shared" si="2"/>
        <v>211134171</v>
      </c>
      <c r="E36" s="590">
        <f t="shared" ref="E36:E44" si="3">D36-C36</f>
        <v>18468659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211896250</v>
      </c>
      <c r="D37" s="590">
        <f t="shared" si="2"/>
        <v>246165162</v>
      </c>
      <c r="E37" s="590">
        <f t="shared" si="3"/>
        <v>34268912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85656216</v>
      </c>
      <c r="D38" s="590">
        <f t="shared" si="2"/>
        <v>104009027</v>
      </c>
      <c r="E38" s="590">
        <f t="shared" si="3"/>
        <v>18352811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85656216</v>
      </c>
      <c r="D39" s="590">
        <f t="shared" si="2"/>
        <v>104009027</v>
      </c>
      <c r="E39" s="590">
        <f t="shared" si="3"/>
        <v>18352811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1683828</v>
      </c>
      <c r="D41" s="590">
        <f t="shared" si="2"/>
        <v>1716057</v>
      </c>
      <c r="E41" s="590">
        <f t="shared" si="3"/>
        <v>32229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11585761</v>
      </c>
      <c r="D42" s="590">
        <f t="shared" si="2"/>
        <v>9816408</v>
      </c>
      <c r="E42" s="590">
        <f t="shared" si="3"/>
        <v>-1769353</v>
      </c>
    </row>
    <row r="43" spans="1:5" s="421" customFormat="1" x14ac:dyDescent="0.2">
      <c r="A43" s="588"/>
      <c r="B43" s="592" t="s">
        <v>789</v>
      </c>
      <c r="C43" s="593">
        <f>SUM(C37+C38+C41)</f>
        <v>299236294</v>
      </c>
      <c r="D43" s="593">
        <f>SUM(D37+D38+D41)</f>
        <v>351890246</v>
      </c>
      <c r="E43" s="593">
        <f t="shared" si="3"/>
        <v>52653952</v>
      </c>
    </row>
    <row r="44" spans="1:5" s="421" customFormat="1" x14ac:dyDescent="0.2">
      <c r="A44" s="588"/>
      <c r="B44" s="592" t="s">
        <v>726</v>
      </c>
      <c r="C44" s="593">
        <f>SUM(C36+C43)</f>
        <v>491901806</v>
      </c>
      <c r="D44" s="593">
        <f>SUM(D36+D43)</f>
        <v>563024417</v>
      </c>
      <c r="E44" s="593">
        <f t="shared" si="3"/>
        <v>71122611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26984875</v>
      </c>
      <c r="D47" s="589">
        <v>26813896</v>
      </c>
      <c r="E47" s="590">
        <f t="shared" ref="E47:E55" si="4">D47-C47</f>
        <v>-170979</v>
      </c>
    </row>
    <row r="48" spans="1:5" s="421" customFormat="1" x14ac:dyDescent="0.2">
      <c r="A48" s="588">
        <v>2</v>
      </c>
      <c r="B48" s="587" t="s">
        <v>636</v>
      </c>
      <c r="C48" s="589">
        <v>33324077</v>
      </c>
      <c r="D48" s="591">
        <v>37826304</v>
      </c>
      <c r="E48" s="590">
        <f t="shared" si="4"/>
        <v>4502227</v>
      </c>
    </row>
    <row r="49" spans="1:5" s="421" customFormat="1" x14ac:dyDescent="0.2">
      <c r="A49" s="588">
        <v>3</v>
      </c>
      <c r="B49" s="587" t="s">
        <v>778</v>
      </c>
      <c r="C49" s="589">
        <v>10559781</v>
      </c>
      <c r="D49" s="591">
        <v>11500711</v>
      </c>
      <c r="E49" s="590">
        <f t="shared" si="4"/>
        <v>940930</v>
      </c>
    </row>
    <row r="50" spans="1:5" s="421" customFormat="1" x14ac:dyDescent="0.2">
      <c r="A50" s="588">
        <v>4</v>
      </c>
      <c r="B50" s="587" t="s">
        <v>115</v>
      </c>
      <c r="C50" s="589">
        <v>10559781</v>
      </c>
      <c r="D50" s="591">
        <v>11500711</v>
      </c>
      <c r="E50" s="590">
        <f t="shared" si="4"/>
        <v>940930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209708</v>
      </c>
      <c r="D52" s="591">
        <v>355811</v>
      </c>
      <c r="E52" s="590">
        <f t="shared" si="4"/>
        <v>146103</v>
      </c>
    </row>
    <row r="53" spans="1:5" s="421" customFormat="1" x14ac:dyDescent="0.2">
      <c r="A53" s="588">
        <v>7</v>
      </c>
      <c r="B53" s="587" t="s">
        <v>759</v>
      </c>
      <c r="C53" s="589">
        <v>25557</v>
      </c>
      <c r="D53" s="591">
        <v>78971</v>
      </c>
      <c r="E53" s="590">
        <f t="shared" si="4"/>
        <v>53414</v>
      </c>
    </row>
    <row r="54" spans="1:5" s="421" customFormat="1" x14ac:dyDescent="0.2">
      <c r="A54" s="588"/>
      <c r="B54" s="592" t="s">
        <v>791</v>
      </c>
      <c r="C54" s="593">
        <f>SUM(C48+C49+C52)</f>
        <v>44093566</v>
      </c>
      <c r="D54" s="593">
        <f>SUM(D48+D49+D52)</f>
        <v>49682826</v>
      </c>
      <c r="E54" s="593">
        <f t="shared" si="4"/>
        <v>5589260</v>
      </c>
    </row>
    <row r="55" spans="1:5" s="421" customFormat="1" x14ac:dyDescent="0.2">
      <c r="A55" s="588"/>
      <c r="B55" s="592" t="s">
        <v>466</v>
      </c>
      <c r="C55" s="593">
        <f>SUM(C47+C54)</f>
        <v>71078441</v>
      </c>
      <c r="D55" s="593">
        <f>SUM(D47+D54)</f>
        <v>76496722</v>
      </c>
      <c r="E55" s="593">
        <f t="shared" si="4"/>
        <v>5418281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60709048</v>
      </c>
      <c r="D58" s="589">
        <v>61599256</v>
      </c>
      <c r="E58" s="590">
        <f t="shared" ref="E58:E66" si="5">D58-C58</f>
        <v>890208</v>
      </c>
    </row>
    <row r="59" spans="1:5" s="421" customFormat="1" x14ac:dyDescent="0.2">
      <c r="A59" s="588">
        <v>2</v>
      </c>
      <c r="B59" s="587" t="s">
        <v>636</v>
      </c>
      <c r="C59" s="589">
        <v>26090286</v>
      </c>
      <c r="D59" s="591">
        <v>22680812</v>
      </c>
      <c r="E59" s="590">
        <f t="shared" si="5"/>
        <v>-3409474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10869325</v>
      </c>
      <c r="D60" s="591">
        <f>D61+D62</f>
        <v>11751049</v>
      </c>
      <c r="E60" s="590">
        <f t="shared" si="5"/>
        <v>881724</v>
      </c>
    </row>
    <row r="61" spans="1:5" s="421" customFormat="1" x14ac:dyDescent="0.2">
      <c r="A61" s="588">
        <v>4</v>
      </c>
      <c r="B61" s="587" t="s">
        <v>115</v>
      </c>
      <c r="C61" s="589">
        <v>10869325</v>
      </c>
      <c r="D61" s="591">
        <v>11751049</v>
      </c>
      <c r="E61" s="590">
        <f t="shared" si="5"/>
        <v>881724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799526</v>
      </c>
      <c r="D63" s="591">
        <v>292998</v>
      </c>
      <c r="E63" s="590">
        <f t="shared" si="5"/>
        <v>-506528</v>
      </c>
    </row>
    <row r="64" spans="1:5" s="421" customFormat="1" x14ac:dyDescent="0.2">
      <c r="A64" s="588">
        <v>7</v>
      </c>
      <c r="B64" s="587" t="s">
        <v>759</v>
      </c>
      <c r="C64" s="589">
        <v>329737</v>
      </c>
      <c r="D64" s="591">
        <v>397739</v>
      </c>
      <c r="E64" s="590">
        <f t="shared" si="5"/>
        <v>68002</v>
      </c>
    </row>
    <row r="65" spans="1:5" s="421" customFormat="1" x14ac:dyDescent="0.2">
      <c r="A65" s="588"/>
      <c r="B65" s="592" t="s">
        <v>793</v>
      </c>
      <c r="C65" s="593">
        <f>SUM(C59+C60+C63)</f>
        <v>37759137</v>
      </c>
      <c r="D65" s="593">
        <f>SUM(D59+D60+D63)</f>
        <v>34724859</v>
      </c>
      <c r="E65" s="593">
        <f t="shared" si="5"/>
        <v>-3034278</v>
      </c>
    </row>
    <row r="66" spans="1:5" s="421" customFormat="1" x14ac:dyDescent="0.2">
      <c r="A66" s="588"/>
      <c r="B66" s="592" t="s">
        <v>468</v>
      </c>
      <c r="C66" s="593">
        <f>SUM(C58+C65)</f>
        <v>98468185</v>
      </c>
      <c r="D66" s="593">
        <f>SUM(D58+D65)</f>
        <v>96324115</v>
      </c>
      <c r="E66" s="593">
        <f t="shared" si="5"/>
        <v>-2144070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87693923</v>
      </c>
      <c r="D69" s="590">
        <f t="shared" si="6"/>
        <v>88413152</v>
      </c>
      <c r="E69" s="590">
        <f t="shared" ref="E69:E77" si="7">D69-C69</f>
        <v>719229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59414363</v>
      </c>
      <c r="D70" s="590">
        <f t="shared" si="6"/>
        <v>60507116</v>
      </c>
      <c r="E70" s="590">
        <f t="shared" si="7"/>
        <v>1092753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21429106</v>
      </c>
      <c r="D71" s="590">
        <f t="shared" si="6"/>
        <v>23251760</v>
      </c>
      <c r="E71" s="590">
        <f t="shared" si="7"/>
        <v>1822654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21429106</v>
      </c>
      <c r="D72" s="590">
        <f t="shared" si="6"/>
        <v>23251760</v>
      </c>
      <c r="E72" s="590">
        <f t="shared" si="7"/>
        <v>1822654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1009234</v>
      </c>
      <c r="D74" s="590">
        <f t="shared" si="6"/>
        <v>648809</v>
      </c>
      <c r="E74" s="590">
        <f t="shared" si="7"/>
        <v>-360425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355294</v>
      </c>
      <c r="D75" s="590">
        <f t="shared" si="6"/>
        <v>476710</v>
      </c>
      <c r="E75" s="590">
        <f t="shared" si="7"/>
        <v>121416</v>
      </c>
    </row>
    <row r="76" spans="1:5" s="421" customFormat="1" x14ac:dyDescent="0.2">
      <c r="A76" s="588"/>
      <c r="B76" s="592" t="s">
        <v>794</v>
      </c>
      <c r="C76" s="593">
        <f>SUM(C70+C71+C74)</f>
        <v>81852703</v>
      </c>
      <c r="D76" s="593">
        <f>SUM(D70+D71+D74)</f>
        <v>84407685</v>
      </c>
      <c r="E76" s="593">
        <f t="shared" si="7"/>
        <v>2554982</v>
      </c>
    </row>
    <row r="77" spans="1:5" s="421" customFormat="1" x14ac:dyDescent="0.2">
      <c r="A77" s="588"/>
      <c r="B77" s="592" t="s">
        <v>727</v>
      </c>
      <c r="C77" s="593">
        <f>SUM(C69+C76)</f>
        <v>169546626</v>
      </c>
      <c r="D77" s="593">
        <f>SUM(D69+D76)</f>
        <v>172820837</v>
      </c>
      <c r="E77" s="593">
        <f t="shared" si="7"/>
        <v>3274211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0.10118109426091434</v>
      </c>
      <c r="D83" s="599">
        <f t="shared" si="8"/>
        <v>0.10237053182721914</v>
      </c>
      <c r="E83" s="599">
        <f t="shared" ref="E83:E91" si="9">D83-C83</f>
        <v>1.1894375663047962E-3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0.21377519601950801</v>
      </c>
      <c r="D84" s="599">
        <f t="shared" si="8"/>
        <v>0.22645493721100909</v>
      </c>
      <c r="E84" s="599">
        <f t="shared" si="9"/>
        <v>1.2679741191501087E-2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6.0670139113089577E-2</v>
      </c>
      <c r="D85" s="599">
        <f t="shared" si="8"/>
        <v>7.0627917367924745E-2</v>
      </c>
      <c r="E85" s="599">
        <f t="shared" si="9"/>
        <v>9.9577782548351673E-3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6.0670139113089577E-2</v>
      </c>
      <c r="D86" s="599">
        <f t="shared" si="8"/>
        <v>7.0627917367924745E-2</v>
      </c>
      <c r="E86" s="599">
        <f t="shared" si="9"/>
        <v>9.9577782548351673E-3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1.0792967082540047E-3</v>
      </c>
      <c r="D88" s="599">
        <f t="shared" si="8"/>
        <v>1.0853490213729043E-3</v>
      </c>
      <c r="E88" s="599">
        <f t="shared" si="9"/>
        <v>6.0523131188996125E-6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4.9495386483699964E-3</v>
      </c>
      <c r="D89" s="599">
        <f t="shared" si="8"/>
        <v>4.2125331129289198E-3</v>
      </c>
      <c r="E89" s="599">
        <f t="shared" si="9"/>
        <v>-7.3700553544107667E-4</v>
      </c>
    </row>
    <row r="90" spans="1:5" s="421" customFormat="1" x14ac:dyDescent="0.2">
      <c r="A90" s="588"/>
      <c r="B90" s="592" t="s">
        <v>797</v>
      </c>
      <c r="C90" s="600">
        <f>SUM(C84+C85+C88)</f>
        <v>0.27552463184085163</v>
      </c>
      <c r="D90" s="600">
        <f>SUM(D84+D85+D88)</f>
        <v>0.29816820360030677</v>
      </c>
      <c r="E90" s="601">
        <f t="shared" si="9"/>
        <v>2.2643571759455139E-2</v>
      </c>
    </row>
    <row r="91" spans="1:5" s="421" customFormat="1" x14ac:dyDescent="0.2">
      <c r="A91" s="588"/>
      <c r="B91" s="592" t="s">
        <v>798</v>
      </c>
      <c r="C91" s="600">
        <f>SUM(C83+C90)</f>
        <v>0.376705726101766</v>
      </c>
      <c r="D91" s="600">
        <f>SUM(D83+D90)</f>
        <v>0.40053873542752594</v>
      </c>
      <c r="E91" s="601">
        <f t="shared" si="9"/>
        <v>2.3833009325759935E-2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0.29049364579889347</v>
      </c>
      <c r="D95" s="599">
        <f t="shared" si="10"/>
        <v>0.27262949414856374</v>
      </c>
      <c r="E95" s="599">
        <f t="shared" ref="E95:E103" si="11">D95-C95</f>
        <v>-1.7864151650329729E-2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0.21699421245873612</v>
      </c>
      <c r="D96" s="599">
        <f t="shared" si="10"/>
        <v>0.21076439922853293</v>
      </c>
      <c r="E96" s="599">
        <f t="shared" si="11"/>
        <v>-6.2298132302031906E-3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0.11346261452839634</v>
      </c>
      <c r="D97" s="599">
        <f t="shared" si="10"/>
        <v>0.11410479378907647</v>
      </c>
      <c r="E97" s="599">
        <f t="shared" si="11"/>
        <v>6.4217926068012299E-4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0.11346261452839634</v>
      </c>
      <c r="D98" s="599">
        <f t="shared" si="10"/>
        <v>0.11410479378907647</v>
      </c>
      <c r="E98" s="599">
        <f t="shared" si="11"/>
        <v>6.4217926068012299E-4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2.3438011122081546E-3</v>
      </c>
      <c r="D100" s="599">
        <f t="shared" si="10"/>
        <v>1.9625774063010129E-3</v>
      </c>
      <c r="E100" s="599">
        <f t="shared" si="11"/>
        <v>-3.8122370590714175E-4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1.8603456804547693E-2</v>
      </c>
      <c r="D101" s="599">
        <f t="shared" si="10"/>
        <v>1.3222604162831539E-2</v>
      </c>
      <c r="E101" s="599">
        <f t="shared" si="11"/>
        <v>-5.3808526417161544E-3</v>
      </c>
    </row>
    <row r="102" spans="1:5" s="421" customFormat="1" x14ac:dyDescent="0.2">
      <c r="A102" s="588"/>
      <c r="B102" s="592" t="s">
        <v>800</v>
      </c>
      <c r="C102" s="600">
        <f>SUM(C96+C97+C100)</f>
        <v>0.33280062809934063</v>
      </c>
      <c r="D102" s="600">
        <f>SUM(D96+D97+D100)</f>
        <v>0.32683177042391043</v>
      </c>
      <c r="E102" s="601">
        <f t="shared" si="11"/>
        <v>-5.9688576754302058E-3</v>
      </c>
    </row>
    <row r="103" spans="1:5" s="421" customFormat="1" x14ac:dyDescent="0.2">
      <c r="A103" s="588"/>
      <c r="B103" s="592" t="s">
        <v>801</v>
      </c>
      <c r="C103" s="600">
        <f>SUM(C95+C102)</f>
        <v>0.62329427389823411</v>
      </c>
      <c r="D103" s="600">
        <f>SUM(D95+D102)</f>
        <v>0.59946126457247417</v>
      </c>
      <c r="E103" s="601">
        <f t="shared" si="11"/>
        <v>-2.3833009325759935E-2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0.15915902095273779</v>
      </c>
      <c r="D109" s="599">
        <f t="shared" si="12"/>
        <v>0.15515430005700065</v>
      </c>
      <c r="E109" s="599">
        <f t="shared" ref="E109:E117" si="13">D109-C109</f>
        <v>-4.0047208957371405E-3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0.19654815779111995</v>
      </c>
      <c r="D110" s="599">
        <f t="shared" si="12"/>
        <v>0.21887582919182366</v>
      </c>
      <c r="E110" s="599">
        <f t="shared" si="13"/>
        <v>2.2327671400703714E-2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6.2282460283226163E-2</v>
      </c>
      <c r="D111" s="599">
        <f t="shared" si="12"/>
        <v>6.6547015971228057E-2</v>
      </c>
      <c r="E111" s="599">
        <f t="shared" si="13"/>
        <v>4.2645556880018948E-3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6.2282460283226163E-2</v>
      </c>
      <c r="D112" s="599">
        <f t="shared" si="12"/>
        <v>6.6547015971228057E-2</v>
      </c>
      <c r="E112" s="599">
        <f t="shared" si="13"/>
        <v>4.2645556880018948E-3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1.2368751000683435E-3</v>
      </c>
      <c r="D114" s="599">
        <f t="shared" si="12"/>
        <v>2.0588431706299397E-3</v>
      </c>
      <c r="E114" s="599">
        <f t="shared" si="13"/>
        <v>8.2196807056159624E-4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1.5073729629983907E-4</v>
      </c>
      <c r="D115" s="599">
        <f t="shared" si="12"/>
        <v>4.5695300040700534E-4</v>
      </c>
      <c r="E115" s="599">
        <f t="shared" si="13"/>
        <v>3.0621570410716627E-4</v>
      </c>
    </row>
    <row r="116" spans="1:5" s="421" customFormat="1" x14ac:dyDescent="0.2">
      <c r="A116" s="588"/>
      <c r="B116" s="592" t="s">
        <v>797</v>
      </c>
      <c r="C116" s="600">
        <f>SUM(C110+C111+C114)</f>
        <v>0.26006749317441447</v>
      </c>
      <c r="D116" s="600">
        <f>SUM(D110+D111+D114)</f>
        <v>0.28748168833368165</v>
      </c>
      <c r="E116" s="601">
        <f t="shared" si="13"/>
        <v>2.7414195159267185E-2</v>
      </c>
    </row>
    <row r="117" spans="1:5" s="421" customFormat="1" x14ac:dyDescent="0.2">
      <c r="A117" s="588"/>
      <c r="B117" s="592" t="s">
        <v>798</v>
      </c>
      <c r="C117" s="600">
        <f>SUM(C109+C116)</f>
        <v>0.41922651412715228</v>
      </c>
      <c r="D117" s="600">
        <f>SUM(D109+D116)</f>
        <v>0.4426359883906823</v>
      </c>
      <c r="E117" s="601">
        <f t="shared" si="13"/>
        <v>2.3409474263530017E-2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0.35806697798869791</v>
      </c>
      <c r="D121" s="599">
        <f t="shared" si="14"/>
        <v>0.35643419548998018</v>
      </c>
      <c r="E121" s="599">
        <f t="shared" ref="E121:E129" si="15">D121-C121</f>
        <v>-1.6327824987177331E-3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0.15388266116248164</v>
      </c>
      <c r="D122" s="599">
        <f t="shared" si="14"/>
        <v>0.13123887370132342</v>
      </c>
      <c r="E122" s="599">
        <f t="shared" si="15"/>
        <v>-2.2643787461158221E-2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6.4108176354980964E-2</v>
      </c>
      <c r="D123" s="599">
        <f t="shared" si="14"/>
        <v>6.7995556577474511E-2</v>
      </c>
      <c r="E123" s="599">
        <f t="shared" si="15"/>
        <v>3.8873802224935472E-3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6.4108176354980964E-2</v>
      </c>
      <c r="D124" s="599">
        <f t="shared" si="14"/>
        <v>6.7995556577474511E-2</v>
      </c>
      <c r="E124" s="599">
        <f t="shared" si="15"/>
        <v>3.8873802224935472E-3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4.7156703666872144E-3</v>
      </c>
      <c r="D126" s="599">
        <f t="shared" si="14"/>
        <v>1.6953858405395871E-3</v>
      </c>
      <c r="E126" s="599">
        <f t="shared" si="15"/>
        <v>-3.020284526147627E-3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1.9448160531369111E-3</v>
      </c>
      <c r="D127" s="599">
        <f t="shared" si="14"/>
        <v>2.3014528045596722E-3</v>
      </c>
      <c r="E127" s="599">
        <f t="shared" si="15"/>
        <v>3.5663675142276106E-4</v>
      </c>
    </row>
    <row r="128" spans="1:5" s="421" customFormat="1" x14ac:dyDescent="0.2">
      <c r="A128" s="588"/>
      <c r="B128" s="592" t="s">
        <v>800</v>
      </c>
      <c r="C128" s="600">
        <f>SUM(C122+C123+C126)</f>
        <v>0.22270650788414983</v>
      </c>
      <c r="D128" s="600">
        <f>SUM(D122+D123+D126)</f>
        <v>0.20092981611933752</v>
      </c>
      <c r="E128" s="601">
        <f t="shared" si="15"/>
        <v>-2.1776691764812312E-2</v>
      </c>
    </row>
    <row r="129" spans="1:5" s="421" customFormat="1" x14ac:dyDescent="0.2">
      <c r="A129" s="588"/>
      <c r="B129" s="592" t="s">
        <v>801</v>
      </c>
      <c r="C129" s="600">
        <f>SUM(C121+C128)</f>
        <v>0.58077348587284772</v>
      </c>
      <c r="D129" s="600">
        <f>SUM(D121+D128)</f>
        <v>0.5573640116093177</v>
      </c>
      <c r="E129" s="601">
        <f t="shared" si="15"/>
        <v>-2.3409474263530017E-2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3296</v>
      </c>
      <c r="D137" s="606">
        <v>3395</v>
      </c>
      <c r="E137" s="607">
        <f t="shared" ref="E137:E145" si="16">D137-C137</f>
        <v>99</v>
      </c>
    </row>
    <row r="138" spans="1:5" s="421" customFormat="1" x14ac:dyDescent="0.2">
      <c r="A138" s="588">
        <v>2</v>
      </c>
      <c r="B138" s="587" t="s">
        <v>636</v>
      </c>
      <c r="C138" s="606">
        <v>3537</v>
      </c>
      <c r="D138" s="606">
        <v>3821</v>
      </c>
      <c r="E138" s="607">
        <f t="shared" si="16"/>
        <v>284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1957</v>
      </c>
      <c r="D139" s="606">
        <f>D140+D141</f>
        <v>2085</v>
      </c>
      <c r="E139" s="607">
        <f t="shared" si="16"/>
        <v>128</v>
      </c>
    </row>
    <row r="140" spans="1:5" s="421" customFormat="1" x14ac:dyDescent="0.2">
      <c r="A140" s="588">
        <v>4</v>
      </c>
      <c r="B140" s="587" t="s">
        <v>115</v>
      </c>
      <c r="C140" s="606">
        <v>1957</v>
      </c>
      <c r="D140" s="606">
        <v>2085</v>
      </c>
      <c r="E140" s="607">
        <f t="shared" si="16"/>
        <v>128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41</v>
      </c>
      <c r="D142" s="606">
        <v>41</v>
      </c>
      <c r="E142" s="607">
        <f t="shared" si="16"/>
        <v>0</v>
      </c>
    </row>
    <row r="143" spans="1:5" s="421" customFormat="1" x14ac:dyDescent="0.2">
      <c r="A143" s="588">
        <v>7</v>
      </c>
      <c r="B143" s="587" t="s">
        <v>759</v>
      </c>
      <c r="C143" s="606">
        <v>182</v>
      </c>
      <c r="D143" s="606">
        <v>218</v>
      </c>
      <c r="E143" s="607">
        <f t="shared" si="16"/>
        <v>36</v>
      </c>
    </row>
    <row r="144" spans="1:5" s="421" customFormat="1" x14ac:dyDescent="0.2">
      <c r="A144" s="588"/>
      <c r="B144" s="592" t="s">
        <v>808</v>
      </c>
      <c r="C144" s="608">
        <f>SUM(C138+C139+C142)</f>
        <v>5535</v>
      </c>
      <c r="D144" s="608">
        <f>SUM(D138+D139+D142)</f>
        <v>5947</v>
      </c>
      <c r="E144" s="609">
        <f t="shared" si="16"/>
        <v>412</v>
      </c>
    </row>
    <row r="145" spans="1:5" s="421" customFormat="1" x14ac:dyDescent="0.2">
      <c r="A145" s="588"/>
      <c r="B145" s="592" t="s">
        <v>138</v>
      </c>
      <c r="C145" s="608">
        <f>SUM(C137+C144)</f>
        <v>8831</v>
      </c>
      <c r="D145" s="608">
        <f>SUM(D137+D144)</f>
        <v>9342</v>
      </c>
      <c r="E145" s="609">
        <f t="shared" si="16"/>
        <v>511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13179</v>
      </c>
      <c r="D149" s="610">
        <v>13150</v>
      </c>
      <c r="E149" s="607">
        <f t="shared" ref="E149:E157" si="17">D149-C149</f>
        <v>-29</v>
      </c>
    </row>
    <row r="150" spans="1:5" s="421" customFormat="1" x14ac:dyDescent="0.2">
      <c r="A150" s="588">
        <v>2</v>
      </c>
      <c r="B150" s="587" t="s">
        <v>636</v>
      </c>
      <c r="C150" s="610">
        <v>22742</v>
      </c>
      <c r="D150" s="610">
        <v>23189</v>
      </c>
      <c r="E150" s="607">
        <f t="shared" si="17"/>
        <v>447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9483</v>
      </c>
      <c r="D151" s="610">
        <f>D152+D153</f>
        <v>10174</v>
      </c>
      <c r="E151" s="607">
        <f t="shared" si="17"/>
        <v>691</v>
      </c>
    </row>
    <row r="152" spans="1:5" s="421" customFormat="1" x14ac:dyDescent="0.2">
      <c r="A152" s="588">
        <v>4</v>
      </c>
      <c r="B152" s="587" t="s">
        <v>115</v>
      </c>
      <c r="C152" s="610">
        <v>9483</v>
      </c>
      <c r="D152" s="610">
        <v>10174</v>
      </c>
      <c r="E152" s="607">
        <f t="shared" si="17"/>
        <v>691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141</v>
      </c>
      <c r="D154" s="610">
        <v>149</v>
      </c>
      <c r="E154" s="607">
        <f t="shared" si="17"/>
        <v>8</v>
      </c>
    </row>
    <row r="155" spans="1:5" s="421" customFormat="1" x14ac:dyDescent="0.2">
      <c r="A155" s="588">
        <v>7</v>
      </c>
      <c r="B155" s="587" t="s">
        <v>759</v>
      </c>
      <c r="C155" s="610">
        <v>975</v>
      </c>
      <c r="D155" s="610">
        <v>1077</v>
      </c>
      <c r="E155" s="607">
        <f t="shared" si="17"/>
        <v>102</v>
      </c>
    </row>
    <row r="156" spans="1:5" s="421" customFormat="1" x14ac:dyDescent="0.2">
      <c r="A156" s="588"/>
      <c r="B156" s="592" t="s">
        <v>809</v>
      </c>
      <c r="C156" s="608">
        <f>SUM(C150+C151+C154)</f>
        <v>32366</v>
      </c>
      <c r="D156" s="608">
        <f>SUM(D150+D151+D154)</f>
        <v>33512</v>
      </c>
      <c r="E156" s="609">
        <f t="shared" si="17"/>
        <v>1146</v>
      </c>
    </row>
    <row r="157" spans="1:5" s="421" customFormat="1" x14ac:dyDescent="0.2">
      <c r="A157" s="588"/>
      <c r="B157" s="592" t="s">
        <v>140</v>
      </c>
      <c r="C157" s="608">
        <f>SUM(C149+C156)</f>
        <v>45545</v>
      </c>
      <c r="D157" s="608">
        <f>SUM(D149+D156)</f>
        <v>46662</v>
      </c>
      <c r="E157" s="609">
        <f t="shared" si="17"/>
        <v>1117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3.998483009708738</v>
      </c>
      <c r="D161" s="612">
        <f t="shared" si="18"/>
        <v>3.8733431516936672</v>
      </c>
      <c r="E161" s="613">
        <f t="shared" ref="E161:E169" si="19">D161-C161</f>
        <v>-0.12513985801507088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6.429742719819056</v>
      </c>
      <c r="D162" s="612">
        <f t="shared" si="18"/>
        <v>6.0688301491756089</v>
      </c>
      <c r="E162" s="613">
        <f t="shared" si="19"/>
        <v>-0.36091257064344706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4.8456821665815024</v>
      </c>
      <c r="D163" s="612">
        <f t="shared" si="18"/>
        <v>4.8796163069544365</v>
      </c>
      <c r="E163" s="613">
        <f t="shared" si="19"/>
        <v>3.3934140372934074E-2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4.8456821665815024</v>
      </c>
      <c r="D164" s="612">
        <f t="shared" si="18"/>
        <v>4.8796163069544365</v>
      </c>
      <c r="E164" s="613">
        <f t="shared" si="19"/>
        <v>3.3934140372934074E-2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3.4390243902439024</v>
      </c>
      <c r="D166" s="612">
        <f t="shared" si="18"/>
        <v>3.6341463414634148</v>
      </c>
      <c r="E166" s="613">
        <f t="shared" si="19"/>
        <v>0.19512195121951237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5.3571428571428568</v>
      </c>
      <c r="D167" s="612">
        <f t="shared" si="18"/>
        <v>4.9403669724770642</v>
      </c>
      <c r="E167" s="613">
        <f t="shared" si="19"/>
        <v>-0.41677588466579252</v>
      </c>
    </row>
    <row r="168" spans="1:5" s="421" customFormat="1" x14ac:dyDescent="0.2">
      <c r="A168" s="588"/>
      <c r="B168" s="592" t="s">
        <v>811</v>
      </c>
      <c r="C168" s="614">
        <f t="shared" si="18"/>
        <v>5.8475158084914183</v>
      </c>
      <c r="D168" s="614">
        <f t="shared" si="18"/>
        <v>5.6351101395661676</v>
      </c>
      <c r="E168" s="615">
        <f t="shared" si="19"/>
        <v>-0.2124056689252507</v>
      </c>
    </row>
    <row r="169" spans="1:5" s="421" customFormat="1" x14ac:dyDescent="0.2">
      <c r="A169" s="588"/>
      <c r="B169" s="592" t="s">
        <v>745</v>
      </c>
      <c r="C169" s="614">
        <f t="shared" si="18"/>
        <v>5.1574000679424756</v>
      </c>
      <c r="D169" s="614">
        <f t="shared" si="18"/>
        <v>4.9948619139370587</v>
      </c>
      <c r="E169" s="615">
        <f t="shared" si="19"/>
        <v>-0.16253815400541693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0.98934999999999995</v>
      </c>
      <c r="D173" s="617">
        <f t="shared" si="20"/>
        <v>0.98411999999999999</v>
      </c>
      <c r="E173" s="618">
        <f t="shared" ref="E173:E181" si="21">D173-C173</f>
        <v>-5.2299999999999569E-3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1.43563</v>
      </c>
      <c r="D174" s="617">
        <f t="shared" si="20"/>
        <v>1.5048900000000001</v>
      </c>
      <c r="E174" s="618">
        <f t="shared" si="21"/>
        <v>6.9260000000000099E-2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0.92262999999999995</v>
      </c>
      <c r="D175" s="617">
        <f t="shared" si="20"/>
        <v>0.96306000000000003</v>
      </c>
      <c r="E175" s="618">
        <f t="shared" si="21"/>
        <v>4.0430000000000077E-2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0.92262999999999995</v>
      </c>
      <c r="D176" s="617">
        <f t="shared" si="20"/>
        <v>0.96306000000000003</v>
      </c>
      <c r="E176" s="618">
        <f t="shared" si="21"/>
        <v>4.0430000000000077E-2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0.90251000000000003</v>
      </c>
      <c r="D178" s="617">
        <f t="shared" si="20"/>
        <v>1.0127900000000001</v>
      </c>
      <c r="E178" s="618">
        <f t="shared" si="21"/>
        <v>0.11028000000000004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1.0105299999999999</v>
      </c>
      <c r="D179" s="617">
        <f t="shared" si="20"/>
        <v>1.0421400000000001</v>
      </c>
      <c r="E179" s="618">
        <f t="shared" si="21"/>
        <v>3.1610000000000138E-2</v>
      </c>
    </row>
    <row r="180" spans="1:5" s="421" customFormat="1" x14ac:dyDescent="0.2">
      <c r="A180" s="588"/>
      <c r="B180" s="592" t="s">
        <v>813</v>
      </c>
      <c r="C180" s="619">
        <f t="shared" si="20"/>
        <v>1.2503004751580848</v>
      </c>
      <c r="D180" s="619">
        <f t="shared" si="20"/>
        <v>1.3115334084412307</v>
      </c>
      <c r="E180" s="620">
        <f t="shared" si="21"/>
        <v>6.123293328314583E-2</v>
      </c>
    </row>
    <row r="181" spans="1:5" s="421" customFormat="1" x14ac:dyDescent="0.2">
      <c r="A181" s="588"/>
      <c r="B181" s="592" t="s">
        <v>724</v>
      </c>
      <c r="C181" s="619">
        <f t="shared" si="20"/>
        <v>1.1529057558600384</v>
      </c>
      <c r="D181" s="619">
        <f t="shared" si="20"/>
        <v>1.1925472682509097</v>
      </c>
      <c r="E181" s="620">
        <f t="shared" si="21"/>
        <v>3.9641512390871325E-2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192665512</v>
      </c>
      <c r="D185" s="589">
        <v>211134171</v>
      </c>
      <c r="E185" s="590">
        <f>D185-C185</f>
        <v>18468659</v>
      </c>
    </row>
    <row r="186" spans="1:5" s="421" customFormat="1" ht="25.5" x14ac:dyDescent="0.2">
      <c r="A186" s="588">
        <v>2</v>
      </c>
      <c r="B186" s="587" t="s">
        <v>816</v>
      </c>
      <c r="C186" s="589">
        <v>87693923</v>
      </c>
      <c r="D186" s="589">
        <v>88413152</v>
      </c>
      <c r="E186" s="590">
        <f>D186-C186</f>
        <v>719229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104971589</v>
      </c>
      <c r="D188" s="622">
        <f>+D185-D186</f>
        <v>122721019</v>
      </c>
      <c r="E188" s="590">
        <f t="shared" ref="E188:E197" si="22">D188-C188</f>
        <v>17749430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0.54483850228472652</v>
      </c>
      <c r="D189" s="623">
        <f>IF(D185=0,0,+D188/D185)</f>
        <v>0.58124659982206295</v>
      </c>
      <c r="E189" s="599">
        <f t="shared" si="22"/>
        <v>3.6408097537336426E-2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4953633</v>
      </c>
      <c r="D193" s="589">
        <v>3908882</v>
      </c>
      <c r="E193" s="622">
        <f t="shared" si="22"/>
        <v>-1044751</v>
      </c>
    </row>
    <row r="194" spans="1:5" s="421" customFormat="1" x14ac:dyDescent="0.2">
      <c r="A194" s="588">
        <v>9</v>
      </c>
      <c r="B194" s="587" t="s">
        <v>819</v>
      </c>
      <c r="C194" s="589">
        <v>6382307</v>
      </c>
      <c r="D194" s="589">
        <v>5518461</v>
      </c>
      <c r="E194" s="622">
        <f t="shared" si="22"/>
        <v>-863846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11335940</v>
      </c>
      <c r="D195" s="589">
        <f>+D193+D194</f>
        <v>9427343</v>
      </c>
      <c r="E195" s="625">
        <f t="shared" si="22"/>
        <v>-1908597</v>
      </c>
    </row>
    <row r="196" spans="1:5" s="421" customFormat="1" x14ac:dyDescent="0.2">
      <c r="A196" s="588">
        <v>11</v>
      </c>
      <c r="B196" s="587" t="s">
        <v>821</v>
      </c>
      <c r="C196" s="589">
        <v>19861936</v>
      </c>
      <c r="D196" s="589">
        <v>19289474</v>
      </c>
      <c r="E196" s="622">
        <f t="shared" si="22"/>
        <v>-572462</v>
      </c>
    </row>
    <row r="197" spans="1:5" s="421" customFormat="1" x14ac:dyDescent="0.2">
      <c r="A197" s="588">
        <v>12</v>
      </c>
      <c r="B197" s="587" t="s">
        <v>711</v>
      </c>
      <c r="C197" s="589">
        <v>184446001</v>
      </c>
      <c r="D197" s="589">
        <v>188335086</v>
      </c>
      <c r="E197" s="622">
        <f t="shared" si="22"/>
        <v>3889085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3260.8975999999998</v>
      </c>
      <c r="D203" s="629">
        <v>3341.0873999999999</v>
      </c>
      <c r="E203" s="630">
        <f t="shared" ref="E203:E211" si="23">D203-C203</f>
        <v>80.189800000000105</v>
      </c>
    </row>
    <row r="204" spans="1:5" s="421" customFormat="1" x14ac:dyDescent="0.2">
      <c r="A204" s="588">
        <v>2</v>
      </c>
      <c r="B204" s="587" t="s">
        <v>636</v>
      </c>
      <c r="C204" s="629">
        <v>5077.8233099999998</v>
      </c>
      <c r="D204" s="629">
        <v>5750.18469</v>
      </c>
      <c r="E204" s="630">
        <f t="shared" si="23"/>
        <v>672.36138000000028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1805.58691</v>
      </c>
      <c r="D205" s="629">
        <f>D206+D207</f>
        <v>2007.9801</v>
      </c>
      <c r="E205" s="630">
        <f t="shared" si="23"/>
        <v>202.39319</v>
      </c>
    </row>
    <row r="206" spans="1:5" s="421" customFormat="1" x14ac:dyDescent="0.2">
      <c r="A206" s="588">
        <v>4</v>
      </c>
      <c r="B206" s="587" t="s">
        <v>115</v>
      </c>
      <c r="C206" s="629">
        <v>1805.58691</v>
      </c>
      <c r="D206" s="629">
        <v>2007.9801</v>
      </c>
      <c r="E206" s="630">
        <f t="shared" si="23"/>
        <v>202.39319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37.00291</v>
      </c>
      <c r="D208" s="629">
        <v>41.524390000000004</v>
      </c>
      <c r="E208" s="630">
        <f t="shared" si="23"/>
        <v>4.5214800000000039</v>
      </c>
    </row>
    <row r="209" spans="1:5" s="421" customFormat="1" x14ac:dyDescent="0.2">
      <c r="A209" s="588">
        <v>7</v>
      </c>
      <c r="B209" s="587" t="s">
        <v>759</v>
      </c>
      <c r="C209" s="629">
        <v>183.91646</v>
      </c>
      <c r="D209" s="629">
        <v>227.18652</v>
      </c>
      <c r="E209" s="630">
        <f t="shared" si="23"/>
        <v>43.270060000000001</v>
      </c>
    </row>
    <row r="210" spans="1:5" s="421" customFormat="1" x14ac:dyDescent="0.2">
      <c r="A210" s="588"/>
      <c r="B210" s="592" t="s">
        <v>824</v>
      </c>
      <c r="C210" s="631">
        <f>C204+C205+C208</f>
        <v>6920.4131299999999</v>
      </c>
      <c r="D210" s="631">
        <f>D204+D205+D208</f>
        <v>7799.6891799999994</v>
      </c>
      <c r="E210" s="632">
        <f t="shared" si="23"/>
        <v>879.27604999999949</v>
      </c>
    </row>
    <row r="211" spans="1:5" s="421" customFormat="1" x14ac:dyDescent="0.2">
      <c r="A211" s="588"/>
      <c r="B211" s="592" t="s">
        <v>725</v>
      </c>
      <c r="C211" s="631">
        <f>C210+C203</f>
        <v>10181.310729999999</v>
      </c>
      <c r="D211" s="631">
        <f>D210+D203</f>
        <v>11140.77658</v>
      </c>
      <c r="E211" s="632">
        <f t="shared" si="23"/>
        <v>959.4658500000005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9462.9047407230573</v>
      </c>
      <c r="D215" s="633">
        <f>IF(D14*D137=0,0,D25/D14*D137)</f>
        <v>9041.4410877200662</v>
      </c>
      <c r="E215" s="633">
        <f t="shared" ref="E215:E223" si="24">D215-C215</f>
        <v>-421.46365300299112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3590.2599728946607</v>
      </c>
      <c r="D216" s="633">
        <f>IF(D15*D138=0,0,D26/D15*D138)</f>
        <v>3556.2517619203986</v>
      </c>
      <c r="E216" s="633">
        <f t="shared" si="24"/>
        <v>-34.008210974262056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3659.8949644433101</v>
      </c>
      <c r="D217" s="633">
        <f>D218+D219</f>
        <v>3368.4767145387923</v>
      </c>
      <c r="E217" s="633">
        <f t="shared" si="24"/>
        <v>-291.41824990451778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3659.8949644433101</v>
      </c>
      <c r="D218" s="633">
        <f t="shared" si="25"/>
        <v>3368.4767145387923</v>
      </c>
      <c r="E218" s="633">
        <f t="shared" si="24"/>
        <v>-291.41824990451778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89.035614456742039</v>
      </c>
      <c r="D220" s="633">
        <f t="shared" si="25"/>
        <v>74.138062571390236</v>
      </c>
      <c r="E220" s="633">
        <f t="shared" si="24"/>
        <v>-14.897551885351803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684.06964344903474</v>
      </c>
      <c r="D221" s="633">
        <f t="shared" si="25"/>
        <v>684.27419564972672</v>
      </c>
      <c r="E221" s="633">
        <f t="shared" si="24"/>
        <v>0.20455220069197821</v>
      </c>
    </row>
    <row r="222" spans="1:5" s="421" customFormat="1" x14ac:dyDescent="0.2">
      <c r="A222" s="588"/>
      <c r="B222" s="592" t="s">
        <v>826</v>
      </c>
      <c r="C222" s="634">
        <f>C216+C218+C219+C220</f>
        <v>7339.1905517947134</v>
      </c>
      <c r="D222" s="634">
        <f>D216+D218+D219+D220</f>
        <v>6998.8665390305814</v>
      </c>
      <c r="E222" s="634">
        <f t="shared" si="24"/>
        <v>-340.32401276413202</v>
      </c>
    </row>
    <row r="223" spans="1:5" s="421" customFormat="1" x14ac:dyDescent="0.2">
      <c r="A223" s="588"/>
      <c r="B223" s="592" t="s">
        <v>827</v>
      </c>
      <c r="C223" s="634">
        <f>C215+C222</f>
        <v>16802.09529251777</v>
      </c>
      <c r="D223" s="634">
        <f>D215+D222</f>
        <v>16040.307626750648</v>
      </c>
      <c r="E223" s="634">
        <f t="shared" si="24"/>
        <v>-761.78766576712223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8275.2905212356254</v>
      </c>
      <c r="D227" s="636">
        <f t="shared" si="26"/>
        <v>8025.499722036604</v>
      </c>
      <c r="E227" s="636">
        <f t="shared" ref="E227:E235" si="27">D227-C227</f>
        <v>-249.79079919902142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6562.6696648489724</v>
      </c>
      <c r="D228" s="636">
        <f t="shared" si="26"/>
        <v>6578.2763579372959</v>
      </c>
      <c r="E228" s="636">
        <f t="shared" si="27"/>
        <v>15.606693088323482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5848.3925318222427</v>
      </c>
      <c r="D229" s="636">
        <f t="shared" si="26"/>
        <v>5727.5024787347247</v>
      </c>
      <c r="E229" s="636">
        <f t="shared" si="27"/>
        <v>-120.89005308751803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5848.3925318222427</v>
      </c>
      <c r="D230" s="636">
        <f t="shared" si="26"/>
        <v>5727.5024787347247</v>
      </c>
      <c r="E230" s="636">
        <f t="shared" si="27"/>
        <v>-120.89005308751803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5667.3380553042989</v>
      </c>
      <c r="D232" s="636">
        <f t="shared" si="26"/>
        <v>8568.7231046621018</v>
      </c>
      <c r="E232" s="636">
        <f t="shared" si="27"/>
        <v>2901.3850493578029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138.95982991408164</v>
      </c>
      <c r="D233" s="636">
        <f t="shared" si="26"/>
        <v>347.60425046345176</v>
      </c>
      <c r="E233" s="636">
        <f t="shared" si="27"/>
        <v>208.64442054937012</v>
      </c>
    </row>
    <row r="234" spans="1:5" x14ac:dyDescent="0.2">
      <c r="A234" s="588"/>
      <c r="B234" s="592" t="s">
        <v>829</v>
      </c>
      <c r="C234" s="637">
        <f t="shared" si="26"/>
        <v>6371.522215755348</v>
      </c>
      <c r="D234" s="637">
        <f t="shared" si="26"/>
        <v>6369.8469071558575</v>
      </c>
      <c r="E234" s="637">
        <f t="shared" si="27"/>
        <v>-1.6753085994905632</v>
      </c>
    </row>
    <row r="235" spans="1:5" s="421" customFormat="1" x14ac:dyDescent="0.2">
      <c r="A235" s="588"/>
      <c r="B235" s="592" t="s">
        <v>830</v>
      </c>
      <c r="C235" s="637">
        <f t="shared" si="26"/>
        <v>6981.2662519533969</v>
      </c>
      <c r="D235" s="637">
        <f t="shared" si="26"/>
        <v>6866.3725056049907</v>
      </c>
      <c r="E235" s="637">
        <f t="shared" si="27"/>
        <v>-114.89374634840624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6415.4770298745752</v>
      </c>
      <c r="D239" s="636">
        <f t="shared" si="28"/>
        <v>6812.9909162006352</v>
      </c>
      <c r="E239" s="638">
        <f t="shared" ref="E239:E247" si="29">D239-C239</f>
        <v>397.51388632605995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7266.9628932092646</v>
      </c>
      <c r="D240" s="636">
        <f t="shared" si="28"/>
        <v>6377.7295642736544</v>
      </c>
      <c r="E240" s="638">
        <f t="shared" si="29"/>
        <v>-889.23332893561019</v>
      </c>
    </row>
    <row r="241" spans="1:5" x14ac:dyDescent="0.2">
      <c r="A241" s="588">
        <v>3</v>
      </c>
      <c r="B241" s="587" t="s">
        <v>778</v>
      </c>
      <c r="C241" s="636">
        <f t="shared" si="28"/>
        <v>2969.8461583181756</v>
      </c>
      <c r="D241" s="636">
        <f t="shared" si="28"/>
        <v>3488.5350251289888</v>
      </c>
      <c r="E241" s="638">
        <f t="shared" si="29"/>
        <v>518.68886681081312</v>
      </c>
    </row>
    <row r="242" spans="1:5" x14ac:dyDescent="0.2">
      <c r="A242" s="588">
        <v>4</v>
      </c>
      <c r="B242" s="587" t="s">
        <v>115</v>
      </c>
      <c r="C242" s="636">
        <f t="shared" si="28"/>
        <v>2969.8461583181756</v>
      </c>
      <c r="D242" s="636">
        <f t="shared" si="28"/>
        <v>3488.5350251289888</v>
      </c>
      <c r="E242" s="638">
        <f t="shared" si="29"/>
        <v>518.68886681081312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8979.8448056810994</v>
      </c>
      <c r="D244" s="636">
        <f t="shared" si="28"/>
        <v>3952.0590346943795</v>
      </c>
      <c r="E244" s="638">
        <f t="shared" si="29"/>
        <v>-5027.7857709867203</v>
      </c>
    </row>
    <row r="245" spans="1:5" x14ac:dyDescent="0.2">
      <c r="A245" s="588">
        <v>7</v>
      </c>
      <c r="B245" s="587" t="s">
        <v>759</v>
      </c>
      <c r="C245" s="636">
        <f t="shared" si="28"/>
        <v>482.02255889837102</v>
      </c>
      <c r="D245" s="636">
        <f t="shared" si="28"/>
        <v>581.25675720146364</v>
      </c>
      <c r="E245" s="638">
        <f t="shared" si="29"/>
        <v>99.234198303092626</v>
      </c>
    </row>
    <row r="246" spans="1:5" ht="25.5" x14ac:dyDescent="0.2">
      <c r="A246" s="588"/>
      <c r="B246" s="592" t="s">
        <v>832</v>
      </c>
      <c r="C246" s="637">
        <f t="shared" si="28"/>
        <v>5144.8639647006366</v>
      </c>
      <c r="D246" s="637">
        <f t="shared" si="28"/>
        <v>4961.4975233989489</v>
      </c>
      <c r="E246" s="639">
        <f t="shared" si="29"/>
        <v>-183.3664413016877</v>
      </c>
    </row>
    <row r="247" spans="1:5" x14ac:dyDescent="0.2">
      <c r="A247" s="588"/>
      <c r="B247" s="592" t="s">
        <v>833</v>
      </c>
      <c r="C247" s="637">
        <f t="shared" si="28"/>
        <v>5860.4705714203028</v>
      </c>
      <c r="D247" s="637">
        <f t="shared" si="28"/>
        <v>6005.1289065902274</v>
      </c>
      <c r="E247" s="639">
        <f t="shared" si="29"/>
        <v>144.65833516992461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15726995.899652977</v>
      </c>
      <c r="D251" s="622">
        <f>((IF((IF(D15=0,0,D26/D15)*D138)=0,0,D59/(IF(D15=0,0,D26/D15)*D138)))-(IF((IF(D17=0,0,D28/D17)*D140)=0,0,D61/(IF(D17=0,0,D28/D17)*D140))))*(IF(D17=0,0,D28/D17)*D140)</f>
        <v>9732184.5288814437</v>
      </c>
      <c r="E251" s="622">
        <f>D251-C251</f>
        <v>-5994811.3707715329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5822797.6882234365</v>
      </c>
      <c r="D253" s="622">
        <f>IF(D233=0,0,(D228-D233)*D209+IF(D221=0,0,(D240-D245)*D221))</f>
        <v>5381901.4810228851</v>
      </c>
      <c r="E253" s="622">
        <f>D253-C253</f>
        <v>-440896.20720055141</v>
      </c>
    </row>
    <row r="254" spans="1:5" ht="15" customHeight="1" x14ac:dyDescent="0.2">
      <c r="A254" s="588"/>
      <c r="B254" s="592" t="s">
        <v>760</v>
      </c>
      <c r="C254" s="640">
        <f>+C251+C252+C253</f>
        <v>21549793.587876413</v>
      </c>
      <c r="D254" s="640">
        <f>+D251+D252+D253</f>
        <v>15114086.009904329</v>
      </c>
      <c r="E254" s="640">
        <f>D254-C254</f>
        <v>-6435707.5779720843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491901806</v>
      </c>
      <c r="D258" s="625">
        <f>+D44</f>
        <v>563024417</v>
      </c>
      <c r="E258" s="622">
        <f t="shared" ref="E258:E271" si="30">D258-C258</f>
        <v>71122611</v>
      </c>
    </row>
    <row r="259" spans="1:5" x14ac:dyDescent="0.2">
      <c r="A259" s="588">
        <v>2</v>
      </c>
      <c r="B259" s="587" t="s">
        <v>743</v>
      </c>
      <c r="C259" s="622">
        <f>+(C43-C76)</f>
        <v>217383591</v>
      </c>
      <c r="D259" s="625">
        <f>+(D43-D76)</f>
        <v>267482561</v>
      </c>
      <c r="E259" s="622">
        <f t="shared" si="30"/>
        <v>50098970</v>
      </c>
    </row>
    <row r="260" spans="1:5" x14ac:dyDescent="0.2">
      <c r="A260" s="588">
        <v>3</v>
      </c>
      <c r="B260" s="587" t="s">
        <v>747</v>
      </c>
      <c r="C260" s="622">
        <f>C195</f>
        <v>11335940</v>
      </c>
      <c r="D260" s="622">
        <f>D195</f>
        <v>9427343</v>
      </c>
      <c r="E260" s="622">
        <f t="shared" si="30"/>
        <v>-1908597</v>
      </c>
    </row>
    <row r="261" spans="1:5" x14ac:dyDescent="0.2">
      <c r="A261" s="588">
        <v>4</v>
      </c>
      <c r="B261" s="587" t="s">
        <v>748</v>
      </c>
      <c r="C261" s="622">
        <f>C188</f>
        <v>104971589</v>
      </c>
      <c r="D261" s="622">
        <f>D188</f>
        <v>122721019</v>
      </c>
      <c r="E261" s="622">
        <f t="shared" si="30"/>
        <v>17749430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333691120</v>
      </c>
      <c r="D263" s="622">
        <f>+D259+D260+D261+D262</f>
        <v>399630923</v>
      </c>
      <c r="E263" s="622">
        <f t="shared" si="30"/>
        <v>65939803</v>
      </c>
    </row>
    <row r="264" spans="1:5" x14ac:dyDescent="0.2">
      <c r="A264" s="588">
        <v>7</v>
      </c>
      <c r="B264" s="587" t="s">
        <v>655</v>
      </c>
      <c r="C264" s="622">
        <f>+C258-C263</f>
        <v>158210686</v>
      </c>
      <c r="D264" s="622">
        <f>+D258-D263</f>
        <v>163393494</v>
      </c>
      <c r="E264" s="622">
        <f t="shared" si="30"/>
        <v>5182808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158210686</v>
      </c>
      <c r="D266" s="622">
        <f>+D264+D265</f>
        <v>163393494</v>
      </c>
      <c r="E266" s="641">
        <f t="shared" si="30"/>
        <v>5182808</v>
      </c>
    </row>
    <row r="267" spans="1:5" x14ac:dyDescent="0.2">
      <c r="A267" s="588">
        <v>10</v>
      </c>
      <c r="B267" s="587" t="s">
        <v>838</v>
      </c>
      <c r="C267" s="642">
        <f>IF(C258=0,0,C266/C258)</f>
        <v>0.32163062641815143</v>
      </c>
      <c r="D267" s="642">
        <f>IF(D258=0,0,D266/D258)</f>
        <v>0.29020676380363802</v>
      </c>
      <c r="E267" s="643">
        <f t="shared" si="30"/>
        <v>-3.1423862614513409E-2</v>
      </c>
    </row>
    <row r="268" spans="1:5" x14ac:dyDescent="0.2">
      <c r="A268" s="588">
        <v>11</v>
      </c>
      <c r="B268" s="587" t="s">
        <v>717</v>
      </c>
      <c r="C268" s="622">
        <f>+C260*C267</f>
        <v>3645985.4832385797</v>
      </c>
      <c r="D268" s="644">
        <f>+D260*D267</f>
        <v>2735878.7032968802</v>
      </c>
      <c r="E268" s="622">
        <f t="shared" si="30"/>
        <v>-910106.77994169947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6120556.4086884856</v>
      </c>
      <c r="D269" s="644">
        <f>((D17+D18+D28+D29)*D267)-(D50+D51+D61+D62)</f>
        <v>6932363.1320352107</v>
      </c>
      <c r="E269" s="622">
        <f t="shared" si="30"/>
        <v>811806.72334672511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9766541.8919270653</v>
      </c>
      <c r="D271" s="622">
        <f>+D268+D269+D270</f>
        <v>9668241.8353320919</v>
      </c>
      <c r="E271" s="625">
        <f t="shared" si="30"/>
        <v>-98300.05659497343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0.54217891191331014</v>
      </c>
      <c r="D276" s="623">
        <f t="shared" si="31"/>
        <v>0.46521930862285266</v>
      </c>
      <c r="E276" s="650">
        <f t="shared" ref="E276:E284" si="32">D276-C276</f>
        <v>-7.6959603290457479E-2</v>
      </c>
    </row>
    <row r="277" spans="1:5" x14ac:dyDescent="0.2">
      <c r="A277" s="588">
        <v>2</v>
      </c>
      <c r="B277" s="587" t="s">
        <v>636</v>
      </c>
      <c r="C277" s="623">
        <f t="shared" si="31"/>
        <v>0.31690011654544487</v>
      </c>
      <c r="D277" s="623">
        <f t="shared" si="31"/>
        <v>0.2966776875850311</v>
      </c>
      <c r="E277" s="650">
        <f t="shared" si="32"/>
        <v>-2.0222428960413763E-2</v>
      </c>
    </row>
    <row r="278" spans="1:5" x14ac:dyDescent="0.2">
      <c r="A278" s="588">
        <v>3</v>
      </c>
      <c r="B278" s="587" t="s">
        <v>778</v>
      </c>
      <c r="C278" s="623">
        <f t="shared" si="31"/>
        <v>0.35383558186100666</v>
      </c>
      <c r="D278" s="623">
        <f t="shared" si="31"/>
        <v>0.28921516433874589</v>
      </c>
      <c r="E278" s="650">
        <f t="shared" si="32"/>
        <v>-6.4620417522260776E-2</v>
      </c>
    </row>
    <row r="279" spans="1:5" x14ac:dyDescent="0.2">
      <c r="A279" s="588">
        <v>4</v>
      </c>
      <c r="B279" s="587" t="s">
        <v>115</v>
      </c>
      <c r="C279" s="623">
        <f t="shared" si="31"/>
        <v>0.35383558186100666</v>
      </c>
      <c r="D279" s="623">
        <f t="shared" si="31"/>
        <v>0.28921516433874589</v>
      </c>
      <c r="E279" s="650">
        <f t="shared" si="32"/>
        <v>-6.4620417522260776E-2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0.39499875684676067</v>
      </c>
      <c r="D281" s="623">
        <f t="shared" si="31"/>
        <v>0.58226773014246958</v>
      </c>
      <c r="E281" s="650">
        <f t="shared" si="32"/>
        <v>0.18726897329570891</v>
      </c>
    </row>
    <row r="282" spans="1:5" x14ac:dyDescent="0.2">
      <c r="A282" s="588">
        <v>7</v>
      </c>
      <c r="B282" s="587" t="s">
        <v>759</v>
      </c>
      <c r="C282" s="623">
        <f t="shared" si="31"/>
        <v>1.0497037196157043E-2</v>
      </c>
      <c r="D282" s="623">
        <f t="shared" si="31"/>
        <v>3.3296384666401606E-2</v>
      </c>
      <c r="E282" s="650">
        <f t="shared" si="32"/>
        <v>2.2799347470244563E-2</v>
      </c>
    </row>
    <row r="283" spans="1:5" ht="29.25" customHeight="1" x14ac:dyDescent="0.2">
      <c r="A283" s="588"/>
      <c r="B283" s="592" t="s">
        <v>845</v>
      </c>
      <c r="C283" s="651">
        <f t="shared" si="31"/>
        <v>0.32533918570874643</v>
      </c>
      <c r="D283" s="651">
        <f t="shared" si="31"/>
        <v>0.29594958311456815</v>
      </c>
      <c r="E283" s="652">
        <f t="shared" si="32"/>
        <v>-2.9389602594178277E-2</v>
      </c>
    </row>
    <row r="284" spans="1:5" x14ac:dyDescent="0.2">
      <c r="A284" s="588"/>
      <c r="B284" s="592" t="s">
        <v>846</v>
      </c>
      <c r="C284" s="651">
        <f t="shared" si="31"/>
        <v>0.38358114821793265</v>
      </c>
      <c r="D284" s="651">
        <f t="shared" si="31"/>
        <v>0.33921189532023971</v>
      </c>
      <c r="E284" s="652">
        <f t="shared" si="32"/>
        <v>-4.4369252897692946E-2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0.42485268609187615</v>
      </c>
      <c r="D287" s="623">
        <f t="shared" si="33"/>
        <v>0.40130576570905313</v>
      </c>
      <c r="E287" s="650">
        <f t="shared" ref="E287:E295" si="34">D287-C287</f>
        <v>-2.3546920382823022E-2</v>
      </c>
    </row>
    <row r="288" spans="1:5" x14ac:dyDescent="0.2">
      <c r="A288" s="588">
        <v>2</v>
      </c>
      <c r="B288" s="587" t="s">
        <v>636</v>
      </c>
      <c r="C288" s="623">
        <f t="shared" si="33"/>
        <v>0.24442874167561326</v>
      </c>
      <c r="D288" s="623">
        <f t="shared" si="33"/>
        <v>0.19113231248006424</v>
      </c>
      <c r="E288" s="650">
        <f t="shared" si="34"/>
        <v>-5.3296429195549028E-2</v>
      </c>
    </row>
    <row r="289" spans="1:5" x14ac:dyDescent="0.2">
      <c r="A289" s="588">
        <v>3</v>
      </c>
      <c r="B289" s="587" t="s">
        <v>778</v>
      </c>
      <c r="C289" s="623">
        <f t="shared" si="33"/>
        <v>0.19474726658283234</v>
      </c>
      <c r="D289" s="623">
        <f t="shared" si="33"/>
        <v>0.18291339777069487</v>
      </c>
      <c r="E289" s="650">
        <f t="shared" si="34"/>
        <v>-1.1833868812137466E-2</v>
      </c>
    </row>
    <row r="290" spans="1:5" x14ac:dyDescent="0.2">
      <c r="A290" s="588">
        <v>4</v>
      </c>
      <c r="B290" s="587" t="s">
        <v>115</v>
      </c>
      <c r="C290" s="623">
        <f t="shared" si="33"/>
        <v>0.19474726658283234</v>
      </c>
      <c r="D290" s="623">
        <f t="shared" si="33"/>
        <v>0.18291339777069487</v>
      </c>
      <c r="E290" s="650">
        <f t="shared" si="34"/>
        <v>-1.1833868812137466E-2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0.69347916594386427</v>
      </c>
      <c r="D292" s="623">
        <f t="shared" si="33"/>
        <v>0.26516160035620584</v>
      </c>
      <c r="E292" s="650">
        <f t="shared" si="34"/>
        <v>-0.42831756558765843</v>
      </c>
    </row>
    <row r="293" spans="1:5" x14ac:dyDescent="0.2">
      <c r="A293" s="588">
        <v>7</v>
      </c>
      <c r="B293" s="587" t="s">
        <v>759</v>
      </c>
      <c r="C293" s="623">
        <f t="shared" si="33"/>
        <v>3.6032601200689671E-2</v>
      </c>
      <c r="D293" s="623">
        <f t="shared" si="33"/>
        <v>5.342615884241151E-2</v>
      </c>
      <c r="E293" s="650">
        <f t="shared" si="34"/>
        <v>1.7393557641721839E-2</v>
      </c>
    </row>
    <row r="294" spans="1:5" ht="29.25" customHeight="1" x14ac:dyDescent="0.2">
      <c r="A294" s="588"/>
      <c r="B294" s="592" t="s">
        <v>848</v>
      </c>
      <c r="C294" s="651">
        <f t="shared" si="33"/>
        <v>0.23065321126270677</v>
      </c>
      <c r="D294" s="651">
        <f t="shared" si="33"/>
        <v>0.18870742777786897</v>
      </c>
      <c r="E294" s="652">
        <f t="shared" si="34"/>
        <v>-4.1945783484837795E-2</v>
      </c>
    </row>
    <row r="295" spans="1:5" x14ac:dyDescent="0.2">
      <c r="A295" s="588"/>
      <c r="B295" s="592" t="s">
        <v>849</v>
      </c>
      <c r="C295" s="651">
        <f t="shared" si="33"/>
        <v>0.32116216637075029</v>
      </c>
      <c r="D295" s="651">
        <f t="shared" si="33"/>
        <v>0.28539520520805983</v>
      </c>
      <c r="E295" s="652">
        <f t="shared" si="34"/>
        <v>-3.5766961162690458E-2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169546626</v>
      </c>
      <c r="D301" s="590">
        <f>+D48+D47+D50+D51+D52+D59+D58+D61+D62+D63</f>
        <v>172820837</v>
      </c>
      <c r="E301" s="590">
        <f>D301-C301</f>
        <v>3274211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169546626</v>
      </c>
      <c r="D303" s="593">
        <f>+D301+D302</f>
        <v>172820837</v>
      </c>
      <c r="E303" s="593">
        <f>D303-C303</f>
        <v>3274211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5670938</v>
      </c>
      <c r="D305" s="654">
        <v>-2521217</v>
      </c>
      <c r="E305" s="655">
        <f>D305-C305</f>
        <v>-8192155</v>
      </c>
    </row>
    <row r="306" spans="1:5" x14ac:dyDescent="0.2">
      <c r="A306" s="588">
        <v>4</v>
      </c>
      <c r="B306" s="592" t="s">
        <v>856</v>
      </c>
      <c r="C306" s="593">
        <f>+C303+C305+C194+C190-C191</f>
        <v>181599871</v>
      </c>
      <c r="D306" s="593">
        <f>+D303+D305</f>
        <v>170299620</v>
      </c>
      <c r="E306" s="656">
        <f>D306-C306</f>
        <v>-11300251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175217566</v>
      </c>
      <c r="D308" s="589">
        <v>170299621</v>
      </c>
      <c r="E308" s="590">
        <f>D308-C308</f>
        <v>-4917945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6382305</v>
      </c>
      <c r="D310" s="658">
        <f>D306-D308</f>
        <v>-1</v>
      </c>
      <c r="E310" s="656">
        <f>D310-C310</f>
        <v>-6382306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491901806</v>
      </c>
      <c r="D314" s="590">
        <f>+D14+D15+D16+D19+D25+D26+D27+D30</f>
        <v>563024417</v>
      </c>
      <c r="E314" s="590">
        <f>D314-C314</f>
        <v>71122611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491901806</v>
      </c>
      <c r="D316" s="657">
        <f>D314+D315</f>
        <v>563024417</v>
      </c>
      <c r="E316" s="593">
        <f>D316-C316</f>
        <v>71122611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491901806</v>
      </c>
      <c r="D318" s="589">
        <v>563024416</v>
      </c>
      <c r="E318" s="590">
        <f>D318-C318</f>
        <v>71122610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11335940</v>
      </c>
      <c r="D324" s="589">
        <f>+D193+D194</f>
        <v>9427343</v>
      </c>
      <c r="E324" s="590">
        <f>D324-C324</f>
        <v>-1908597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11335940</v>
      </c>
      <c r="D326" s="657">
        <f>D324+D325</f>
        <v>9427343</v>
      </c>
      <c r="E326" s="593">
        <f>D326-C326</f>
        <v>-1908597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11335940</v>
      </c>
      <c r="D328" s="589">
        <v>9427343</v>
      </c>
      <c r="E328" s="590">
        <f>D328-C328</f>
        <v>-1908597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6" t="s">
        <v>0</v>
      </c>
      <c r="B2" s="827"/>
      <c r="C2" s="828"/>
      <c r="D2" s="661"/>
    </row>
    <row r="3" spans="1:58" s="662" customFormat="1" ht="15.75" customHeight="1" x14ac:dyDescent="0.25">
      <c r="A3" s="826" t="s">
        <v>630</v>
      </c>
      <c r="B3" s="827"/>
      <c r="C3" s="828"/>
      <c r="D3" s="661"/>
    </row>
    <row r="4" spans="1:58" s="662" customFormat="1" ht="15.75" customHeight="1" x14ac:dyDescent="0.25">
      <c r="A4" s="826" t="s">
        <v>2</v>
      </c>
      <c r="B4" s="827"/>
      <c r="C4" s="828"/>
      <c r="D4" s="661"/>
    </row>
    <row r="5" spans="1:58" s="662" customFormat="1" ht="15.75" customHeight="1" x14ac:dyDescent="0.25">
      <c r="A5" s="826" t="s">
        <v>870</v>
      </c>
      <c r="B5" s="827"/>
      <c r="C5" s="828"/>
      <c r="D5" s="661"/>
    </row>
    <row r="6" spans="1:58" s="662" customFormat="1" ht="15.75" customHeight="1" x14ac:dyDescent="0.25">
      <c r="A6" s="826" t="s">
        <v>871</v>
      </c>
      <c r="B6" s="827"/>
      <c r="C6" s="828"/>
      <c r="D6" s="661"/>
    </row>
    <row r="7" spans="1:58" s="662" customFormat="1" ht="15.75" customHeight="1" x14ac:dyDescent="0.25">
      <c r="A7" s="826"/>
      <c r="B7" s="827"/>
      <c r="C7" s="828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57637109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127499659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39765242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39765242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611078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2371759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167875979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225513088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153497062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118665503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64243785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64243785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1104979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7444649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184014267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337511329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211134171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351890246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563024417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26813896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37826304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11500711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11500711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355811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78971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49682826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76496722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61599256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22680812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11751049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11751049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292998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397739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34724859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96324115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88413152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84407685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172820837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3395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3821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2085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2085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218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5947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9342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0.98411999999999999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1.5048900000000001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0.96306000000000003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0.96306000000000003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1.0127900000000001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1.0421400000000001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1.3115334084412307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1.19254726825091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211134171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88413152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122721019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0.58124659982206295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3908882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5518461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9427343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19289474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188335086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172820837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172820837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-2521217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170299620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170299621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563024417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563024417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563024416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9427343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9427343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9427343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32"/>
      <c r="B1" s="833"/>
      <c r="C1" s="833"/>
      <c r="D1" s="833"/>
      <c r="E1" s="833"/>
      <c r="F1" s="834"/>
    </row>
    <row r="2" spans="1:14" ht="15.75" customHeight="1" x14ac:dyDescent="0.25">
      <c r="A2" s="835" t="s">
        <v>0</v>
      </c>
      <c r="B2" s="836"/>
      <c r="C2" s="836"/>
      <c r="D2" s="836"/>
      <c r="E2" s="836"/>
      <c r="F2" s="837"/>
    </row>
    <row r="3" spans="1:14" ht="15.75" customHeight="1" x14ac:dyDescent="0.25">
      <c r="A3" s="835" t="s">
        <v>630</v>
      </c>
      <c r="B3" s="836"/>
      <c r="C3" s="836"/>
      <c r="D3" s="836"/>
      <c r="E3" s="836"/>
      <c r="F3" s="837"/>
    </row>
    <row r="4" spans="1:14" ht="15.75" customHeight="1" x14ac:dyDescent="0.25">
      <c r="A4" s="835" t="s">
        <v>2</v>
      </c>
      <c r="B4" s="836"/>
      <c r="C4" s="836"/>
      <c r="D4" s="836"/>
      <c r="E4" s="836"/>
      <c r="F4" s="837"/>
    </row>
    <row r="5" spans="1:14" ht="15.75" customHeight="1" x14ac:dyDescent="0.25">
      <c r="A5" s="835" t="s">
        <v>883</v>
      </c>
      <c r="B5" s="836"/>
      <c r="C5" s="836"/>
      <c r="D5" s="836"/>
      <c r="E5" s="836"/>
      <c r="F5" s="837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2746</v>
      </c>
      <c r="D12" s="185">
        <v>2817</v>
      </c>
      <c r="E12" s="185">
        <f>+D12-C12</f>
        <v>71</v>
      </c>
      <c r="F12" s="77">
        <f>IF(C12=0,0,+E12/C12)</f>
        <v>2.5855790240349598E-2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2467</v>
      </c>
      <c r="D13" s="185">
        <v>2500</v>
      </c>
      <c r="E13" s="185">
        <f>+D13-C13</f>
        <v>33</v>
      </c>
      <c r="F13" s="77">
        <f>IF(C13=0,0,+E13/C13)</f>
        <v>1.3376570733684636E-2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4953633</v>
      </c>
      <c r="D15" s="76">
        <v>3908882</v>
      </c>
      <c r="E15" s="76">
        <f>+D15-C15</f>
        <v>-1044751</v>
      </c>
      <c r="F15" s="77">
        <f>IF(C15=0,0,+E15/C15)</f>
        <v>-0.21090601584735891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2007.9582488852857</v>
      </c>
      <c r="D16" s="79">
        <f>IF(D13=0,0,+D15/+D13)</f>
        <v>1563.5527999999999</v>
      </c>
      <c r="E16" s="79">
        <f>+D16-C16</f>
        <v>-444.40544888528575</v>
      </c>
      <c r="F16" s="80">
        <f>IF(C16=0,0,+E16/C16)</f>
        <v>-0.22132205643817376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0.39893000000000001</v>
      </c>
      <c r="D18" s="704">
        <v>0.36041200000000001</v>
      </c>
      <c r="E18" s="704">
        <f>+D18-C18</f>
        <v>-3.8517999999999997E-2</v>
      </c>
      <c r="F18" s="77">
        <f>IF(C18=0,0,+E18/C18)</f>
        <v>-9.6553280024064367E-2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1976152.81269</v>
      </c>
      <c r="D19" s="79">
        <f>+D15*D18</f>
        <v>1408807.9793839999</v>
      </c>
      <c r="E19" s="79">
        <f>+D19-C19</f>
        <v>-567344.8333060001</v>
      </c>
      <c r="F19" s="80">
        <f>IF(C19=0,0,+E19/C19)</f>
        <v>-0.28709562826455354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801.03478422780711</v>
      </c>
      <c r="D20" s="79">
        <f>IF(D13=0,0,+D19/D13)</f>
        <v>563.52319175360003</v>
      </c>
      <c r="E20" s="79">
        <f>+D20-C20</f>
        <v>-237.51159247420708</v>
      </c>
      <c r="F20" s="80">
        <f>IF(C20=0,0,+E20/C20)</f>
        <v>-0.29650596597146139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951484</v>
      </c>
      <c r="D22" s="76">
        <v>1269114</v>
      </c>
      <c r="E22" s="76">
        <f>+D22-C22</f>
        <v>317630</v>
      </c>
      <c r="F22" s="77">
        <f>IF(C22=0,0,+E22/C22)</f>
        <v>0.33382589723001121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1261318</v>
      </c>
      <c r="D23" s="185">
        <v>847211</v>
      </c>
      <c r="E23" s="185">
        <f>+D23-C23</f>
        <v>-414107</v>
      </c>
      <c r="F23" s="77">
        <f>IF(C23=0,0,+E23/C23)</f>
        <v>-0.32831292346577151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2740831</v>
      </c>
      <c r="D24" s="185">
        <v>1792557</v>
      </c>
      <c r="E24" s="185">
        <f>+D24-C24</f>
        <v>-948274</v>
      </c>
      <c r="F24" s="77">
        <f>IF(C24=0,0,+E24/C24)</f>
        <v>-0.34598047088638445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4953633</v>
      </c>
      <c r="D25" s="79">
        <f>+D22+D23+D24</f>
        <v>3908882</v>
      </c>
      <c r="E25" s="79">
        <f>+E22+E23+E24</f>
        <v>-1044751</v>
      </c>
      <c r="F25" s="80">
        <f>IF(C25=0,0,+E25/C25)</f>
        <v>-0.21090601584735891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754</v>
      </c>
      <c r="D27" s="185">
        <v>1097</v>
      </c>
      <c r="E27" s="185">
        <f>+D27-C27</f>
        <v>343</v>
      </c>
      <c r="F27" s="77">
        <f>IF(C27=0,0,+E27/C27)</f>
        <v>0.45490716180371354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158</v>
      </c>
      <c r="D28" s="185">
        <v>199</v>
      </c>
      <c r="E28" s="185">
        <f>+D28-C28</f>
        <v>41</v>
      </c>
      <c r="F28" s="77">
        <f>IF(C28=0,0,+E28/C28)</f>
        <v>0.25949367088607594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2288</v>
      </c>
      <c r="D29" s="185">
        <v>1400</v>
      </c>
      <c r="E29" s="185">
        <f>+D29-C29</f>
        <v>-888</v>
      </c>
      <c r="F29" s="77">
        <f>IF(C29=0,0,+E29/C29)</f>
        <v>-0.38811188811188813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1273</v>
      </c>
      <c r="D30" s="185">
        <v>1647</v>
      </c>
      <c r="E30" s="185">
        <f>+D30-C30</f>
        <v>374</v>
      </c>
      <c r="F30" s="77">
        <f>IF(C30=0,0,+E30/C30)</f>
        <v>0.29379418695993714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1651887</v>
      </c>
      <c r="D33" s="76">
        <v>1425373</v>
      </c>
      <c r="E33" s="76">
        <f>+D33-C33</f>
        <v>-226514</v>
      </c>
      <c r="F33" s="77">
        <f>IF(C33=0,0,+E33/C33)</f>
        <v>-0.13712439168054474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3239580</v>
      </c>
      <c r="D34" s="185">
        <v>1313642</v>
      </c>
      <c r="E34" s="185">
        <f>+D34-C34</f>
        <v>-1925938</v>
      </c>
      <c r="F34" s="77">
        <f>IF(C34=0,0,+E34/C34)</f>
        <v>-0.59450237376450032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1490840</v>
      </c>
      <c r="D35" s="185">
        <v>2779446</v>
      </c>
      <c r="E35" s="185">
        <f>+D35-C35</f>
        <v>1288606</v>
      </c>
      <c r="F35" s="77">
        <f>IF(C35=0,0,+E35/C35)</f>
        <v>0.86434895763462205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6382307</v>
      </c>
      <c r="D36" s="79">
        <f>+D33+D34+D35</f>
        <v>5518461</v>
      </c>
      <c r="E36" s="79">
        <f>+E33+E34+E35</f>
        <v>-863846</v>
      </c>
      <c r="F36" s="80">
        <f>IF(C36=0,0,+E36/C36)</f>
        <v>-0.13535011712849288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4953633</v>
      </c>
      <c r="D39" s="76">
        <f>+D25</f>
        <v>3908882</v>
      </c>
      <c r="E39" s="76">
        <f>+D39-C39</f>
        <v>-1044751</v>
      </c>
      <c r="F39" s="77">
        <f>IF(C39=0,0,+E39/C39)</f>
        <v>-0.21090601584735891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6382307</v>
      </c>
      <c r="D40" s="185">
        <f>+D36</f>
        <v>5518461</v>
      </c>
      <c r="E40" s="185">
        <f>+D40-C40</f>
        <v>-863846</v>
      </c>
      <c r="F40" s="77">
        <f>IF(C40=0,0,+E40/C40)</f>
        <v>-0.13535011712849288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11335940</v>
      </c>
      <c r="D41" s="79">
        <f>+D39+D40</f>
        <v>9427343</v>
      </c>
      <c r="E41" s="79">
        <f>+E39+E40</f>
        <v>-1908597</v>
      </c>
      <c r="F41" s="80">
        <f>IF(C41=0,0,+E41/C41)</f>
        <v>-0.16836689326160864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2603371</v>
      </c>
      <c r="D43" s="76">
        <f t="shared" si="0"/>
        <v>2694487</v>
      </c>
      <c r="E43" s="76">
        <f>+D43-C43</f>
        <v>91116</v>
      </c>
      <c r="F43" s="77">
        <f>IF(C43=0,0,+E43/C43)</f>
        <v>3.4999237527037062E-2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4500898</v>
      </c>
      <c r="D44" s="185">
        <f t="shared" si="0"/>
        <v>2160853</v>
      </c>
      <c r="E44" s="185">
        <f>+D44-C44</f>
        <v>-2340045</v>
      </c>
      <c r="F44" s="77">
        <f>IF(C44=0,0,+E44/C44)</f>
        <v>-0.51990624981948041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4231671</v>
      </c>
      <c r="D45" s="185">
        <f t="shared" si="0"/>
        <v>4572003</v>
      </c>
      <c r="E45" s="185">
        <f>+D45-C45</f>
        <v>340332</v>
      </c>
      <c r="F45" s="77">
        <f>IF(C45=0,0,+E45/C45)</f>
        <v>8.0424966874787757E-2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11335940</v>
      </c>
      <c r="D46" s="79">
        <f>+D43+D44+D45</f>
        <v>9427343</v>
      </c>
      <c r="E46" s="79">
        <f>+E43+E44+E45</f>
        <v>-1908597</v>
      </c>
      <c r="F46" s="80">
        <f>IF(C46=0,0,+E46/C46)</f>
        <v>-0.16836689326160864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9" t="s">
        <v>912</v>
      </c>
      <c r="B48" s="830"/>
      <c r="C48" s="830"/>
      <c r="D48" s="830"/>
      <c r="E48" s="830"/>
      <c r="F48" s="831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5" t="s">
        <v>0</v>
      </c>
      <c r="B2" s="836"/>
      <c r="C2" s="836"/>
      <c r="D2" s="836"/>
      <c r="E2" s="836"/>
      <c r="F2" s="837"/>
    </row>
    <row r="3" spans="1:14" ht="15.75" customHeight="1" x14ac:dyDescent="0.25">
      <c r="A3" s="835" t="s">
        <v>630</v>
      </c>
      <c r="B3" s="836"/>
      <c r="C3" s="836"/>
      <c r="D3" s="836"/>
      <c r="E3" s="836"/>
      <c r="F3" s="837"/>
    </row>
    <row r="4" spans="1:14" ht="15.75" customHeight="1" x14ac:dyDescent="0.25">
      <c r="A4" s="835" t="s">
        <v>2</v>
      </c>
      <c r="B4" s="836"/>
      <c r="C4" s="836"/>
      <c r="D4" s="836"/>
      <c r="E4" s="836"/>
      <c r="F4" s="837"/>
    </row>
    <row r="5" spans="1:14" ht="15.75" customHeight="1" x14ac:dyDescent="0.25">
      <c r="A5" s="835" t="s">
        <v>913</v>
      </c>
      <c r="B5" s="836"/>
      <c r="C5" s="836"/>
      <c r="D5" s="836"/>
      <c r="E5" s="836"/>
      <c r="F5" s="837"/>
    </row>
    <row r="6" spans="1:14" ht="15.75" customHeight="1" x14ac:dyDescent="0.25">
      <c r="A6" s="835" t="s">
        <v>914</v>
      </c>
      <c r="B6" s="836"/>
      <c r="C6" s="836"/>
      <c r="D6" s="836"/>
      <c r="E6" s="836"/>
      <c r="F6" s="837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192665512</v>
      </c>
      <c r="D15" s="76">
        <v>211134171</v>
      </c>
      <c r="E15" s="76">
        <f>+D15-C15</f>
        <v>18468659</v>
      </c>
      <c r="F15" s="77">
        <f>IF(C15=0,0,E15/C15)</f>
        <v>9.5858666184117064E-2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104971589</v>
      </c>
      <c r="D17" s="76">
        <v>122721019</v>
      </c>
      <c r="E17" s="76">
        <f>+D17-C17</f>
        <v>17749430</v>
      </c>
      <c r="F17" s="77">
        <f>IF(C17=0,0,E17/C17)</f>
        <v>0.16908794245269546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87693923</v>
      </c>
      <c r="D19" s="79">
        <f>+D15-D17</f>
        <v>88413152</v>
      </c>
      <c r="E19" s="79">
        <f>+D19-C19</f>
        <v>719229</v>
      </c>
      <c r="F19" s="80">
        <f>IF(C19=0,0,E19/C19)</f>
        <v>8.2015831359260778E-3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0.54483850228472652</v>
      </c>
      <c r="D21" s="720">
        <f>IF(D15=0,0,D17/D15)</f>
        <v>0.58124659982206295</v>
      </c>
      <c r="E21" s="720">
        <f>+D21-C21</f>
        <v>3.6408097537336426E-2</v>
      </c>
      <c r="F21" s="80">
        <f>IF(C21=0,0,E21/C21)</f>
        <v>6.6823650282905225E-2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8" t="s">
        <v>921</v>
      </c>
      <c r="B26" s="839"/>
      <c r="C26" s="839"/>
      <c r="D26" s="839"/>
      <c r="E26" s="839"/>
      <c r="F26" s="840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41" t="s">
        <v>0</v>
      </c>
      <c r="B1" s="841"/>
      <c r="C1" s="841"/>
      <c r="D1" s="841"/>
      <c r="E1" s="841"/>
      <c r="F1" s="732"/>
    </row>
    <row r="2" spans="1:6" ht="26.1" customHeight="1" x14ac:dyDescent="0.25">
      <c r="A2" s="841" t="s">
        <v>1</v>
      </c>
      <c r="B2" s="841"/>
      <c r="C2" s="841"/>
      <c r="D2" s="841"/>
      <c r="E2" s="841"/>
      <c r="F2" s="732"/>
    </row>
    <row r="3" spans="1:6" ht="26.1" customHeight="1" x14ac:dyDescent="0.25">
      <c r="A3" s="841" t="s">
        <v>2</v>
      </c>
      <c r="B3" s="841"/>
      <c r="C3" s="841"/>
      <c r="D3" s="841"/>
      <c r="E3" s="841"/>
      <c r="F3" s="732"/>
    </row>
    <row r="4" spans="1:6" ht="26.1" customHeight="1" x14ac:dyDescent="0.25">
      <c r="A4" s="841" t="s">
        <v>922</v>
      </c>
      <c r="B4" s="841"/>
      <c r="C4" s="841"/>
      <c r="D4" s="841"/>
      <c r="E4" s="841"/>
      <c r="F4" s="732"/>
    </row>
    <row r="5" spans="1:6" ht="26.1" customHeight="1" x14ac:dyDescent="0.2">
      <c r="A5" s="842"/>
      <c r="B5" s="842"/>
      <c r="C5" s="842"/>
      <c r="D5" s="842"/>
      <c r="E5" s="842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150353329</v>
      </c>
      <c r="D10" s="744">
        <v>185302227</v>
      </c>
      <c r="E10" s="744">
        <v>225513088</v>
      </c>
    </row>
    <row r="11" spans="1:6" ht="26.1" customHeight="1" x14ac:dyDescent="0.25">
      <c r="A11" s="742">
        <v>2</v>
      </c>
      <c r="B11" s="743" t="s">
        <v>933</v>
      </c>
      <c r="C11" s="744">
        <v>270967534</v>
      </c>
      <c r="D11" s="744">
        <v>306599579</v>
      </c>
      <c r="E11" s="744">
        <v>337511329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421320863</v>
      </c>
      <c r="D12" s="744">
        <f>+D11+D10</f>
        <v>491901806</v>
      </c>
      <c r="E12" s="744">
        <f>+E11+E10</f>
        <v>563024417</v>
      </c>
    </row>
    <row r="13" spans="1:6" ht="26.1" customHeight="1" x14ac:dyDescent="0.25">
      <c r="A13" s="742">
        <v>4</v>
      </c>
      <c r="B13" s="743" t="s">
        <v>507</v>
      </c>
      <c r="C13" s="744">
        <v>166602260</v>
      </c>
      <c r="D13" s="744">
        <v>175217566</v>
      </c>
      <c r="E13" s="744">
        <v>170299621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173322666</v>
      </c>
      <c r="D16" s="744">
        <v>184446001</v>
      </c>
      <c r="E16" s="744">
        <v>188335086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43475</v>
      </c>
      <c r="D19" s="747">
        <v>45545</v>
      </c>
      <c r="E19" s="747">
        <v>46662</v>
      </c>
    </row>
    <row r="20" spans="1:5" ht="26.1" customHeight="1" x14ac:dyDescent="0.25">
      <c r="A20" s="742">
        <v>2</v>
      </c>
      <c r="B20" s="743" t="s">
        <v>381</v>
      </c>
      <c r="C20" s="748">
        <v>9281</v>
      </c>
      <c r="D20" s="748">
        <v>8831</v>
      </c>
      <c r="E20" s="748">
        <v>9342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4.6843012606400176</v>
      </c>
      <c r="D21" s="749">
        <f>IF(D20=0,0,+D19/D20)</f>
        <v>5.1574000679424756</v>
      </c>
      <c r="E21" s="749">
        <f>IF(E20=0,0,+E19/E20)</f>
        <v>4.9948619139370587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121825.86604999614</v>
      </c>
      <c r="D22" s="748">
        <f>IF(D10=0,0,D19*(D12/D10))</f>
        <v>120903.39181012649</v>
      </c>
      <c r="E22" s="748">
        <f>IF(E10=0,0,E19*(E12/E10))</f>
        <v>116498.09587128708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26007.265389534543</v>
      </c>
      <c r="D23" s="748">
        <f>IF(D10=0,0,D20*(D12/D10))</f>
        <v>23442.701791090723</v>
      </c>
      <c r="E23" s="748">
        <f>IF(E10=0,0,E20*(E12/E10))</f>
        <v>23323.586893608586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1.1207939984915418</v>
      </c>
      <c r="D26" s="750">
        <v>1.1529057558600384</v>
      </c>
      <c r="E26" s="750">
        <v>1.19254726825091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48726.519084419779</v>
      </c>
      <c r="D27" s="748">
        <f>D19*D26</f>
        <v>52509.092650645449</v>
      </c>
      <c r="E27" s="748">
        <f>E19*E26</f>
        <v>55646.640631123963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10402.089099999999</v>
      </c>
      <c r="D28" s="748">
        <f>D20*D26</f>
        <v>10181.310729999999</v>
      </c>
      <c r="E28" s="748">
        <f>E20*E26</f>
        <v>11140.776580000002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136541.69952987015</v>
      </c>
      <c r="D29" s="748">
        <f>D22*D26</f>
        <v>139390.21632089626</v>
      </c>
      <c r="E29" s="748">
        <f>E22*E26</f>
        <v>138929.48598773603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29148.786965767107</v>
      </c>
      <c r="D30" s="748">
        <f>D23*D26</f>
        <v>27027.225827858925</v>
      </c>
      <c r="E30" s="748">
        <f>E23*E26</f>
        <v>27814.479835785645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9691.1066820011492</v>
      </c>
      <c r="D33" s="744">
        <f>IF(D19=0,0,D12/D19)</f>
        <v>10800.347041387638</v>
      </c>
      <c r="E33" s="744">
        <f>IF(E19=0,0,E12/E19)</f>
        <v>12066.015537268013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45396.06324749488</v>
      </c>
      <c r="D34" s="744">
        <f>IF(D20=0,0,D12/D20)</f>
        <v>55701.71056505492</v>
      </c>
      <c r="E34" s="744">
        <f>IF(E20=0,0,E12/E20)</f>
        <v>60268.08146007279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3458.3859459459459</v>
      </c>
      <c r="D35" s="744">
        <f>IF(D22=0,0,D12/D22)</f>
        <v>4068.5525743769899</v>
      </c>
      <c r="E35" s="744">
        <f>IF(E22=0,0,E12/E22)</f>
        <v>4832.906604946209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16200.121646374311</v>
      </c>
      <c r="D36" s="744">
        <f>IF(D23=0,0,D12/D23)</f>
        <v>20983.153323519422</v>
      </c>
      <c r="E36" s="744">
        <f>IF(E23=0,0,E12/E23)</f>
        <v>24139.701134660674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3085.6570882789615</v>
      </c>
      <c r="D37" s="744">
        <f>IF(D29=0,0,D12/D29)</f>
        <v>3528.9550370419938</v>
      </c>
      <c r="E37" s="744">
        <f>IF(E29=0,0,E12/E29)</f>
        <v>4052.5912335823432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14454.147388527945</v>
      </c>
      <c r="D38" s="744">
        <f>IF(D30=0,0,D12/D30)</f>
        <v>18200.232947806322</v>
      </c>
      <c r="E38" s="744">
        <f>IF(E30=0,0,E12/E30)</f>
        <v>20242.133605375649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1234.1658949364371</v>
      </c>
      <c r="D39" s="744">
        <f>IF(D22=0,0,D10/D22)</f>
        <v>1532.647051713893</v>
      </c>
      <c r="E39" s="744">
        <f>IF(E22=0,0,E10/E22)</f>
        <v>1935.766299984492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5781.2048574896671</v>
      </c>
      <c r="D40" s="744">
        <f>IF(D23=0,0,D10/D23)</f>
        <v>7904.4740086410666</v>
      </c>
      <c r="E40" s="744">
        <f>IF(E23=0,0,E10/E23)</f>
        <v>9668.8853660753975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3832.1393904542842</v>
      </c>
      <c r="D43" s="744">
        <f>IF(D19=0,0,D13/D19)</f>
        <v>3847.1306619826546</v>
      </c>
      <c r="E43" s="744">
        <f>IF(E19=0,0,E13/E19)</f>
        <v>3649.6425571128543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17950.895377653269</v>
      </c>
      <c r="D44" s="744">
        <f>IF(D20=0,0,D13/D20)</f>
        <v>19841.191937492924</v>
      </c>
      <c r="E44" s="744">
        <f>IF(E20=0,0,E13/E20)</f>
        <v>18229.460608006852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1367.5442285107833</v>
      </c>
      <c r="D45" s="744">
        <f>IF(D22=0,0,D13/D22)</f>
        <v>1449.2361494305433</v>
      </c>
      <c r="E45" s="744">
        <f>IF(E22=0,0,E13/E22)</f>
        <v>1461.8232145884645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6405.9891535940415</v>
      </c>
      <c r="D46" s="744">
        <f>IF(D23=0,0,D13/D23)</f>
        <v>7474.2906155377759</v>
      </c>
      <c r="E46" s="744">
        <f>IF(E23=0,0,E13/E23)</f>
        <v>7301.6050994569614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1220.1566303453967</v>
      </c>
      <c r="D47" s="744">
        <f>IF(D29=0,0,D13/D29)</f>
        <v>1257.0291561684935</v>
      </c>
      <c r="E47" s="744">
        <f>IF(E29=0,0,E13/E29)</f>
        <v>1225.7989712495817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5715.5812417052166</v>
      </c>
      <c r="D48" s="744">
        <f>IF(D30=0,0,D13/D30)</f>
        <v>6483.0022554290617</v>
      </c>
      <c r="E48" s="744">
        <f>IF(E30=0,0,E13/E30)</f>
        <v>6122.6965956377635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3986.7203220241518</v>
      </c>
      <c r="D51" s="744">
        <f>IF(D19=0,0,D16/D19)</f>
        <v>4049.7530135031288</v>
      </c>
      <c r="E51" s="744">
        <f>IF(E19=0,0,E16/E19)</f>
        <v>4036.1554584029832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18674.999030276911</v>
      </c>
      <c r="D52" s="744">
        <f>IF(D20=0,0,D16/D20)</f>
        <v>20886.196466991281</v>
      </c>
      <c r="E52" s="744">
        <f>IF(E20=0,0,E16/E20)</f>
        <v>20160.03917790623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1422.7082607306897</v>
      </c>
      <c r="D53" s="744">
        <f>IF(D22=0,0,D16/D22)</f>
        <v>1525.5651494845108</v>
      </c>
      <c r="E53" s="744">
        <f>IF(E22=0,0,E16/E22)</f>
        <v>1616.6366032976368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6664.3940992637363</v>
      </c>
      <c r="D54" s="744">
        <f>IF(D23=0,0,D16/D23)</f>
        <v>7867.9498056020893</v>
      </c>
      <c r="E54" s="744">
        <f>IF(E23=0,0,E16/E23)</f>
        <v>8074.8765984879401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1269.3753380598837</v>
      </c>
      <c r="D55" s="744">
        <f>IF(D29=0,0,D16/D29)</f>
        <v>1323.2349146756387</v>
      </c>
      <c r="E55" s="744">
        <f>IF(E29=0,0,E16/E29)</f>
        <v>1355.6163737381512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5946.1364962992611</v>
      </c>
      <c r="D56" s="744">
        <f>IF(D30=0,0,D16/D30)</f>
        <v>6824.4518388519955</v>
      </c>
      <c r="E56" s="744">
        <f>IF(E30=0,0,E16/E30)</f>
        <v>6771.1165950941577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26184283</v>
      </c>
      <c r="D59" s="752">
        <v>27483799</v>
      </c>
      <c r="E59" s="752">
        <v>27731842</v>
      </c>
    </row>
    <row r="60" spans="1:6" ht="26.1" customHeight="1" x14ac:dyDescent="0.25">
      <c r="A60" s="742">
        <v>2</v>
      </c>
      <c r="B60" s="743" t="s">
        <v>969</v>
      </c>
      <c r="C60" s="752">
        <v>8134838</v>
      </c>
      <c r="D60" s="752">
        <v>9278681</v>
      </c>
      <c r="E60" s="752">
        <v>10096694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34319121</v>
      </c>
      <c r="D61" s="755">
        <f>D59+D60</f>
        <v>36762480</v>
      </c>
      <c r="E61" s="755">
        <f>E59+E60</f>
        <v>37828536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5856368</v>
      </c>
      <c r="D64" s="744">
        <v>7064262</v>
      </c>
      <c r="E64" s="752">
        <v>7727228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1698577</v>
      </c>
      <c r="D65" s="752">
        <v>2196063</v>
      </c>
      <c r="E65" s="752">
        <v>2592137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7554945</v>
      </c>
      <c r="D66" s="757">
        <f>D64+D65</f>
        <v>9260325</v>
      </c>
      <c r="E66" s="757">
        <f>E64+E65</f>
        <v>10319365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45540909</v>
      </c>
      <c r="D69" s="752">
        <v>47001764</v>
      </c>
      <c r="E69" s="752">
        <v>48450279</v>
      </c>
    </row>
    <row r="70" spans="1:6" ht="26.1" customHeight="1" x14ac:dyDescent="0.25">
      <c r="A70" s="742">
        <v>2</v>
      </c>
      <c r="B70" s="743" t="s">
        <v>977</v>
      </c>
      <c r="C70" s="752">
        <v>11946049</v>
      </c>
      <c r="D70" s="752">
        <v>13392508</v>
      </c>
      <c r="E70" s="752">
        <v>14969960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57486958</v>
      </c>
      <c r="D71" s="755">
        <f>D69+D70</f>
        <v>60394272</v>
      </c>
      <c r="E71" s="755">
        <f>E69+E70</f>
        <v>63420239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77581560</v>
      </c>
      <c r="D75" s="744">
        <f t="shared" si="0"/>
        <v>81549825</v>
      </c>
      <c r="E75" s="744">
        <f t="shared" si="0"/>
        <v>83909349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21779464</v>
      </c>
      <c r="D76" s="744">
        <f t="shared" si="0"/>
        <v>24867252</v>
      </c>
      <c r="E76" s="744">
        <f t="shared" si="0"/>
        <v>27658791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99361024</v>
      </c>
      <c r="D77" s="757">
        <f>D75+D76</f>
        <v>106417077</v>
      </c>
      <c r="E77" s="757">
        <f>E75+E76</f>
        <v>111568140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321</v>
      </c>
      <c r="D80" s="749">
        <v>325</v>
      </c>
      <c r="E80" s="749">
        <v>326.2</v>
      </c>
    </row>
    <row r="81" spans="1:5" ht="26.1" customHeight="1" x14ac:dyDescent="0.25">
      <c r="A81" s="742">
        <v>2</v>
      </c>
      <c r="B81" s="743" t="s">
        <v>617</v>
      </c>
      <c r="C81" s="749">
        <v>16.7</v>
      </c>
      <c r="D81" s="749">
        <v>14.6</v>
      </c>
      <c r="E81" s="749">
        <v>27.8</v>
      </c>
    </row>
    <row r="82" spans="1:5" ht="26.1" customHeight="1" x14ac:dyDescent="0.25">
      <c r="A82" s="742">
        <v>3</v>
      </c>
      <c r="B82" s="743" t="s">
        <v>983</v>
      </c>
      <c r="C82" s="749">
        <v>801.2</v>
      </c>
      <c r="D82" s="749">
        <v>736.2</v>
      </c>
      <c r="E82" s="749">
        <v>754.7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1138.9000000000001</v>
      </c>
      <c r="D83" s="759">
        <f>D80+D81+D82</f>
        <v>1075.8000000000002</v>
      </c>
      <c r="E83" s="759">
        <f>E80+E81+E82</f>
        <v>1108.7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81570.975077881623</v>
      </c>
      <c r="D86" s="752">
        <f>IF(D80=0,0,D59/D80)</f>
        <v>84565.535384615388</v>
      </c>
      <c r="E86" s="752">
        <f>IF(E80=0,0,E59/E80)</f>
        <v>85014.843654199882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25342.174454828659</v>
      </c>
      <c r="D87" s="752">
        <f>IF(D80=0,0,D60/D80)</f>
        <v>28549.787692307691</v>
      </c>
      <c r="E87" s="752">
        <f>IF(E80=0,0,E60/E80)</f>
        <v>30952.464745554877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106913.14953271029</v>
      </c>
      <c r="D88" s="755">
        <f>+D86+D87</f>
        <v>113115.32307692309</v>
      </c>
      <c r="E88" s="755">
        <f>+E86+E87</f>
        <v>115967.30839975475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350680.71856287424</v>
      </c>
      <c r="D91" s="744">
        <f>IF(D81=0,0,D64/D81)</f>
        <v>483853.56164383562</v>
      </c>
      <c r="E91" s="744">
        <f>IF(E81=0,0,E64/E81)</f>
        <v>277957.8417266187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101711.19760479042</v>
      </c>
      <c r="D92" s="744">
        <f>IF(D81=0,0,D65/D81)</f>
        <v>150415.27397260274</v>
      </c>
      <c r="E92" s="744">
        <f>IF(E81=0,0,E65/E81)</f>
        <v>93242.338129496406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452391.91616766469</v>
      </c>
      <c r="D93" s="757">
        <f>+D91+D92</f>
        <v>634268.83561643842</v>
      </c>
      <c r="E93" s="757">
        <f>+E91+E92</f>
        <v>371200.17985611514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56840.87493759361</v>
      </c>
      <c r="D96" s="752">
        <f>IF(D82=0,0,D69/D82)</f>
        <v>63843.743547948921</v>
      </c>
      <c r="E96" s="752">
        <f>IF(E82=0,0,E69/E82)</f>
        <v>64198.064131442952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14910.1959560659</v>
      </c>
      <c r="D97" s="752">
        <f>IF(D82=0,0,D70/D82)</f>
        <v>18191.399076337952</v>
      </c>
      <c r="E97" s="752">
        <f>IF(E82=0,0,E70/E82)</f>
        <v>19835.643301974294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71751.070893659504</v>
      </c>
      <c r="D98" s="757">
        <f>+D96+D97</f>
        <v>82035.142624286877</v>
      </c>
      <c r="E98" s="757">
        <f>+E96+E97</f>
        <v>84033.70743341725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68119.729563614004</v>
      </c>
      <c r="D101" s="744">
        <f>IF(D83=0,0,D75/D83)</f>
        <v>75803.890128276616</v>
      </c>
      <c r="E101" s="744">
        <f>IF(E83=0,0,E75/E83)</f>
        <v>75682.645440606109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19123.245236631836</v>
      </c>
      <c r="D102" s="761">
        <f>IF(D83=0,0,D76/D83)</f>
        <v>23115.125488008918</v>
      </c>
      <c r="E102" s="761">
        <f>IF(E83=0,0,E76/E83)</f>
        <v>24947.04699197258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87242.974800245836</v>
      </c>
      <c r="D103" s="757">
        <f>+D101+D102</f>
        <v>98919.015616285527</v>
      </c>
      <c r="E103" s="757">
        <f>+E101+E102</f>
        <v>100629.69243257868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2285.4749626221965</v>
      </c>
      <c r="D108" s="744">
        <f>IF(D19=0,0,D77/D19)</f>
        <v>2336.5260072455812</v>
      </c>
      <c r="E108" s="744">
        <f>IF(E19=0,0,E77/E19)</f>
        <v>2390.9849556384211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10705.853248572352</v>
      </c>
      <c r="D109" s="744">
        <f>IF(D20=0,0,D77/D20)</f>
        <v>12050.399388517722</v>
      </c>
      <c r="E109" s="744">
        <f>IF(E20=0,0,E77/E20)</f>
        <v>11942.639691714836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815.5987494414627</v>
      </c>
      <c r="D110" s="744">
        <f>IF(D22=0,0,D77/D22)</f>
        <v>880.18272611510679</v>
      </c>
      <c r="E110" s="744">
        <f>IF(E22=0,0,E77/E22)</f>
        <v>957.68209055765226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3820.5102501850652</v>
      </c>
      <c r="D111" s="744">
        <f>IF(D23=0,0,D77/D23)</f>
        <v>4539.4544514678446</v>
      </c>
      <c r="E111" s="744">
        <f>IF(E23=0,0,E77/E23)</f>
        <v>4783.489799786038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727.69728472775876</v>
      </c>
      <c r="D112" s="744">
        <f>IF(D29=0,0,D77/D29)</f>
        <v>763.44724765339799</v>
      </c>
      <c r="E112" s="744">
        <f>IF(E29=0,0,E77/E29)</f>
        <v>803.05587548095195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3408.7533082145574</v>
      </c>
      <c r="D113" s="744">
        <f>IF(D30=0,0,D77/D30)</f>
        <v>3937.4028869181307</v>
      </c>
      <c r="E113" s="744">
        <f>IF(E30=0,0,E77/E30)</f>
        <v>4011.1532072031882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9" t="s">
        <v>0</v>
      </c>
      <c r="B1" s="770"/>
      <c r="C1" s="770"/>
      <c r="D1" s="770"/>
      <c r="E1" s="770"/>
      <c r="F1" s="771"/>
    </row>
    <row r="2" spans="1:8" ht="23.1" customHeight="1" x14ac:dyDescent="0.25">
      <c r="A2" s="769" t="s">
        <v>1</v>
      </c>
      <c r="B2" s="770"/>
      <c r="C2" s="770"/>
      <c r="D2" s="770"/>
      <c r="E2" s="770"/>
      <c r="F2" s="771"/>
    </row>
    <row r="3" spans="1:8" ht="23.1" customHeight="1" x14ac:dyDescent="0.25">
      <c r="A3" s="769" t="s">
        <v>2</v>
      </c>
      <c r="B3" s="770"/>
      <c r="C3" s="770"/>
      <c r="D3" s="770"/>
      <c r="E3" s="770"/>
      <c r="F3" s="771"/>
    </row>
    <row r="4" spans="1:8" ht="23.1" customHeight="1" x14ac:dyDescent="0.25">
      <c r="A4" s="769" t="s">
        <v>69</v>
      </c>
      <c r="B4" s="770"/>
      <c r="C4" s="770"/>
      <c r="D4" s="770"/>
      <c r="E4" s="770"/>
      <c r="F4" s="771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491901806</v>
      </c>
      <c r="D12" s="76">
        <v>563024416</v>
      </c>
      <c r="E12" s="76">
        <f t="shared" ref="E12:E21" si="0">D12-C12</f>
        <v>71122610</v>
      </c>
      <c r="F12" s="77">
        <f t="shared" ref="F12:F21" si="1">IF(C12=0,0,E12/C12)</f>
        <v>0.14458700726949558</v>
      </c>
    </row>
    <row r="13" spans="1:8" ht="23.1" customHeight="1" x14ac:dyDescent="0.2">
      <c r="A13" s="74">
        <v>2</v>
      </c>
      <c r="B13" s="75" t="s">
        <v>72</v>
      </c>
      <c r="C13" s="76">
        <v>311730607</v>
      </c>
      <c r="D13" s="76">
        <v>383297452</v>
      </c>
      <c r="E13" s="76">
        <f t="shared" si="0"/>
        <v>71566845</v>
      </c>
      <c r="F13" s="77">
        <f t="shared" si="1"/>
        <v>0.22957914106907057</v>
      </c>
    </row>
    <row r="14" spans="1:8" ht="23.1" customHeight="1" x14ac:dyDescent="0.2">
      <c r="A14" s="74">
        <v>3</v>
      </c>
      <c r="B14" s="75" t="s">
        <v>73</v>
      </c>
      <c r="C14" s="76">
        <v>4953633</v>
      </c>
      <c r="D14" s="76">
        <v>3908882</v>
      </c>
      <c r="E14" s="76">
        <f t="shared" si="0"/>
        <v>-1044751</v>
      </c>
      <c r="F14" s="77">
        <f t="shared" si="1"/>
        <v>-0.21090601584735891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175217566</v>
      </c>
      <c r="D16" s="79">
        <f>D12-D13-D14-D15</f>
        <v>175818082</v>
      </c>
      <c r="E16" s="79">
        <f t="shared" si="0"/>
        <v>600516</v>
      </c>
      <c r="F16" s="80">
        <f t="shared" si="1"/>
        <v>3.4272591139634938E-3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5518461</v>
      </c>
      <c r="E17" s="76">
        <f t="shared" si="0"/>
        <v>5518461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175217566</v>
      </c>
      <c r="D18" s="79">
        <f>D16-D17</f>
        <v>170299621</v>
      </c>
      <c r="E18" s="79">
        <f t="shared" si="0"/>
        <v>-4917945</v>
      </c>
      <c r="F18" s="80">
        <f t="shared" si="1"/>
        <v>-2.8067648194587978E-2</v>
      </c>
    </row>
    <row r="19" spans="1:7" ht="23.1" customHeight="1" x14ac:dyDescent="0.2">
      <c r="A19" s="74">
        <v>6</v>
      </c>
      <c r="B19" s="75" t="s">
        <v>78</v>
      </c>
      <c r="C19" s="76">
        <v>19545250</v>
      </c>
      <c r="D19" s="76">
        <v>17830492</v>
      </c>
      <c r="E19" s="76">
        <f t="shared" si="0"/>
        <v>-1714758</v>
      </c>
      <c r="F19" s="77">
        <f t="shared" si="1"/>
        <v>-8.7732722784308215E-2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316686</v>
      </c>
      <c r="D20" s="76">
        <v>1458982</v>
      </c>
      <c r="E20" s="76">
        <f t="shared" si="0"/>
        <v>1142296</v>
      </c>
      <c r="F20" s="77">
        <f t="shared" si="1"/>
        <v>3.6070303076233241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195079502</v>
      </c>
      <c r="D21" s="79">
        <f>SUM(D18:D20)</f>
        <v>189589095</v>
      </c>
      <c r="E21" s="79">
        <f t="shared" si="0"/>
        <v>-5490407</v>
      </c>
      <c r="F21" s="80">
        <f t="shared" si="1"/>
        <v>-2.8144458765329429E-2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81549825</v>
      </c>
      <c r="D24" s="76">
        <v>83909349</v>
      </c>
      <c r="E24" s="76">
        <f t="shared" ref="E24:E33" si="2">D24-C24</f>
        <v>2359524</v>
      </c>
      <c r="F24" s="77">
        <f t="shared" ref="F24:F33" si="3">IF(C24=0,0,E24/C24)</f>
        <v>2.8933526221546154E-2</v>
      </c>
    </row>
    <row r="25" spans="1:7" ht="23.1" customHeight="1" x14ac:dyDescent="0.2">
      <c r="A25" s="74">
        <v>2</v>
      </c>
      <c r="B25" s="75" t="s">
        <v>83</v>
      </c>
      <c r="C25" s="76">
        <v>24867252</v>
      </c>
      <c r="D25" s="76">
        <v>27658791</v>
      </c>
      <c r="E25" s="76">
        <f t="shared" si="2"/>
        <v>2791539</v>
      </c>
      <c r="F25" s="77">
        <f t="shared" si="3"/>
        <v>0.11225763908291918</v>
      </c>
    </row>
    <row r="26" spans="1:7" ht="23.1" customHeight="1" x14ac:dyDescent="0.2">
      <c r="A26" s="74">
        <v>3</v>
      </c>
      <c r="B26" s="75" t="s">
        <v>84</v>
      </c>
      <c r="C26" s="76">
        <v>7076665</v>
      </c>
      <c r="D26" s="76">
        <v>7801057</v>
      </c>
      <c r="E26" s="76">
        <f t="shared" si="2"/>
        <v>724392</v>
      </c>
      <c r="F26" s="77">
        <f t="shared" si="3"/>
        <v>0.10236347205922564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23608371</v>
      </c>
      <c r="D27" s="76">
        <v>24978549</v>
      </c>
      <c r="E27" s="76">
        <f t="shared" si="2"/>
        <v>1370178</v>
      </c>
      <c r="F27" s="77">
        <f t="shared" si="3"/>
        <v>5.8037803624824434E-2</v>
      </c>
    </row>
    <row r="28" spans="1:7" ht="23.1" customHeight="1" x14ac:dyDescent="0.2">
      <c r="A28" s="74">
        <v>5</v>
      </c>
      <c r="B28" s="75" t="s">
        <v>86</v>
      </c>
      <c r="C28" s="76">
        <v>6896812</v>
      </c>
      <c r="D28" s="76">
        <v>7115302</v>
      </c>
      <c r="E28" s="76">
        <f t="shared" si="2"/>
        <v>218490</v>
      </c>
      <c r="F28" s="77">
        <f t="shared" si="3"/>
        <v>3.1679854402294857E-2</v>
      </c>
    </row>
    <row r="29" spans="1:7" ht="23.1" customHeight="1" x14ac:dyDescent="0.2">
      <c r="A29" s="74">
        <v>6</v>
      </c>
      <c r="B29" s="75" t="s">
        <v>87</v>
      </c>
      <c r="C29" s="76">
        <v>6382307</v>
      </c>
      <c r="D29" s="76">
        <v>0</v>
      </c>
      <c r="E29" s="76">
        <f t="shared" si="2"/>
        <v>-6382307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2714044</v>
      </c>
      <c r="D30" s="76">
        <v>2685044</v>
      </c>
      <c r="E30" s="76">
        <f t="shared" si="2"/>
        <v>-29000</v>
      </c>
      <c r="F30" s="77">
        <f t="shared" si="3"/>
        <v>-1.0685162068116804E-2</v>
      </c>
    </row>
    <row r="31" spans="1:7" ht="23.1" customHeight="1" x14ac:dyDescent="0.2">
      <c r="A31" s="74">
        <v>8</v>
      </c>
      <c r="B31" s="75" t="s">
        <v>89</v>
      </c>
      <c r="C31" s="76">
        <v>4762176</v>
      </c>
      <c r="D31" s="76">
        <v>5929317</v>
      </c>
      <c r="E31" s="76">
        <f t="shared" si="2"/>
        <v>1167141</v>
      </c>
      <c r="F31" s="77">
        <f t="shared" si="3"/>
        <v>0.24508564992138049</v>
      </c>
    </row>
    <row r="32" spans="1:7" ht="23.1" customHeight="1" x14ac:dyDescent="0.2">
      <c r="A32" s="74">
        <v>9</v>
      </c>
      <c r="B32" s="75" t="s">
        <v>90</v>
      </c>
      <c r="C32" s="76">
        <v>26588549</v>
      </c>
      <c r="D32" s="76">
        <v>28257677</v>
      </c>
      <c r="E32" s="76">
        <f t="shared" si="2"/>
        <v>1669128</v>
      </c>
      <c r="F32" s="77">
        <f t="shared" si="3"/>
        <v>6.2776197377299531E-2</v>
      </c>
    </row>
    <row r="33" spans="1:6" ht="23.1" customHeight="1" x14ac:dyDescent="0.25">
      <c r="A33" s="71"/>
      <c r="B33" s="78" t="s">
        <v>91</v>
      </c>
      <c r="C33" s="79">
        <f>SUM(C24:C32)</f>
        <v>184446001</v>
      </c>
      <c r="D33" s="79">
        <f>SUM(D24:D32)</f>
        <v>188335086</v>
      </c>
      <c r="E33" s="79">
        <f t="shared" si="2"/>
        <v>3889085</v>
      </c>
      <c r="F33" s="80">
        <f t="shared" si="3"/>
        <v>2.1085222660913099E-2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10633501</v>
      </c>
      <c r="D35" s="79">
        <f>+D21-D33</f>
        <v>1254009</v>
      </c>
      <c r="E35" s="79">
        <f>D35-C35</f>
        <v>-9379492</v>
      </c>
      <c r="F35" s="80">
        <f>IF(C35=0,0,E35/C35)</f>
        <v>-0.88206997864579129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971</v>
      </c>
      <c r="D38" s="76">
        <v>2635</v>
      </c>
      <c r="E38" s="76">
        <f>D38-C38</f>
        <v>1664</v>
      </c>
      <c r="F38" s="77">
        <f>IF(C38=0,0,E38/C38)</f>
        <v>1.713697219361483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-869608</v>
      </c>
      <c r="D40" s="76">
        <v>-1469334</v>
      </c>
      <c r="E40" s="76">
        <f>D40-C40</f>
        <v>-599726</v>
      </c>
      <c r="F40" s="77">
        <f>IF(C40=0,0,E40/C40)</f>
        <v>0.68965096917231672</v>
      </c>
    </row>
    <row r="41" spans="1:6" ht="23.1" customHeight="1" x14ac:dyDescent="0.25">
      <c r="A41" s="83"/>
      <c r="B41" s="78" t="s">
        <v>97</v>
      </c>
      <c r="C41" s="79">
        <f>SUM(C38:C40)</f>
        <v>-868637</v>
      </c>
      <c r="D41" s="79">
        <f>SUM(D38:D40)</f>
        <v>-1466699</v>
      </c>
      <c r="E41" s="79">
        <f>D41-C41</f>
        <v>-598062</v>
      </c>
      <c r="F41" s="80">
        <f>IF(C41=0,0,E41/C41)</f>
        <v>0.68850624599228449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9764864</v>
      </c>
      <c r="D43" s="79">
        <f>D35+D41</f>
        <v>-212690</v>
      </c>
      <c r="E43" s="79">
        <f>D43-C43</f>
        <v>-9977554</v>
      </c>
      <c r="F43" s="80">
        <f>IF(C43=0,0,E43/C43)</f>
        <v>-1.0217811533268666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9764864</v>
      </c>
      <c r="D50" s="79">
        <f>D43+D48</f>
        <v>-212690</v>
      </c>
      <c r="E50" s="79">
        <f>D50-C50</f>
        <v>-9977554</v>
      </c>
      <c r="F50" s="80">
        <f>IF(C50=0,0,E50/C50)</f>
        <v>-1.0217811533268666</v>
      </c>
    </row>
    <row r="51" spans="1:6" ht="23.1" customHeight="1" x14ac:dyDescent="0.2">
      <c r="A51" s="85"/>
      <c r="B51" s="75" t="s">
        <v>104</v>
      </c>
      <c r="C51" s="76">
        <v>10033716</v>
      </c>
      <c r="D51" s="76">
        <v>10550272</v>
      </c>
      <c r="E51" s="76">
        <f>D51-C51</f>
        <v>516556</v>
      </c>
      <c r="F51" s="77">
        <f>IF(C51=0,0,E51/C51)</f>
        <v>5.1482023210543335E-2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82" t="s">
        <v>0</v>
      </c>
      <c r="B2" s="782"/>
      <c r="C2" s="782"/>
      <c r="D2" s="782"/>
      <c r="E2" s="782"/>
      <c r="F2" s="782"/>
    </row>
    <row r="3" spans="1:6" ht="15.75" customHeight="1" x14ac:dyDescent="0.25">
      <c r="A3" s="782" t="s">
        <v>1</v>
      </c>
      <c r="B3" s="782"/>
      <c r="C3" s="782"/>
      <c r="D3" s="782"/>
      <c r="E3" s="782"/>
      <c r="F3" s="782"/>
    </row>
    <row r="4" spans="1:6" ht="15.75" customHeight="1" x14ac:dyDescent="0.25">
      <c r="A4" s="782" t="s">
        <v>2</v>
      </c>
      <c r="B4" s="782"/>
      <c r="C4" s="782"/>
      <c r="D4" s="782"/>
      <c r="E4" s="782"/>
      <c r="F4" s="782"/>
    </row>
    <row r="5" spans="1:6" ht="15.75" customHeight="1" x14ac:dyDescent="0.25">
      <c r="A5" s="782" t="s">
        <v>105</v>
      </c>
      <c r="B5" s="782"/>
      <c r="C5" s="782"/>
      <c r="D5" s="782"/>
      <c r="E5" s="782"/>
      <c r="F5" s="782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3"/>
      <c r="D9" s="784"/>
      <c r="E9" s="784"/>
      <c r="F9" s="785"/>
    </row>
    <row r="10" spans="1:6" x14ac:dyDescent="0.2">
      <c r="A10" s="772" t="s">
        <v>12</v>
      </c>
      <c r="B10" s="774" t="s">
        <v>111</v>
      </c>
      <c r="C10" s="776"/>
      <c r="D10" s="777"/>
      <c r="E10" s="777"/>
      <c r="F10" s="778"/>
    </row>
    <row r="11" spans="1:6" x14ac:dyDescent="0.2">
      <c r="A11" s="773"/>
      <c r="B11" s="775"/>
      <c r="C11" s="779"/>
      <c r="D11" s="780"/>
      <c r="E11" s="780"/>
      <c r="F11" s="781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86041069</v>
      </c>
      <c r="D14" s="113">
        <v>100616528</v>
      </c>
      <c r="E14" s="113">
        <f t="shared" ref="E14:E25" si="0">D14-C14</f>
        <v>14575459</v>
      </c>
      <c r="F14" s="114">
        <f t="shared" ref="F14:F25" si="1">IF(C14=0,0,E14/C14)</f>
        <v>0.16940118445064881</v>
      </c>
    </row>
    <row r="15" spans="1:6" x14ac:dyDescent="0.2">
      <c r="A15" s="115">
        <v>2</v>
      </c>
      <c r="B15" s="116" t="s">
        <v>114</v>
      </c>
      <c r="C15" s="113">
        <v>19115336</v>
      </c>
      <c r="D15" s="113">
        <v>26883131</v>
      </c>
      <c r="E15" s="113">
        <f t="shared" si="0"/>
        <v>7767795</v>
      </c>
      <c r="F15" s="114">
        <f t="shared" si="1"/>
        <v>0.40636455461729787</v>
      </c>
    </row>
    <row r="16" spans="1:6" x14ac:dyDescent="0.2">
      <c r="A16" s="115">
        <v>3</v>
      </c>
      <c r="B16" s="116" t="s">
        <v>115</v>
      </c>
      <c r="C16" s="113">
        <v>27489510</v>
      </c>
      <c r="D16" s="113">
        <v>39765242</v>
      </c>
      <c r="E16" s="113">
        <f t="shared" si="0"/>
        <v>12275732</v>
      </c>
      <c r="F16" s="114">
        <f t="shared" si="1"/>
        <v>0.44656059711504498</v>
      </c>
    </row>
    <row r="17" spans="1:6" x14ac:dyDescent="0.2">
      <c r="A17" s="115">
        <v>4</v>
      </c>
      <c r="B17" s="116" t="s">
        <v>116</v>
      </c>
      <c r="C17" s="113">
        <v>2354241</v>
      </c>
      <c r="D17" s="113">
        <v>0</v>
      </c>
      <c r="E17" s="113">
        <f t="shared" si="0"/>
        <v>-2354241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530908</v>
      </c>
      <c r="D18" s="113">
        <v>611078</v>
      </c>
      <c r="E18" s="113">
        <f t="shared" si="0"/>
        <v>80170</v>
      </c>
      <c r="F18" s="114">
        <f t="shared" si="1"/>
        <v>0.151005447271467</v>
      </c>
    </row>
    <row r="19" spans="1:6" x14ac:dyDescent="0.2">
      <c r="A19" s="115">
        <v>6</v>
      </c>
      <c r="B19" s="116" t="s">
        <v>118</v>
      </c>
      <c r="C19" s="113">
        <v>3339944</v>
      </c>
      <c r="D19" s="113">
        <v>4809516</v>
      </c>
      <c r="E19" s="113">
        <f t="shared" si="0"/>
        <v>1469572</v>
      </c>
      <c r="F19" s="114">
        <f t="shared" si="1"/>
        <v>0.43999899399510889</v>
      </c>
    </row>
    <row r="20" spans="1:6" x14ac:dyDescent="0.2">
      <c r="A20" s="115">
        <v>7</v>
      </c>
      <c r="B20" s="116" t="s">
        <v>119</v>
      </c>
      <c r="C20" s="113">
        <v>43707418</v>
      </c>
      <c r="D20" s="113">
        <v>49917941</v>
      </c>
      <c r="E20" s="113">
        <f t="shared" si="0"/>
        <v>6210523</v>
      </c>
      <c r="F20" s="114">
        <f t="shared" si="1"/>
        <v>0.142093111059546</v>
      </c>
    </row>
    <row r="21" spans="1:6" x14ac:dyDescent="0.2">
      <c r="A21" s="115">
        <v>8</v>
      </c>
      <c r="B21" s="116" t="s">
        <v>120</v>
      </c>
      <c r="C21" s="113">
        <v>289114</v>
      </c>
      <c r="D21" s="113">
        <v>537893</v>
      </c>
      <c r="E21" s="113">
        <f t="shared" si="0"/>
        <v>248779</v>
      </c>
      <c r="F21" s="114">
        <f t="shared" si="1"/>
        <v>0.86048755854092163</v>
      </c>
    </row>
    <row r="22" spans="1:6" x14ac:dyDescent="0.2">
      <c r="A22" s="115">
        <v>9</v>
      </c>
      <c r="B22" s="116" t="s">
        <v>121</v>
      </c>
      <c r="C22" s="113">
        <v>2434687</v>
      </c>
      <c r="D22" s="113">
        <v>2371759</v>
      </c>
      <c r="E22" s="113">
        <f t="shared" si="0"/>
        <v>-62928</v>
      </c>
      <c r="F22" s="114">
        <f t="shared" si="1"/>
        <v>-2.584644350587981E-2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185302227</v>
      </c>
      <c r="D25" s="119">
        <f>SUM(D14:D24)</f>
        <v>225513088</v>
      </c>
      <c r="E25" s="119">
        <f t="shared" si="0"/>
        <v>40210861</v>
      </c>
      <c r="F25" s="120">
        <f t="shared" si="1"/>
        <v>0.21700149885408554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83269315</v>
      </c>
      <c r="D27" s="113">
        <v>89323025</v>
      </c>
      <c r="E27" s="113">
        <f t="shared" ref="E27:E38" si="2">D27-C27</f>
        <v>6053710</v>
      </c>
      <c r="F27" s="114">
        <f t="shared" ref="F27:F38" si="3">IF(C27=0,0,E27/C27)</f>
        <v>7.2700369878147791E-2</v>
      </c>
    </row>
    <row r="28" spans="1:6" x14ac:dyDescent="0.2">
      <c r="A28" s="115">
        <v>2</v>
      </c>
      <c r="B28" s="116" t="s">
        <v>114</v>
      </c>
      <c r="C28" s="113">
        <v>23470530</v>
      </c>
      <c r="D28" s="113">
        <v>29342478</v>
      </c>
      <c r="E28" s="113">
        <f t="shared" si="2"/>
        <v>5871948</v>
      </c>
      <c r="F28" s="114">
        <f t="shared" si="3"/>
        <v>0.25018386887726862</v>
      </c>
    </row>
    <row r="29" spans="1:6" x14ac:dyDescent="0.2">
      <c r="A29" s="115">
        <v>3</v>
      </c>
      <c r="B29" s="116" t="s">
        <v>115</v>
      </c>
      <c r="C29" s="113">
        <v>49383932</v>
      </c>
      <c r="D29" s="113">
        <v>64243785</v>
      </c>
      <c r="E29" s="113">
        <f t="shared" si="2"/>
        <v>14859853</v>
      </c>
      <c r="F29" s="114">
        <f t="shared" si="3"/>
        <v>0.30090461407568764</v>
      </c>
    </row>
    <row r="30" spans="1:6" x14ac:dyDescent="0.2">
      <c r="A30" s="115">
        <v>4</v>
      </c>
      <c r="B30" s="116" t="s">
        <v>116</v>
      </c>
      <c r="C30" s="113">
        <v>6428533</v>
      </c>
      <c r="D30" s="113">
        <v>0</v>
      </c>
      <c r="E30" s="113">
        <f t="shared" si="2"/>
        <v>-6428533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1152920</v>
      </c>
      <c r="D31" s="113">
        <v>1104979</v>
      </c>
      <c r="E31" s="113">
        <f t="shared" si="2"/>
        <v>-47941</v>
      </c>
      <c r="F31" s="114">
        <f t="shared" si="3"/>
        <v>-4.158224334732679E-2</v>
      </c>
    </row>
    <row r="32" spans="1:6" x14ac:dyDescent="0.2">
      <c r="A32" s="115">
        <v>6</v>
      </c>
      <c r="B32" s="116" t="s">
        <v>118</v>
      </c>
      <c r="C32" s="113">
        <v>5997376</v>
      </c>
      <c r="D32" s="113">
        <v>7487267</v>
      </c>
      <c r="E32" s="113">
        <f t="shared" si="2"/>
        <v>1489891</v>
      </c>
      <c r="F32" s="114">
        <f t="shared" si="3"/>
        <v>0.24842381067987065</v>
      </c>
    </row>
    <row r="33" spans="1:6" x14ac:dyDescent="0.2">
      <c r="A33" s="115">
        <v>7</v>
      </c>
      <c r="B33" s="116" t="s">
        <v>119</v>
      </c>
      <c r="C33" s="113">
        <v>123055037</v>
      </c>
      <c r="D33" s="113">
        <v>133374443</v>
      </c>
      <c r="E33" s="113">
        <f t="shared" si="2"/>
        <v>10319406</v>
      </c>
      <c r="F33" s="114">
        <f t="shared" si="3"/>
        <v>8.386008611740127E-2</v>
      </c>
    </row>
    <row r="34" spans="1:6" x14ac:dyDescent="0.2">
      <c r="A34" s="115">
        <v>8</v>
      </c>
      <c r="B34" s="116" t="s">
        <v>120</v>
      </c>
      <c r="C34" s="113">
        <v>4690862</v>
      </c>
      <c r="D34" s="113">
        <v>5190703</v>
      </c>
      <c r="E34" s="113">
        <f t="shared" si="2"/>
        <v>499841</v>
      </c>
      <c r="F34" s="114">
        <f t="shared" si="3"/>
        <v>0.10655632163129079</v>
      </c>
    </row>
    <row r="35" spans="1:6" x14ac:dyDescent="0.2">
      <c r="A35" s="115">
        <v>9</v>
      </c>
      <c r="B35" s="116" t="s">
        <v>121</v>
      </c>
      <c r="C35" s="113">
        <v>9151074</v>
      </c>
      <c r="D35" s="113">
        <v>7444649</v>
      </c>
      <c r="E35" s="113">
        <f t="shared" si="2"/>
        <v>-1706425</v>
      </c>
      <c r="F35" s="114">
        <f t="shared" si="3"/>
        <v>-0.18647264790996118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306599579</v>
      </c>
      <c r="D38" s="119">
        <f>SUM(D27:D37)</f>
        <v>337511329</v>
      </c>
      <c r="E38" s="119">
        <f t="shared" si="2"/>
        <v>30911750</v>
      </c>
      <c r="F38" s="120">
        <f t="shared" si="3"/>
        <v>0.10082124085369341</v>
      </c>
    </row>
    <row r="39" spans="1:6" ht="15" customHeight="1" x14ac:dyDescent="0.2">
      <c r="A39" s="772" t="s">
        <v>127</v>
      </c>
      <c r="B39" s="774" t="s">
        <v>128</v>
      </c>
      <c r="C39" s="776"/>
      <c r="D39" s="777"/>
      <c r="E39" s="777"/>
      <c r="F39" s="778"/>
    </row>
    <row r="40" spans="1:6" ht="15" customHeight="1" x14ac:dyDescent="0.2">
      <c r="A40" s="773"/>
      <c r="B40" s="775"/>
      <c r="C40" s="779"/>
      <c r="D40" s="780"/>
      <c r="E40" s="780"/>
      <c r="F40" s="781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169310384</v>
      </c>
      <c r="D41" s="119">
        <f t="shared" si="4"/>
        <v>189939553</v>
      </c>
      <c r="E41" s="123">
        <f t="shared" ref="E41:E52" si="5">D41-C41</f>
        <v>20629169</v>
      </c>
      <c r="F41" s="124">
        <f t="shared" ref="F41:F52" si="6">IF(C41=0,0,E41/C41)</f>
        <v>0.12184231417253179</v>
      </c>
    </row>
    <row r="42" spans="1:6" ht="15.75" x14ac:dyDescent="0.25">
      <c r="A42" s="121">
        <v>2</v>
      </c>
      <c r="B42" s="122" t="s">
        <v>114</v>
      </c>
      <c r="C42" s="119">
        <f t="shared" si="4"/>
        <v>42585866</v>
      </c>
      <c r="D42" s="119">
        <f t="shared" si="4"/>
        <v>56225609</v>
      </c>
      <c r="E42" s="123">
        <f t="shared" si="5"/>
        <v>13639743</v>
      </c>
      <c r="F42" s="124">
        <f t="shared" si="6"/>
        <v>0.32028802701816605</v>
      </c>
    </row>
    <row r="43" spans="1:6" ht="15.75" x14ac:dyDescent="0.25">
      <c r="A43" s="121">
        <v>3</v>
      </c>
      <c r="B43" s="122" t="s">
        <v>115</v>
      </c>
      <c r="C43" s="119">
        <f t="shared" si="4"/>
        <v>76873442</v>
      </c>
      <c r="D43" s="119">
        <f t="shared" si="4"/>
        <v>104009027</v>
      </c>
      <c r="E43" s="123">
        <f t="shared" si="5"/>
        <v>27135585</v>
      </c>
      <c r="F43" s="124">
        <f t="shared" si="6"/>
        <v>0.35299037345043038</v>
      </c>
    </row>
    <row r="44" spans="1:6" ht="15.75" x14ac:dyDescent="0.25">
      <c r="A44" s="121">
        <v>4</v>
      </c>
      <c r="B44" s="122" t="s">
        <v>116</v>
      </c>
      <c r="C44" s="119">
        <f t="shared" si="4"/>
        <v>8782774</v>
      </c>
      <c r="D44" s="119">
        <f t="shared" si="4"/>
        <v>0</v>
      </c>
      <c r="E44" s="123">
        <f t="shared" si="5"/>
        <v>-8782774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1683828</v>
      </c>
      <c r="D45" s="119">
        <f t="shared" si="4"/>
        <v>1716057</v>
      </c>
      <c r="E45" s="123">
        <f t="shared" si="5"/>
        <v>32229</v>
      </c>
      <c r="F45" s="124">
        <f t="shared" si="6"/>
        <v>1.9140315994270199E-2</v>
      </c>
    </row>
    <row r="46" spans="1:6" ht="15.75" x14ac:dyDescent="0.25">
      <c r="A46" s="121">
        <v>6</v>
      </c>
      <c r="B46" s="122" t="s">
        <v>118</v>
      </c>
      <c r="C46" s="119">
        <f t="shared" si="4"/>
        <v>9337320</v>
      </c>
      <c r="D46" s="119">
        <f t="shared" si="4"/>
        <v>12296783</v>
      </c>
      <c r="E46" s="123">
        <f t="shared" si="5"/>
        <v>2959463</v>
      </c>
      <c r="F46" s="124">
        <f t="shared" si="6"/>
        <v>0.31694993852625808</v>
      </c>
    </row>
    <row r="47" spans="1:6" ht="15.75" x14ac:dyDescent="0.25">
      <c r="A47" s="121">
        <v>7</v>
      </c>
      <c r="B47" s="122" t="s">
        <v>119</v>
      </c>
      <c r="C47" s="119">
        <f t="shared" si="4"/>
        <v>166762455</v>
      </c>
      <c r="D47" s="119">
        <f t="shared" si="4"/>
        <v>183292384</v>
      </c>
      <c r="E47" s="123">
        <f t="shared" si="5"/>
        <v>16529929</v>
      </c>
      <c r="F47" s="124">
        <f t="shared" si="6"/>
        <v>9.9122605265076005E-2</v>
      </c>
    </row>
    <row r="48" spans="1:6" ht="15.75" x14ac:dyDescent="0.25">
      <c r="A48" s="121">
        <v>8</v>
      </c>
      <c r="B48" s="122" t="s">
        <v>120</v>
      </c>
      <c r="C48" s="119">
        <f t="shared" si="4"/>
        <v>4979976</v>
      </c>
      <c r="D48" s="119">
        <f t="shared" si="4"/>
        <v>5728596</v>
      </c>
      <c r="E48" s="123">
        <f t="shared" si="5"/>
        <v>748620</v>
      </c>
      <c r="F48" s="124">
        <f t="shared" si="6"/>
        <v>0.15032602566759357</v>
      </c>
    </row>
    <row r="49" spans="1:6" ht="15.75" x14ac:dyDescent="0.25">
      <c r="A49" s="121">
        <v>9</v>
      </c>
      <c r="B49" s="122" t="s">
        <v>121</v>
      </c>
      <c r="C49" s="119">
        <f t="shared" si="4"/>
        <v>11585761</v>
      </c>
      <c r="D49" s="119">
        <f t="shared" si="4"/>
        <v>9816408</v>
      </c>
      <c r="E49" s="123">
        <f t="shared" si="5"/>
        <v>-1769353</v>
      </c>
      <c r="F49" s="124">
        <f t="shared" si="6"/>
        <v>-0.15271789224721621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491901806</v>
      </c>
      <c r="D52" s="128">
        <f>SUM(D41:D51)</f>
        <v>563024417</v>
      </c>
      <c r="E52" s="127">
        <f t="shared" si="5"/>
        <v>71122611</v>
      </c>
      <c r="F52" s="129">
        <f t="shared" si="6"/>
        <v>0.14458700930242163</v>
      </c>
    </row>
    <row r="53" spans="1:6" x14ac:dyDescent="0.2">
      <c r="A53" s="772" t="s">
        <v>44</v>
      </c>
      <c r="B53" s="774" t="s">
        <v>129</v>
      </c>
      <c r="C53" s="776"/>
      <c r="D53" s="777"/>
      <c r="E53" s="777"/>
      <c r="F53" s="778"/>
    </row>
    <row r="54" spans="1:6" ht="15" customHeight="1" x14ac:dyDescent="0.2">
      <c r="A54" s="773"/>
      <c r="B54" s="775"/>
      <c r="C54" s="779"/>
      <c r="D54" s="780"/>
      <c r="E54" s="780"/>
      <c r="F54" s="781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27429266</v>
      </c>
      <c r="D57" s="113">
        <v>30252640</v>
      </c>
      <c r="E57" s="113">
        <f t="shared" ref="E57:E68" si="7">D57-C57</f>
        <v>2823374</v>
      </c>
      <c r="F57" s="114">
        <f t="shared" ref="F57:F68" si="8">IF(C57=0,0,E57/C57)</f>
        <v>0.10293290385532008</v>
      </c>
    </row>
    <row r="58" spans="1:6" x14ac:dyDescent="0.2">
      <c r="A58" s="115">
        <v>2</v>
      </c>
      <c r="B58" s="116" t="s">
        <v>114</v>
      </c>
      <c r="C58" s="113">
        <v>5894811</v>
      </c>
      <c r="D58" s="113">
        <v>7573664</v>
      </c>
      <c r="E58" s="113">
        <f t="shared" si="7"/>
        <v>1678853</v>
      </c>
      <c r="F58" s="114">
        <f t="shared" si="8"/>
        <v>0.28480183673403608</v>
      </c>
    </row>
    <row r="59" spans="1:6" x14ac:dyDescent="0.2">
      <c r="A59" s="115">
        <v>3</v>
      </c>
      <c r="B59" s="116" t="s">
        <v>115</v>
      </c>
      <c r="C59" s="113">
        <v>9731632</v>
      </c>
      <c r="D59" s="113">
        <v>11500711</v>
      </c>
      <c r="E59" s="113">
        <f t="shared" si="7"/>
        <v>1769079</v>
      </c>
      <c r="F59" s="114">
        <f t="shared" si="8"/>
        <v>0.18178646705917362</v>
      </c>
    </row>
    <row r="60" spans="1:6" x14ac:dyDescent="0.2">
      <c r="A60" s="115">
        <v>4</v>
      </c>
      <c r="B60" s="116" t="s">
        <v>116</v>
      </c>
      <c r="C60" s="113">
        <v>828149</v>
      </c>
      <c r="D60" s="113">
        <v>0</v>
      </c>
      <c r="E60" s="113">
        <f t="shared" si="7"/>
        <v>-828149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209708</v>
      </c>
      <c r="D61" s="113">
        <v>355811</v>
      </c>
      <c r="E61" s="113">
        <f t="shared" si="7"/>
        <v>146103</v>
      </c>
      <c r="F61" s="114">
        <f t="shared" si="8"/>
        <v>0.69669731245350675</v>
      </c>
    </row>
    <row r="62" spans="1:6" x14ac:dyDescent="0.2">
      <c r="A62" s="115">
        <v>6</v>
      </c>
      <c r="B62" s="116" t="s">
        <v>118</v>
      </c>
      <c r="C62" s="113">
        <v>2029792</v>
      </c>
      <c r="D62" s="113">
        <v>1516954</v>
      </c>
      <c r="E62" s="113">
        <f t="shared" si="7"/>
        <v>-512838</v>
      </c>
      <c r="F62" s="114">
        <f t="shared" si="8"/>
        <v>-0.25265544449874666</v>
      </c>
    </row>
    <row r="63" spans="1:6" x14ac:dyDescent="0.2">
      <c r="A63" s="115">
        <v>7</v>
      </c>
      <c r="B63" s="116" t="s">
        <v>119</v>
      </c>
      <c r="C63" s="113">
        <v>24719356</v>
      </c>
      <c r="D63" s="113">
        <v>24971890</v>
      </c>
      <c r="E63" s="113">
        <f t="shared" si="7"/>
        <v>252534</v>
      </c>
      <c r="F63" s="114">
        <f t="shared" si="8"/>
        <v>1.0216042845129137E-2</v>
      </c>
    </row>
    <row r="64" spans="1:6" x14ac:dyDescent="0.2">
      <c r="A64" s="115">
        <v>8</v>
      </c>
      <c r="B64" s="116" t="s">
        <v>120</v>
      </c>
      <c r="C64" s="113">
        <v>210170</v>
      </c>
      <c r="D64" s="113">
        <v>246081</v>
      </c>
      <c r="E64" s="113">
        <f t="shared" si="7"/>
        <v>35911</v>
      </c>
      <c r="F64" s="114">
        <f t="shared" si="8"/>
        <v>0.17086644145215776</v>
      </c>
    </row>
    <row r="65" spans="1:6" x14ac:dyDescent="0.2">
      <c r="A65" s="115">
        <v>9</v>
      </c>
      <c r="B65" s="116" t="s">
        <v>121</v>
      </c>
      <c r="C65" s="113">
        <v>25557</v>
      </c>
      <c r="D65" s="113">
        <v>78971</v>
      </c>
      <c r="E65" s="113">
        <f t="shared" si="7"/>
        <v>53414</v>
      </c>
      <c r="F65" s="114">
        <f t="shared" si="8"/>
        <v>2.0899949133309859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71078441</v>
      </c>
      <c r="D68" s="119">
        <f>SUM(D57:D67)</f>
        <v>76496722</v>
      </c>
      <c r="E68" s="119">
        <f t="shared" si="7"/>
        <v>5418281</v>
      </c>
      <c r="F68" s="120">
        <f t="shared" si="8"/>
        <v>7.6229598226556491E-2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20600599</v>
      </c>
      <c r="D70" s="113">
        <v>17036868</v>
      </c>
      <c r="E70" s="113">
        <f t="shared" ref="E70:E81" si="9">D70-C70</f>
        <v>-3563731</v>
      </c>
      <c r="F70" s="114">
        <f t="shared" ref="F70:F81" si="10">IF(C70=0,0,E70/C70)</f>
        <v>-0.17299162029220608</v>
      </c>
    </row>
    <row r="71" spans="1:6" x14ac:dyDescent="0.2">
      <c r="A71" s="115">
        <v>2</v>
      </c>
      <c r="B71" s="116" t="s">
        <v>114</v>
      </c>
      <c r="C71" s="113">
        <v>5489687</v>
      </c>
      <c r="D71" s="113">
        <v>5643944</v>
      </c>
      <c r="E71" s="113">
        <f t="shared" si="9"/>
        <v>154257</v>
      </c>
      <c r="F71" s="114">
        <f t="shared" si="10"/>
        <v>2.8099416232655886E-2</v>
      </c>
    </row>
    <row r="72" spans="1:6" x14ac:dyDescent="0.2">
      <c r="A72" s="115">
        <v>3</v>
      </c>
      <c r="B72" s="116" t="s">
        <v>115</v>
      </c>
      <c r="C72" s="113">
        <v>9637442</v>
      </c>
      <c r="D72" s="113">
        <v>11751049</v>
      </c>
      <c r="E72" s="113">
        <f t="shared" si="9"/>
        <v>2113607</v>
      </c>
      <c r="F72" s="114">
        <f t="shared" si="10"/>
        <v>0.21931203321379261</v>
      </c>
    </row>
    <row r="73" spans="1:6" x14ac:dyDescent="0.2">
      <c r="A73" s="115">
        <v>4</v>
      </c>
      <c r="B73" s="116" t="s">
        <v>116</v>
      </c>
      <c r="C73" s="113">
        <v>1231883</v>
      </c>
      <c r="D73" s="113">
        <v>0</v>
      </c>
      <c r="E73" s="113">
        <f t="shared" si="9"/>
        <v>-1231883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799526</v>
      </c>
      <c r="D74" s="113">
        <v>292998</v>
      </c>
      <c r="E74" s="113">
        <f t="shared" si="9"/>
        <v>-506528</v>
      </c>
      <c r="F74" s="114">
        <f t="shared" si="10"/>
        <v>-0.63353536970655111</v>
      </c>
    </row>
    <row r="75" spans="1:6" x14ac:dyDescent="0.2">
      <c r="A75" s="115">
        <v>6</v>
      </c>
      <c r="B75" s="116" t="s">
        <v>118</v>
      </c>
      <c r="C75" s="113">
        <v>1080248</v>
      </c>
      <c r="D75" s="113">
        <v>3169509</v>
      </c>
      <c r="E75" s="113">
        <f t="shared" si="9"/>
        <v>2089261</v>
      </c>
      <c r="F75" s="114">
        <f t="shared" si="10"/>
        <v>1.9340568091771519</v>
      </c>
    </row>
    <row r="76" spans="1:6" x14ac:dyDescent="0.2">
      <c r="A76" s="115">
        <v>7</v>
      </c>
      <c r="B76" s="116" t="s">
        <v>119</v>
      </c>
      <c r="C76" s="113">
        <v>57946401</v>
      </c>
      <c r="D76" s="113">
        <v>55945278</v>
      </c>
      <c r="E76" s="113">
        <f t="shared" si="9"/>
        <v>-2001123</v>
      </c>
      <c r="F76" s="114">
        <f t="shared" si="10"/>
        <v>-3.4534034305253918E-2</v>
      </c>
    </row>
    <row r="77" spans="1:6" x14ac:dyDescent="0.2">
      <c r="A77" s="115">
        <v>8</v>
      </c>
      <c r="B77" s="116" t="s">
        <v>120</v>
      </c>
      <c r="C77" s="113">
        <v>1352662</v>
      </c>
      <c r="D77" s="113">
        <v>2086730</v>
      </c>
      <c r="E77" s="113">
        <f t="shared" si="9"/>
        <v>734068</v>
      </c>
      <c r="F77" s="114">
        <f t="shared" si="10"/>
        <v>0.54268398165986775</v>
      </c>
    </row>
    <row r="78" spans="1:6" x14ac:dyDescent="0.2">
      <c r="A78" s="115">
        <v>9</v>
      </c>
      <c r="B78" s="116" t="s">
        <v>121</v>
      </c>
      <c r="C78" s="113">
        <v>329737</v>
      </c>
      <c r="D78" s="113">
        <v>397739</v>
      </c>
      <c r="E78" s="113">
        <f t="shared" si="9"/>
        <v>68002</v>
      </c>
      <c r="F78" s="114">
        <f t="shared" si="10"/>
        <v>0.20623102654539829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98468185</v>
      </c>
      <c r="D81" s="119">
        <f>SUM(D70:D80)</f>
        <v>96324115</v>
      </c>
      <c r="E81" s="119">
        <f t="shared" si="9"/>
        <v>-2144070</v>
      </c>
      <c r="F81" s="120">
        <f t="shared" si="10"/>
        <v>-2.1774241091170717E-2</v>
      </c>
    </row>
    <row r="82" spans="1:6" ht="15" customHeight="1" x14ac:dyDescent="0.2">
      <c r="A82" s="772" t="s">
        <v>127</v>
      </c>
      <c r="B82" s="774" t="s">
        <v>134</v>
      </c>
      <c r="C82" s="776"/>
      <c r="D82" s="777"/>
      <c r="E82" s="777"/>
      <c r="F82" s="778"/>
    </row>
    <row r="83" spans="1:6" ht="15" customHeight="1" x14ac:dyDescent="0.2">
      <c r="A83" s="773"/>
      <c r="B83" s="775"/>
      <c r="C83" s="779"/>
      <c r="D83" s="780"/>
      <c r="E83" s="780"/>
      <c r="F83" s="781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48029865</v>
      </c>
      <c r="D84" s="119">
        <f t="shared" si="11"/>
        <v>47289508</v>
      </c>
      <c r="E84" s="119">
        <f t="shared" ref="E84:E95" si="12">D84-C84</f>
        <v>-740357</v>
      </c>
      <c r="F84" s="120">
        <f t="shared" ref="F84:F95" si="13">IF(C84=0,0,E84/C84)</f>
        <v>-1.5414513449080068E-2</v>
      </c>
    </row>
    <row r="85" spans="1:6" ht="15.75" x14ac:dyDescent="0.25">
      <c r="A85" s="130">
        <v>2</v>
      </c>
      <c r="B85" s="122" t="s">
        <v>114</v>
      </c>
      <c r="C85" s="119">
        <f t="shared" si="11"/>
        <v>11384498</v>
      </c>
      <c r="D85" s="119">
        <f t="shared" si="11"/>
        <v>13217608</v>
      </c>
      <c r="E85" s="119">
        <f t="shared" si="12"/>
        <v>1833110</v>
      </c>
      <c r="F85" s="120">
        <f t="shared" si="13"/>
        <v>0.1610180791458701</v>
      </c>
    </row>
    <row r="86" spans="1:6" ht="15.75" x14ac:dyDescent="0.25">
      <c r="A86" s="130">
        <v>3</v>
      </c>
      <c r="B86" s="122" t="s">
        <v>115</v>
      </c>
      <c r="C86" s="119">
        <f t="shared" si="11"/>
        <v>19369074</v>
      </c>
      <c r="D86" s="119">
        <f t="shared" si="11"/>
        <v>23251760</v>
      </c>
      <c r="E86" s="119">
        <f t="shared" si="12"/>
        <v>3882686</v>
      </c>
      <c r="F86" s="120">
        <f t="shared" si="13"/>
        <v>0.20045800847268175</v>
      </c>
    </row>
    <row r="87" spans="1:6" ht="15.75" x14ac:dyDescent="0.25">
      <c r="A87" s="130">
        <v>4</v>
      </c>
      <c r="B87" s="122" t="s">
        <v>116</v>
      </c>
      <c r="C87" s="119">
        <f t="shared" si="11"/>
        <v>2060032</v>
      </c>
      <c r="D87" s="119">
        <f t="shared" si="11"/>
        <v>0</v>
      </c>
      <c r="E87" s="119">
        <f t="shared" si="12"/>
        <v>-2060032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1009234</v>
      </c>
      <c r="D88" s="119">
        <f t="shared" si="11"/>
        <v>648809</v>
      </c>
      <c r="E88" s="119">
        <f t="shared" si="12"/>
        <v>-360425</v>
      </c>
      <c r="F88" s="120">
        <f t="shared" si="13"/>
        <v>-0.35712728663521048</v>
      </c>
    </row>
    <row r="89" spans="1:6" ht="15.75" x14ac:dyDescent="0.25">
      <c r="A89" s="130">
        <v>6</v>
      </c>
      <c r="B89" s="122" t="s">
        <v>118</v>
      </c>
      <c r="C89" s="119">
        <f t="shared" si="11"/>
        <v>3110040</v>
      </c>
      <c r="D89" s="119">
        <f t="shared" si="11"/>
        <v>4686463</v>
      </c>
      <c r="E89" s="119">
        <f t="shared" si="12"/>
        <v>1576423</v>
      </c>
      <c r="F89" s="120">
        <f t="shared" si="13"/>
        <v>0.50688190505588349</v>
      </c>
    </row>
    <row r="90" spans="1:6" ht="15.75" x14ac:dyDescent="0.25">
      <c r="A90" s="130">
        <v>7</v>
      </c>
      <c r="B90" s="122" t="s">
        <v>119</v>
      </c>
      <c r="C90" s="119">
        <f t="shared" si="11"/>
        <v>82665757</v>
      </c>
      <c r="D90" s="119">
        <f t="shared" si="11"/>
        <v>80917168</v>
      </c>
      <c r="E90" s="119">
        <f t="shared" si="12"/>
        <v>-1748589</v>
      </c>
      <c r="F90" s="120">
        <f t="shared" si="13"/>
        <v>-2.1152519053324582E-2</v>
      </c>
    </row>
    <row r="91" spans="1:6" ht="15.75" x14ac:dyDescent="0.25">
      <c r="A91" s="130">
        <v>8</v>
      </c>
      <c r="B91" s="122" t="s">
        <v>120</v>
      </c>
      <c r="C91" s="119">
        <f t="shared" si="11"/>
        <v>1562832</v>
      </c>
      <c r="D91" s="119">
        <f t="shared" si="11"/>
        <v>2332811</v>
      </c>
      <c r="E91" s="119">
        <f t="shared" si="12"/>
        <v>769979</v>
      </c>
      <c r="F91" s="120">
        <f t="shared" si="13"/>
        <v>0.49268187495520954</v>
      </c>
    </row>
    <row r="92" spans="1:6" ht="15.75" x14ac:dyDescent="0.25">
      <c r="A92" s="130">
        <v>9</v>
      </c>
      <c r="B92" s="122" t="s">
        <v>121</v>
      </c>
      <c r="C92" s="119">
        <f t="shared" si="11"/>
        <v>355294</v>
      </c>
      <c r="D92" s="119">
        <f t="shared" si="11"/>
        <v>476710</v>
      </c>
      <c r="E92" s="119">
        <f t="shared" si="12"/>
        <v>121416</v>
      </c>
      <c r="F92" s="120">
        <f t="shared" si="13"/>
        <v>0.34173388799135362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169546626</v>
      </c>
      <c r="D95" s="128">
        <f>SUM(D84:D94)</f>
        <v>172820837</v>
      </c>
      <c r="E95" s="128">
        <f t="shared" si="12"/>
        <v>3274211</v>
      </c>
      <c r="F95" s="129">
        <f t="shared" si="13"/>
        <v>1.9311566837077607E-2</v>
      </c>
    </row>
    <row r="96" spans="1:6" x14ac:dyDescent="0.2">
      <c r="A96" s="772" t="s">
        <v>135</v>
      </c>
      <c r="B96" s="774" t="s">
        <v>136</v>
      </c>
      <c r="C96" s="776"/>
      <c r="D96" s="777"/>
      <c r="E96" s="777"/>
      <c r="F96" s="778"/>
    </row>
    <row r="97" spans="1:6" ht="15" customHeight="1" x14ac:dyDescent="0.2">
      <c r="A97" s="773"/>
      <c r="B97" s="775"/>
      <c r="C97" s="779"/>
      <c r="D97" s="780"/>
      <c r="E97" s="780"/>
      <c r="F97" s="781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2898</v>
      </c>
      <c r="D100" s="133">
        <v>3013</v>
      </c>
      <c r="E100" s="133">
        <f t="shared" ref="E100:E111" si="14">D100-C100</f>
        <v>115</v>
      </c>
      <c r="F100" s="114">
        <f t="shared" ref="F100:F111" si="15">IF(C100=0,0,E100/C100)</f>
        <v>3.968253968253968E-2</v>
      </c>
    </row>
    <row r="101" spans="1:6" x14ac:dyDescent="0.2">
      <c r="A101" s="115">
        <v>2</v>
      </c>
      <c r="B101" s="116" t="s">
        <v>114</v>
      </c>
      <c r="C101" s="133">
        <v>639</v>
      </c>
      <c r="D101" s="133">
        <v>808</v>
      </c>
      <c r="E101" s="133">
        <f t="shared" si="14"/>
        <v>169</v>
      </c>
      <c r="F101" s="114">
        <f t="shared" si="15"/>
        <v>0.26447574334898277</v>
      </c>
    </row>
    <row r="102" spans="1:6" x14ac:dyDescent="0.2">
      <c r="A102" s="115">
        <v>3</v>
      </c>
      <c r="B102" s="116" t="s">
        <v>115</v>
      </c>
      <c r="C102" s="133">
        <v>1753</v>
      </c>
      <c r="D102" s="133">
        <v>2085</v>
      </c>
      <c r="E102" s="133">
        <f t="shared" si="14"/>
        <v>332</v>
      </c>
      <c r="F102" s="114">
        <f t="shared" si="15"/>
        <v>0.18938961779806046</v>
      </c>
    </row>
    <row r="103" spans="1:6" x14ac:dyDescent="0.2">
      <c r="A103" s="115">
        <v>4</v>
      </c>
      <c r="B103" s="116" t="s">
        <v>116</v>
      </c>
      <c r="C103" s="133">
        <v>204</v>
      </c>
      <c r="D103" s="133">
        <v>0</v>
      </c>
      <c r="E103" s="133">
        <f t="shared" si="14"/>
        <v>-204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41</v>
      </c>
      <c r="D104" s="133">
        <v>41</v>
      </c>
      <c r="E104" s="133">
        <f t="shared" si="14"/>
        <v>0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228</v>
      </c>
      <c r="D105" s="133">
        <v>215</v>
      </c>
      <c r="E105" s="133">
        <f t="shared" si="14"/>
        <v>-13</v>
      </c>
      <c r="F105" s="114">
        <f t="shared" si="15"/>
        <v>-5.701754385964912E-2</v>
      </c>
    </row>
    <row r="106" spans="1:6" x14ac:dyDescent="0.2">
      <c r="A106" s="115">
        <v>7</v>
      </c>
      <c r="B106" s="116" t="s">
        <v>119</v>
      </c>
      <c r="C106" s="133">
        <v>2875</v>
      </c>
      <c r="D106" s="133">
        <v>2945</v>
      </c>
      <c r="E106" s="133">
        <f t="shared" si="14"/>
        <v>70</v>
      </c>
      <c r="F106" s="114">
        <f t="shared" si="15"/>
        <v>2.4347826086956521E-2</v>
      </c>
    </row>
    <row r="107" spans="1:6" x14ac:dyDescent="0.2">
      <c r="A107" s="115">
        <v>8</v>
      </c>
      <c r="B107" s="116" t="s">
        <v>120</v>
      </c>
      <c r="C107" s="133">
        <v>11</v>
      </c>
      <c r="D107" s="133">
        <v>17</v>
      </c>
      <c r="E107" s="133">
        <f t="shared" si="14"/>
        <v>6</v>
      </c>
      <c r="F107" s="114">
        <f t="shared" si="15"/>
        <v>0.54545454545454541</v>
      </c>
    </row>
    <row r="108" spans="1:6" x14ac:dyDescent="0.2">
      <c r="A108" s="115">
        <v>9</v>
      </c>
      <c r="B108" s="116" t="s">
        <v>121</v>
      </c>
      <c r="C108" s="133">
        <v>182</v>
      </c>
      <c r="D108" s="133">
        <v>218</v>
      </c>
      <c r="E108" s="133">
        <f t="shared" si="14"/>
        <v>36</v>
      </c>
      <c r="F108" s="114">
        <f t="shared" si="15"/>
        <v>0.19780219780219779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8831</v>
      </c>
      <c r="D111" s="134">
        <f>SUM(D100:D110)</f>
        <v>9342</v>
      </c>
      <c r="E111" s="134">
        <f t="shared" si="14"/>
        <v>511</v>
      </c>
      <c r="F111" s="120">
        <f t="shared" si="15"/>
        <v>5.7864341524176195E-2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18666</v>
      </c>
      <c r="D113" s="133">
        <v>18617</v>
      </c>
      <c r="E113" s="133">
        <f t="shared" ref="E113:E124" si="16">D113-C113</f>
        <v>-49</v>
      </c>
      <c r="F113" s="114">
        <f t="shared" ref="F113:F124" si="17">IF(C113=0,0,E113/C113)</f>
        <v>-2.625093753348334E-3</v>
      </c>
    </row>
    <row r="114" spans="1:6" x14ac:dyDescent="0.2">
      <c r="A114" s="115">
        <v>2</v>
      </c>
      <c r="B114" s="116" t="s">
        <v>114</v>
      </c>
      <c r="C114" s="133">
        <v>4076</v>
      </c>
      <c r="D114" s="133">
        <v>4572</v>
      </c>
      <c r="E114" s="133">
        <f t="shared" si="16"/>
        <v>496</v>
      </c>
      <c r="F114" s="114">
        <f t="shared" si="17"/>
        <v>0.12168792934249265</v>
      </c>
    </row>
    <row r="115" spans="1:6" x14ac:dyDescent="0.2">
      <c r="A115" s="115">
        <v>3</v>
      </c>
      <c r="B115" s="116" t="s">
        <v>115</v>
      </c>
      <c r="C115" s="133">
        <v>8643</v>
      </c>
      <c r="D115" s="133">
        <v>10174</v>
      </c>
      <c r="E115" s="133">
        <f t="shared" si="16"/>
        <v>1531</v>
      </c>
      <c r="F115" s="114">
        <f t="shared" si="17"/>
        <v>0.17713756797408306</v>
      </c>
    </row>
    <row r="116" spans="1:6" x14ac:dyDescent="0.2">
      <c r="A116" s="115">
        <v>4</v>
      </c>
      <c r="B116" s="116" t="s">
        <v>116</v>
      </c>
      <c r="C116" s="133">
        <v>840</v>
      </c>
      <c r="D116" s="133">
        <v>0</v>
      </c>
      <c r="E116" s="133">
        <f t="shared" si="16"/>
        <v>-840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141</v>
      </c>
      <c r="D117" s="133">
        <v>149</v>
      </c>
      <c r="E117" s="133">
        <f t="shared" si="16"/>
        <v>8</v>
      </c>
      <c r="F117" s="114">
        <f t="shared" si="17"/>
        <v>5.6737588652482268E-2</v>
      </c>
    </row>
    <row r="118" spans="1:6" x14ac:dyDescent="0.2">
      <c r="A118" s="115">
        <v>6</v>
      </c>
      <c r="B118" s="116" t="s">
        <v>118</v>
      </c>
      <c r="C118" s="133">
        <v>946</v>
      </c>
      <c r="D118" s="133">
        <v>992</v>
      </c>
      <c r="E118" s="133">
        <f t="shared" si="16"/>
        <v>46</v>
      </c>
      <c r="F118" s="114">
        <f t="shared" si="17"/>
        <v>4.8625792811839326E-2</v>
      </c>
    </row>
    <row r="119" spans="1:6" x14ac:dyDescent="0.2">
      <c r="A119" s="115">
        <v>7</v>
      </c>
      <c r="B119" s="116" t="s">
        <v>119</v>
      </c>
      <c r="C119" s="133">
        <v>11213</v>
      </c>
      <c r="D119" s="133">
        <v>11025</v>
      </c>
      <c r="E119" s="133">
        <f t="shared" si="16"/>
        <v>-188</v>
      </c>
      <c r="F119" s="114">
        <f t="shared" si="17"/>
        <v>-1.6766253455810221E-2</v>
      </c>
    </row>
    <row r="120" spans="1:6" x14ac:dyDescent="0.2">
      <c r="A120" s="115">
        <v>8</v>
      </c>
      <c r="B120" s="116" t="s">
        <v>120</v>
      </c>
      <c r="C120" s="133">
        <v>45</v>
      </c>
      <c r="D120" s="133">
        <v>56</v>
      </c>
      <c r="E120" s="133">
        <f t="shared" si="16"/>
        <v>11</v>
      </c>
      <c r="F120" s="114">
        <f t="shared" si="17"/>
        <v>0.24444444444444444</v>
      </c>
    </row>
    <row r="121" spans="1:6" x14ac:dyDescent="0.2">
      <c r="A121" s="115">
        <v>9</v>
      </c>
      <c r="B121" s="116" t="s">
        <v>121</v>
      </c>
      <c r="C121" s="133">
        <v>975</v>
      </c>
      <c r="D121" s="133">
        <v>1077</v>
      </c>
      <c r="E121" s="133">
        <f t="shared" si="16"/>
        <v>102</v>
      </c>
      <c r="F121" s="114">
        <f t="shared" si="17"/>
        <v>0.10461538461538461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45545</v>
      </c>
      <c r="D124" s="134">
        <f>SUM(D113:D123)</f>
        <v>46662</v>
      </c>
      <c r="E124" s="134">
        <f t="shared" si="16"/>
        <v>1117</v>
      </c>
      <c r="F124" s="120">
        <f t="shared" si="17"/>
        <v>2.4525194862224174E-2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81022</v>
      </c>
      <c r="D126" s="133">
        <v>84871</v>
      </c>
      <c r="E126" s="133">
        <f t="shared" ref="E126:E137" si="18">D126-C126</f>
        <v>3849</v>
      </c>
      <c r="F126" s="114">
        <f t="shared" ref="F126:F137" si="19">IF(C126=0,0,E126/C126)</f>
        <v>4.7505615758682826E-2</v>
      </c>
    </row>
    <row r="127" spans="1:6" x14ac:dyDescent="0.2">
      <c r="A127" s="115">
        <v>2</v>
      </c>
      <c r="B127" s="116" t="s">
        <v>114</v>
      </c>
      <c r="C127" s="133">
        <v>22493</v>
      </c>
      <c r="D127" s="133">
        <v>26781</v>
      </c>
      <c r="E127" s="133">
        <f t="shared" si="18"/>
        <v>4288</v>
      </c>
      <c r="F127" s="114">
        <f t="shared" si="19"/>
        <v>0.19063708709376251</v>
      </c>
    </row>
    <row r="128" spans="1:6" x14ac:dyDescent="0.2">
      <c r="A128" s="115">
        <v>3</v>
      </c>
      <c r="B128" s="116" t="s">
        <v>115</v>
      </c>
      <c r="C128" s="133">
        <v>30963</v>
      </c>
      <c r="D128" s="133">
        <v>38721</v>
      </c>
      <c r="E128" s="133">
        <f t="shared" si="18"/>
        <v>7758</v>
      </c>
      <c r="F128" s="114">
        <f t="shared" si="19"/>
        <v>0.25055711655847301</v>
      </c>
    </row>
    <row r="129" spans="1:6" x14ac:dyDescent="0.2">
      <c r="A129" s="115">
        <v>4</v>
      </c>
      <c r="B129" s="116" t="s">
        <v>116</v>
      </c>
      <c r="C129" s="133">
        <v>5049</v>
      </c>
      <c r="D129" s="133">
        <v>0</v>
      </c>
      <c r="E129" s="133">
        <f t="shared" si="18"/>
        <v>-5049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887</v>
      </c>
      <c r="D130" s="133">
        <v>956</v>
      </c>
      <c r="E130" s="133">
        <f t="shared" si="18"/>
        <v>69</v>
      </c>
      <c r="F130" s="114">
        <f t="shared" si="19"/>
        <v>7.7790304396843299E-2</v>
      </c>
    </row>
    <row r="131" spans="1:6" x14ac:dyDescent="0.2">
      <c r="A131" s="115">
        <v>6</v>
      </c>
      <c r="B131" s="116" t="s">
        <v>118</v>
      </c>
      <c r="C131" s="133">
        <v>4149</v>
      </c>
      <c r="D131" s="133">
        <v>4538</v>
      </c>
      <c r="E131" s="133">
        <f t="shared" si="18"/>
        <v>389</v>
      </c>
      <c r="F131" s="114">
        <f t="shared" si="19"/>
        <v>9.3757531935406119E-2</v>
      </c>
    </row>
    <row r="132" spans="1:6" x14ac:dyDescent="0.2">
      <c r="A132" s="115">
        <v>7</v>
      </c>
      <c r="B132" s="116" t="s">
        <v>119</v>
      </c>
      <c r="C132" s="133">
        <v>96613</v>
      </c>
      <c r="D132" s="133">
        <v>103729</v>
      </c>
      <c r="E132" s="133">
        <f t="shared" si="18"/>
        <v>7116</v>
      </c>
      <c r="F132" s="114">
        <f t="shared" si="19"/>
        <v>7.3654684152236236E-2</v>
      </c>
    </row>
    <row r="133" spans="1:6" x14ac:dyDescent="0.2">
      <c r="A133" s="115">
        <v>8</v>
      </c>
      <c r="B133" s="116" t="s">
        <v>120</v>
      </c>
      <c r="C133" s="133">
        <v>1668</v>
      </c>
      <c r="D133" s="133">
        <v>1813</v>
      </c>
      <c r="E133" s="133">
        <f t="shared" si="18"/>
        <v>145</v>
      </c>
      <c r="F133" s="114">
        <f t="shared" si="19"/>
        <v>8.6930455635491607E-2</v>
      </c>
    </row>
    <row r="134" spans="1:6" x14ac:dyDescent="0.2">
      <c r="A134" s="115">
        <v>9</v>
      </c>
      <c r="B134" s="116" t="s">
        <v>121</v>
      </c>
      <c r="C134" s="133">
        <v>8796</v>
      </c>
      <c r="D134" s="133">
        <v>9147</v>
      </c>
      <c r="E134" s="133">
        <f t="shared" si="18"/>
        <v>351</v>
      </c>
      <c r="F134" s="114">
        <f t="shared" si="19"/>
        <v>3.9904502046384717E-2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251640</v>
      </c>
      <c r="D137" s="134">
        <f>SUM(D126:D136)</f>
        <v>270556</v>
      </c>
      <c r="E137" s="134">
        <f t="shared" si="18"/>
        <v>18916</v>
      </c>
      <c r="F137" s="120">
        <f t="shared" si="19"/>
        <v>7.5170879033539972E-2</v>
      </c>
    </row>
    <row r="138" spans="1:6" x14ac:dyDescent="0.2">
      <c r="A138" s="772" t="s">
        <v>143</v>
      </c>
      <c r="B138" s="774" t="s">
        <v>144</v>
      </c>
      <c r="C138" s="776"/>
      <c r="D138" s="777"/>
      <c r="E138" s="777"/>
      <c r="F138" s="778"/>
    </row>
    <row r="139" spans="1:6" ht="15" customHeight="1" x14ac:dyDescent="0.2">
      <c r="A139" s="773"/>
      <c r="B139" s="775"/>
      <c r="C139" s="779"/>
      <c r="D139" s="780"/>
      <c r="E139" s="780"/>
      <c r="F139" s="781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20167266</v>
      </c>
      <c r="D142" s="113">
        <v>21613419</v>
      </c>
      <c r="E142" s="113">
        <f t="shared" ref="E142:E153" si="20">D142-C142</f>
        <v>1446153</v>
      </c>
      <c r="F142" s="114">
        <f t="shared" ref="F142:F153" si="21">IF(C142=0,0,E142/C142)</f>
        <v>7.1707935026988787E-2</v>
      </c>
    </row>
    <row r="143" spans="1:6" x14ac:dyDescent="0.2">
      <c r="A143" s="115">
        <v>2</v>
      </c>
      <c r="B143" s="116" t="s">
        <v>114</v>
      </c>
      <c r="C143" s="113">
        <v>4604924</v>
      </c>
      <c r="D143" s="113">
        <v>6183180</v>
      </c>
      <c r="E143" s="113">
        <f t="shared" si="20"/>
        <v>1578256</v>
      </c>
      <c r="F143" s="114">
        <f t="shared" si="21"/>
        <v>0.34273225790479928</v>
      </c>
    </row>
    <row r="144" spans="1:6" x14ac:dyDescent="0.2">
      <c r="A144" s="115">
        <v>3</v>
      </c>
      <c r="B144" s="116" t="s">
        <v>115</v>
      </c>
      <c r="C144" s="113">
        <v>26740327</v>
      </c>
      <c r="D144" s="113">
        <v>34980398</v>
      </c>
      <c r="E144" s="113">
        <f t="shared" si="20"/>
        <v>8240071</v>
      </c>
      <c r="F144" s="114">
        <f t="shared" si="21"/>
        <v>0.30815146725767417</v>
      </c>
    </row>
    <row r="145" spans="1:6" x14ac:dyDescent="0.2">
      <c r="A145" s="115">
        <v>4</v>
      </c>
      <c r="B145" s="116" t="s">
        <v>116</v>
      </c>
      <c r="C145" s="113">
        <v>3220817</v>
      </c>
      <c r="D145" s="113">
        <v>0</v>
      </c>
      <c r="E145" s="113">
        <f t="shared" si="20"/>
        <v>-3220817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413329</v>
      </c>
      <c r="D146" s="113">
        <v>424841</v>
      </c>
      <c r="E146" s="113">
        <f t="shared" si="20"/>
        <v>11512</v>
      </c>
      <c r="F146" s="114">
        <f t="shared" si="21"/>
        <v>2.7851904899002973E-2</v>
      </c>
    </row>
    <row r="147" spans="1:6" x14ac:dyDescent="0.2">
      <c r="A147" s="115">
        <v>6</v>
      </c>
      <c r="B147" s="116" t="s">
        <v>118</v>
      </c>
      <c r="C147" s="113">
        <v>2262593</v>
      </c>
      <c r="D147" s="113">
        <v>2561026</v>
      </c>
      <c r="E147" s="113">
        <f t="shared" si="20"/>
        <v>298433</v>
      </c>
      <c r="F147" s="114">
        <f t="shared" si="21"/>
        <v>0.13189866670673869</v>
      </c>
    </row>
    <row r="148" spans="1:6" x14ac:dyDescent="0.2">
      <c r="A148" s="115">
        <v>7</v>
      </c>
      <c r="B148" s="116" t="s">
        <v>119</v>
      </c>
      <c r="C148" s="113">
        <v>30305357</v>
      </c>
      <c r="D148" s="113">
        <v>33435169</v>
      </c>
      <c r="E148" s="113">
        <f t="shared" si="20"/>
        <v>3129812</v>
      </c>
      <c r="F148" s="114">
        <f t="shared" si="21"/>
        <v>0.10327586637570381</v>
      </c>
    </row>
    <row r="149" spans="1:6" x14ac:dyDescent="0.2">
      <c r="A149" s="115">
        <v>8</v>
      </c>
      <c r="B149" s="116" t="s">
        <v>120</v>
      </c>
      <c r="C149" s="113">
        <v>1714544</v>
      </c>
      <c r="D149" s="113">
        <v>1882222</v>
      </c>
      <c r="E149" s="113">
        <f t="shared" si="20"/>
        <v>167678</v>
      </c>
      <c r="F149" s="114">
        <f t="shared" si="21"/>
        <v>9.7797431853600722E-2</v>
      </c>
    </row>
    <row r="150" spans="1:6" x14ac:dyDescent="0.2">
      <c r="A150" s="115">
        <v>9</v>
      </c>
      <c r="B150" s="116" t="s">
        <v>121</v>
      </c>
      <c r="C150" s="113">
        <v>7198806</v>
      </c>
      <c r="D150" s="113">
        <v>8258759</v>
      </c>
      <c r="E150" s="113">
        <f t="shared" si="20"/>
        <v>1059953</v>
      </c>
      <c r="F150" s="114">
        <f t="shared" si="21"/>
        <v>0.14724011176297847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96627963</v>
      </c>
      <c r="D153" s="119">
        <f>SUM(D142:D152)</f>
        <v>109339014</v>
      </c>
      <c r="E153" s="119">
        <f t="shared" si="20"/>
        <v>12711051</v>
      </c>
      <c r="F153" s="120">
        <f t="shared" si="21"/>
        <v>0.13154629990492503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3898772</v>
      </c>
      <c r="D155" s="113">
        <v>3582949</v>
      </c>
      <c r="E155" s="113">
        <f t="shared" ref="E155:E166" si="22">D155-C155</f>
        <v>-315823</v>
      </c>
      <c r="F155" s="114">
        <f t="shared" ref="F155:F166" si="23">IF(C155=0,0,E155/C155)</f>
        <v>-8.1005762840196865E-2</v>
      </c>
    </row>
    <row r="156" spans="1:6" x14ac:dyDescent="0.2">
      <c r="A156" s="115">
        <v>2</v>
      </c>
      <c r="B156" s="116" t="s">
        <v>114</v>
      </c>
      <c r="C156" s="113">
        <v>930685</v>
      </c>
      <c r="D156" s="113">
        <v>1037373</v>
      </c>
      <c r="E156" s="113">
        <f t="shared" si="22"/>
        <v>106688</v>
      </c>
      <c r="F156" s="114">
        <f t="shared" si="23"/>
        <v>0.11463384496365581</v>
      </c>
    </row>
    <row r="157" spans="1:6" x14ac:dyDescent="0.2">
      <c r="A157" s="115">
        <v>3</v>
      </c>
      <c r="B157" s="116" t="s">
        <v>115</v>
      </c>
      <c r="C157" s="113">
        <v>3983521</v>
      </c>
      <c r="D157" s="113">
        <v>4455191</v>
      </c>
      <c r="E157" s="113">
        <f t="shared" si="22"/>
        <v>471670</v>
      </c>
      <c r="F157" s="114">
        <f t="shared" si="23"/>
        <v>0.1184053002356458</v>
      </c>
    </row>
    <row r="158" spans="1:6" x14ac:dyDescent="0.2">
      <c r="A158" s="115">
        <v>4</v>
      </c>
      <c r="B158" s="116" t="s">
        <v>116</v>
      </c>
      <c r="C158" s="113">
        <v>625629</v>
      </c>
      <c r="D158" s="113">
        <v>0</v>
      </c>
      <c r="E158" s="113">
        <f t="shared" si="22"/>
        <v>-625629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86529</v>
      </c>
      <c r="D159" s="113">
        <v>78747</v>
      </c>
      <c r="E159" s="113">
        <f t="shared" si="22"/>
        <v>-7782</v>
      </c>
      <c r="F159" s="114">
        <f t="shared" si="23"/>
        <v>-8.9935166244842768E-2</v>
      </c>
    </row>
    <row r="160" spans="1:6" x14ac:dyDescent="0.2">
      <c r="A160" s="115">
        <v>6</v>
      </c>
      <c r="B160" s="116" t="s">
        <v>118</v>
      </c>
      <c r="C160" s="113">
        <v>1446375</v>
      </c>
      <c r="D160" s="113">
        <v>1374013</v>
      </c>
      <c r="E160" s="113">
        <f t="shared" si="22"/>
        <v>-72362</v>
      </c>
      <c r="F160" s="114">
        <f t="shared" si="23"/>
        <v>-5.0029902342062053E-2</v>
      </c>
    </row>
    <row r="161" spans="1:6" x14ac:dyDescent="0.2">
      <c r="A161" s="115">
        <v>7</v>
      </c>
      <c r="B161" s="116" t="s">
        <v>119</v>
      </c>
      <c r="C161" s="113">
        <v>15748626</v>
      </c>
      <c r="D161" s="113">
        <v>15238169</v>
      </c>
      <c r="E161" s="113">
        <f t="shared" si="22"/>
        <v>-510457</v>
      </c>
      <c r="F161" s="114">
        <f t="shared" si="23"/>
        <v>-3.2412795884542565E-2</v>
      </c>
    </row>
    <row r="162" spans="1:6" x14ac:dyDescent="0.2">
      <c r="A162" s="115">
        <v>8</v>
      </c>
      <c r="B162" s="116" t="s">
        <v>120</v>
      </c>
      <c r="C162" s="113">
        <v>1159396</v>
      </c>
      <c r="D162" s="113">
        <v>953451</v>
      </c>
      <c r="E162" s="113">
        <f t="shared" si="22"/>
        <v>-205945</v>
      </c>
      <c r="F162" s="114">
        <f t="shared" si="23"/>
        <v>-0.1776312838753972</v>
      </c>
    </row>
    <row r="163" spans="1:6" x14ac:dyDescent="0.2">
      <c r="A163" s="115">
        <v>9</v>
      </c>
      <c r="B163" s="116" t="s">
        <v>121</v>
      </c>
      <c r="C163" s="113">
        <v>146670</v>
      </c>
      <c r="D163" s="113">
        <v>147532</v>
      </c>
      <c r="E163" s="113">
        <f t="shared" si="22"/>
        <v>862</v>
      </c>
      <c r="F163" s="114">
        <f t="shared" si="23"/>
        <v>5.8771391559282746E-3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28026203</v>
      </c>
      <c r="D166" s="119">
        <f>SUM(D155:D165)</f>
        <v>26867425</v>
      </c>
      <c r="E166" s="119">
        <f t="shared" si="22"/>
        <v>-1158778</v>
      </c>
      <c r="F166" s="120">
        <f t="shared" si="23"/>
        <v>-4.1346235877903259E-2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6923</v>
      </c>
      <c r="D168" s="133">
        <v>6522</v>
      </c>
      <c r="E168" s="133">
        <f t="shared" ref="E168:E179" si="24">D168-C168</f>
        <v>-401</v>
      </c>
      <c r="F168" s="114">
        <f t="shared" ref="F168:F179" si="25">IF(C168=0,0,E168/C168)</f>
        <v>-5.7922865809620104E-2</v>
      </c>
    </row>
    <row r="169" spans="1:6" x14ac:dyDescent="0.2">
      <c r="A169" s="115">
        <v>2</v>
      </c>
      <c r="B169" s="116" t="s">
        <v>114</v>
      </c>
      <c r="C169" s="133">
        <v>1507</v>
      </c>
      <c r="D169" s="133">
        <v>1799</v>
      </c>
      <c r="E169" s="133">
        <f t="shared" si="24"/>
        <v>292</v>
      </c>
      <c r="F169" s="114">
        <f t="shared" si="25"/>
        <v>0.19376244193762443</v>
      </c>
    </row>
    <row r="170" spans="1:6" x14ac:dyDescent="0.2">
      <c r="A170" s="115">
        <v>3</v>
      </c>
      <c r="B170" s="116" t="s">
        <v>115</v>
      </c>
      <c r="C170" s="133">
        <v>13136</v>
      </c>
      <c r="D170" s="133">
        <v>15370</v>
      </c>
      <c r="E170" s="133">
        <f t="shared" si="24"/>
        <v>2234</v>
      </c>
      <c r="F170" s="114">
        <f t="shared" si="25"/>
        <v>0.17006699147381243</v>
      </c>
    </row>
    <row r="171" spans="1:6" x14ac:dyDescent="0.2">
      <c r="A171" s="115">
        <v>4</v>
      </c>
      <c r="B171" s="116" t="s">
        <v>116</v>
      </c>
      <c r="C171" s="133">
        <v>2089</v>
      </c>
      <c r="D171" s="133">
        <v>0</v>
      </c>
      <c r="E171" s="133">
        <f t="shared" si="24"/>
        <v>-2089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184</v>
      </c>
      <c r="D172" s="133">
        <v>185</v>
      </c>
      <c r="E172" s="133">
        <f t="shared" si="24"/>
        <v>1</v>
      </c>
      <c r="F172" s="114">
        <f t="shared" si="25"/>
        <v>5.434782608695652E-3</v>
      </c>
    </row>
    <row r="173" spans="1:6" x14ac:dyDescent="0.2">
      <c r="A173" s="115">
        <v>6</v>
      </c>
      <c r="B173" s="116" t="s">
        <v>118</v>
      </c>
      <c r="C173" s="133">
        <v>974</v>
      </c>
      <c r="D173" s="133">
        <v>958</v>
      </c>
      <c r="E173" s="133">
        <f t="shared" si="24"/>
        <v>-16</v>
      </c>
      <c r="F173" s="114">
        <f t="shared" si="25"/>
        <v>-1.6427104722792608E-2</v>
      </c>
    </row>
    <row r="174" spans="1:6" x14ac:dyDescent="0.2">
      <c r="A174" s="115">
        <v>7</v>
      </c>
      <c r="B174" s="116" t="s">
        <v>119</v>
      </c>
      <c r="C174" s="133">
        <v>11686</v>
      </c>
      <c r="D174" s="133">
        <v>11183</v>
      </c>
      <c r="E174" s="133">
        <f t="shared" si="24"/>
        <v>-503</v>
      </c>
      <c r="F174" s="114">
        <f t="shared" si="25"/>
        <v>-4.3042957384905017E-2</v>
      </c>
    </row>
    <row r="175" spans="1:6" x14ac:dyDescent="0.2">
      <c r="A175" s="115">
        <v>8</v>
      </c>
      <c r="B175" s="116" t="s">
        <v>120</v>
      </c>
      <c r="C175" s="133">
        <v>978</v>
      </c>
      <c r="D175" s="133">
        <v>940</v>
      </c>
      <c r="E175" s="133">
        <f t="shared" si="24"/>
        <v>-38</v>
      </c>
      <c r="F175" s="114">
        <f t="shared" si="25"/>
        <v>-3.8854805725971372E-2</v>
      </c>
    </row>
    <row r="176" spans="1:6" x14ac:dyDescent="0.2">
      <c r="A176" s="115">
        <v>9</v>
      </c>
      <c r="B176" s="116" t="s">
        <v>121</v>
      </c>
      <c r="C176" s="133">
        <v>3998</v>
      </c>
      <c r="D176" s="133">
        <v>3919</v>
      </c>
      <c r="E176" s="133">
        <f t="shared" si="24"/>
        <v>-79</v>
      </c>
      <c r="F176" s="114">
        <f t="shared" si="25"/>
        <v>-1.9759879939969985E-2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41475</v>
      </c>
      <c r="D179" s="134">
        <f>SUM(D168:D178)</f>
        <v>40876</v>
      </c>
      <c r="E179" s="134">
        <f t="shared" si="24"/>
        <v>-599</v>
      </c>
      <c r="F179" s="120">
        <f t="shared" si="25"/>
        <v>-1.4442435201928873E-2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6"/>
      <c r="B1" s="787"/>
      <c r="C1" s="787"/>
      <c r="D1" s="787"/>
      <c r="E1" s="787"/>
      <c r="F1" s="788"/>
    </row>
    <row r="2" spans="1:6" ht="15.75" customHeight="1" x14ac:dyDescent="0.25">
      <c r="A2" s="786" t="s">
        <v>0</v>
      </c>
      <c r="B2" s="787"/>
      <c r="C2" s="787"/>
      <c r="D2" s="787"/>
      <c r="E2" s="787"/>
      <c r="F2" s="788"/>
    </row>
    <row r="3" spans="1:6" ht="15.75" customHeight="1" x14ac:dyDescent="0.25">
      <c r="A3" s="786" t="s">
        <v>1</v>
      </c>
      <c r="B3" s="787"/>
      <c r="C3" s="787"/>
      <c r="D3" s="787"/>
      <c r="E3" s="787"/>
      <c r="F3" s="788"/>
    </row>
    <row r="4" spans="1:6" ht="15.75" customHeight="1" x14ac:dyDescent="0.25">
      <c r="A4" s="786" t="s">
        <v>2</v>
      </c>
      <c r="B4" s="787"/>
      <c r="C4" s="787"/>
      <c r="D4" s="787"/>
      <c r="E4" s="787"/>
      <c r="F4" s="788"/>
    </row>
    <row r="5" spans="1:6" ht="15.75" customHeight="1" x14ac:dyDescent="0.25">
      <c r="A5" s="786" t="s">
        <v>151</v>
      </c>
      <c r="B5" s="787"/>
      <c r="C5" s="787"/>
      <c r="D5" s="787"/>
      <c r="E5" s="787"/>
      <c r="F5" s="788"/>
    </row>
    <row r="6" spans="1:6" ht="15.75" customHeight="1" x14ac:dyDescent="0.25">
      <c r="A6" s="786"/>
      <c r="B6" s="787"/>
      <c r="C6" s="787"/>
      <c r="D6" s="787"/>
      <c r="E6" s="787"/>
      <c r="F6" s="788"/>
    </row>
    <row r="7" spans="1:6" ht="15" customHeight="1" x14ac:dyDescent="0.25">
      <c r="A7" s="786"/>
      <c r="B7" s="787"/>
      <c r="C7" s="787"/>
      <c r="D7" s="787"/>
      <c r="E7" s="787"/>
      <c r="F7" s="788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27483799</v>
      </c>
      <c r="D15" s="157">
        <v>27731842</v>
      </c>
      <c r="E15" s="157">
        <f>+D15-C15</f>
        <v>248043</v>
      </c>
      <c r="F15" s="161">
        <f>IF(C15=0,0,E15/C15)</f>
        <v>9.0250623649226949E-3</v>
      </c>
    </row>
    <row r="16" spans="1:6" ht="15" customHeight="1" x14ac:dyDescent="0.2">
      <c r="A16" s="147">
        <v>2</v>
      </c>
      <c r="B16" s="160" t="s">
        <v>157</v>
      </c>
      <c r="C16" s="157">
        <v>7064262</v>
      </c>
      <c r="D16" s="157">
        <v>7727228</v>
      </c>
      <c r="E16" s="157">
        <f>+D16-C16</f>
        <v>662966</v>
      </c>
      <c r="F16" s="161">
        <f>IF(C16=0,0,E16/C16)</f>
        <v>9.3847878235546758E-2</v>
      </c>
    </row>
    <row r="17" spans="1:6" ht="15" customHeight="1" x14ac:dyDescent="0.2">
      <c r="A17" s="147">
        <v>3</v>
      </c>
      <c r="B17" s="160" t="s">
        <v>158</v>
      </c>
      <c r="C17" s="157">
        <v>47001764</v>
      </c>
      <c r="D17" s="157">
        <v>48450279</v>
      </c>
      <c r="E17" s="157">
        <f>+D17-C17</f>
        <v>1448515</v>
      </c>
      <c r="F17" s="161">
        <f>IF(C17=0,0,E17/C17)</f>
        <v>3.0818311414865195E-2</v>
      </c>
    </row>
    <row r="18" spans="1:6" ht="15.75" customHeight="1" x14ac:dyDescent="0.25">
      <c r="A18" s="147"/>
      <c r="B18" s="162" t="s">
        <v>159</v>
      </c>
      <c r="C18" s="158">
        <f>SUM(C15:C17)</f>
        <v>81549825</v>
      </c>
      <c r="D18" s="158">
        <f>SUM(D15:D17)</f>
        <v>83909349</v>
      </c>
      <c r="E18" s="158">
        <f>+D18-C18</f>
        <v>2359524</v>
      </c>
      <c r="F18" s="159">
        <f>IF(C18=0,0,E18/C18)</f>
        <v>2.8933526221546154E-2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9278681</v>
      </c>
      <c r="D21" s="157">
        <v>10096694</v>
      </c>
      <c r="E21" s="157">
        <f>+D21-C21</f>
        <v>818013</v>
      </c>
      <c r="F21" s="161">
        <f>IF(C21=0,0,E21/C21)</f>
        <v>8.8160483154879454E-2</v>
      </c>
    </row>
    <row r="22" spans="1:6" ht="15" customHeight="1" x14ac:dyDescent="0.2">
      <c r="A22" s="147">
        <v>2</v>
      </c>
      <c r="B22" s="160" t="s">
        <v>162</v>
      </c>
      <c r="C22" s="157">
        <v>2196063</v>
      </c>
      <c r="D22" s="157">
        <v>2592137</v>
      </c>
      <c r="E22" s="157">
        <f>+D22-C22</f>
        <v>396074</v>
      </c>
      <c r="F22" s="161">
        <f>IF(C22=0,0,E22/C22)</f>
        <v>0.18035639232572107</v>
      </c>
    </row>
    <row r="23" spans="1:6" ht="15" customHeight="1" x14ac:dyDescent="0.2">
      <c r="A23" s="147">
        <v>3</v>
      </c>
      <c r="B23" s="160" t="s">
        <v>163</v>
      </c>
      <c r="C23" s="157">
        <v>13392508</v>
      </c>
      <c r="D23" s="157">
        <v>14969960</v>
      </c>
      <c r="E23" s="157">
        <f>+D23-C23</f>
        <v>1577452</v>
      </c>
      <c r="F23" s="161">
        <f>IF(C23=0,0,E23/C23)</f>
        <v>0.11778615327315839</v>
      </c>
    </row>
    <row r="24" spans="1:6" ht="15.75" customHeight="1" x14ac:dyDescent="0.25">
      <c r="A24" s="147"/>
      <c r="B24" s="162" t="s">
        <v>164</v>
      </c>
      <c r="C24" s="158">
        <f>SUM(C21:C23)</f>
        <v>24867252</v>
      </c>
      <c r="D24" s="158">
        <f>SUM(D21:D23)</f>
        <v>27658791</v>
      </c>
      <c r="E24" s="158">
        <f>+D24-C24</f>
        <v>2791539</v>
      </c>
      <c r="F24" s="159">
        <f>IF(C24=0,0,E24/C24)</f>
        <v>0.11225763908291918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7076665</v>
      </c>
      <c r="D28" s="157">
        <v>7801057</v>
      </c>
      <c r="E28" s="157">
        <f>+D28-C28</f>
        <v>724392</v>
      </c>
      <c r="F28" s="161">
        <f>IF(C28=0,0,E28/C28)</f>
        <v>0.10236347205922564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7076665</v>
      </c>
      <c r="D30" s="158">
        <f>SUM(D27:D29)</f>
        <v>7801057</v>
      </c>
      <c r="E30" s="158">
        <f>+D30-C30</f>
        <v>724392</v>
      </c>
      <c r="F30" s="159">
        <f>IF(C30=0,0,E30/C30)</f>
        <v>0.10236347205922564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18642097</v>
      </c>
      <c r="D33" s="157">
        <v>19599062</v>
      </c>
      <c r="E33" s="157">
        <f>+D33-C33</f>
        <v>956965</v>
      </c>
      <c r="F33" s="161">
        <f>IF(C33=0,0,E33/C33)</f>
        <v>5.1333549010071131E-2</v>
      </c>
    </row>
    <row r="34" spans="1:6" ht="15" customHeight="1" x14ac:dyDescent="0.2">
      <c r="A34" s="147">
        <v>2</v>
      </c>
      <c r="B34" s="160" t="s">
        <v>173</v>
      </c>
      <c r="C34" s="157">
        <v>4966274</v>
      </c>
      <c r="D34" s="157">
        <v>5379487</v>
      </c>
      <c r="E34" s="157">
        <f>+D34-C34</f>
        <v>413213</v>
      </c>
      <c r="F34" s="161">
        <f>IF(C34=0,0,E34/C34)</f>
        <v>8.32038264501717E-2</v>
      </c>
    </row>
    <row r="35" spans="1:6" ht="15.75" customHeight="1" x14ac:dyDescent="0.25">
      <c r="A35" s="147"/>
      <c r="B35" s="162" t="s">
        <v>174</v>
      </c>
      <c r="C35" s="158">
        <f>SUM(C33:C34)</f>
        <v>23608371</v>
      </c>
      <c r="D35" s="158">
        <f>SUM(D33:D34)</f>
        <v>24978549</v>
      </c>
      <c r="E35" s="158">
        <f>+D35-C35</f>
        <v>1370178</v>
      </c>
      <c r="F35" s="159">
        <f>IF(C35=0,0,E35/C35)</f>
        <v>5.8037803624824434E-2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3205524</v>
      </c>
      <c r="D38" s="157">
        <v>3290378</v>
      </c>
      <c r="E38" s="157">
        <f>+D38-C38</f>
        <v>84854</v>
      </c>
      <c r="F38" s="161">
        <f>IF(C38=0,0,E38/C38)</f>
        <v>2.6471179127031962E-2</v>
      </c>
    </row>
    <row r="39" spans="1:6" ht="15" customHeight="1" x14ac:dyDescent="0.2">
      <c r="A39" s="147">
        <v>2</v>
      </c>
      <c r="B39" s="160" t="s">
        <v>178</v>
      </c>
      <c r="C39" s="157">
        <v>3599495</v>
      </c>
      <c r="D39" s="157">
        <v>3722085</v>
      </c>
      <c r="E39" s="157">
        <f>+D39-C39</f>
        <v>122590</v>
      </c>
      <c r="F39" s="161">
        <f>IF(C39=0,0,E39/C39)</f>
        <v>3.4057555295951239E-2</v>
      </c>
    </row>
    <row r="40" spans="1:6" ht="15" customHeight="1" x14ac:dyDescent="0.2">
      <c r="A40" s="147">
        <v>3</v>
      </c>
      <c r="B40" s="160" t="s">
        <v>179</v>
      </c>
      <c r="C40" s="157">
        <v>91793</v>
      </c>
      <c r="D40" s="157">
        <v>102839</v>
      </c>
      <c r="E40" s="157">
        <f>+D40-C40</f>
        <v>11046</v>
      </c>
      <c r="F40" s="161">
        <f>IF(C40=0,0,E40/C40)</f>
        <v>0.12033597333129978</v>
      </c>
    </row>
    <row r="41" spans="1:6" ht="15.75" customHeight="1" x14ac:dyDescent="0.25">
      <c r="A41" s="147"/>
      <c r="B41" s="162" t="s">
        <v>180</v>
      </c>
      <c r="C41" s="158">
        <f>SUM(C38:C40)</f>
        <v>6896812</v>
      </c>
      <c r="D41" s="158">
        <f>SUM(D38:D40)</f>
        <v>7115302</v>
      </c>
      <c r="E41" s="158">
        <f>+D41-C41</f>
        <v>218490</v>
      </c>
      <c r="F41" s="159">
        <f>IF(C41=0,0,E41/C41)</f>
        <v>3.1679854402294857E-2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6382307</v>
      </c>
      <c r="D44" s="157">
        <v>0</v>
      </c>
      <c r="E44" s="157">
        <f>+D44-C44</f>
        <v>-6382307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2714044</v>
      </c>
      <c r="D47" s="157">
        <v>2685044</v>
      </c>
      <c r="E47" s="157">
        <f>+D47-C47</f>
        <v>-29000</v>
      </c>
      <c r="F47" s="161">
        <f>IF(C47=0,0,E47/C47)</f>
        <v>-1.0685162068116804E-2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4762176</v>
      </c>
      <c r="D50" s="157">
        <v>5929317</v>
      </c>
      <c r="E50" s="157">
        <f>+D50-C50</f>
        <v>1167141</v>
      </c>
      <c r="F50" s="161">
        <f>IF(C50=0,0,E50/C50)</f>
        <v>0.24508564992138049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175926</v>
      </c>
      <c r="D53" s="157">
        <v>206825</v>
      </c>
      <c r="E53" s="157">
        <f t="shared" ref="E53:E59" si="0">+D53-C53</f>
        <v>30899</v>
      </c>
      <c r="F53" s="161">
        <f t="shared" ref="F53:F59" si="1">IF(C53=0,0,E53/C53)</f>
        <v>0.17563634710048542</v>
      </c>
    </row>
    <row r="54" spans="1:6" ht="15" customHeight="1" x14ac:dyDescent="0.2">
      <c r="A54" s="147">
        <v>2</v>
      </c>
      <c r="B54" s="160" t="s">
        <v>189</v>
      </c>
      <c r="C54" s="157">
        <v>599005</v>
      </c>
      <c r="D54" s="157">
        <v>1013461</v>
      </c>
      <c r="E54" s="157">
        <f t="shared" si="0"/>
        <v>414456</v>
      </c>
      <c r="F54" s="161">
        <f t="shared" si="1"/>
        <v>0.69190741312676851</v>
      </c>
    </row>
    <row r="55" spans="1:6" ht="15" customHeight="1" x14ac:dyDescent="0.2">
      <c r="A55" s="147">
        <v>3</v>
      </c>
      <c r="B55" s="160" t="s">
        <v>190</v>
      </c>
      <c r="C55" s="157">
        <v>38513</v>
      </c>
      <c r="D55" s="157">
        <v>71518</v>
      </c>
      <c r="E55" s="157">
        <f t="shared" si="0"/>
        <v>33005</v>
      </c>
      <c r="F55" s="161">
        <f t="shared" si="1"/>
        <v>0.85698335626931166</v>
      </c>
    </row>
    <row r="56" spans="1:6" ht="15" customHeight="1" x14ac:dyDescent="0.2">
      <c r="A56" s="147">
        <v>4</v>
      </c>
      <c r="B56" s="160" t="s">
        <v>191</v>
      </c>
      <c r="C56" s="157">
        <v>1527183</v>
      </c>
      <c r="D56" s="157">
        <v>1416566</v>
      </c>
      <c r="E56" s="157">
        <f t="shared" si="0"/>
        <v>-110617</v>
      </c>
      <c r="F56" s="161">
        <f t="shared" si="1"/>
        <v>-7.2432053002161489E-2</v>
      </c>
    </row>
    <row r="57" spans="1:6" ht="15" customHeight="1" x14ac:dyDescent="0.2">
      <c r="A57" s="147">
        <v>5</v>
      </c>
      <c r="B57" s="160" t="s">
        <v>192</v>
      </c>
      <c r="C57" s="157">
        <v>517870</v>
      </c>
      <c r="D57" s="157">
        <v>583829</v>
      </c>
      <c r="E57" s="157">
        <f t="shared" si="0"/>
        <v>65959</v>
      </c>
      <c r="F57" s="161">
        <f t="shared" si="1"/>
        <v>0.12736594125938941</v>
      </c>
    </row>
    <row r="58" spans="1:6" ht="15" customHeight="1" x14ac:dyDescent="0.2">
      <c r="A58" s="147">
        <v>6</v>
      </c>
      <c r="B58" s="160" t="s">
        <v>193</v>
      </c>
      <c r="C58" s="157">
        <v>25215</v>
      </c>
      <c r="D58" s="157">
        <v>23105</v>
      </c>
      <c r="E58" s="157">
        <f t="shared" si="0"/>
        <v>-2110</v>
      </c>
      <c r="F58" s="161">
        <f t="shared" si="1"/>
        <v>-8.3680348998611931E-2</v>
      </c>
    </row>
    <row r="59" spans="1:6" ht="15.75" customHeight="1" x14ac:dyDescent="0.25">
      <c r="A59" s="147"/>
      <c r="B59" s="162" t="s">
        <v>194</v>
      </c>
      <c r="C59" s="158">
        <f>SUM(C53:C58)</f>
        <v>2883712</v>
      </c>
      <c r="D59" s="158">
        <f>SUM(D53:D58)</f>
        <v>3315304</v>
      </c>
      <c r="E59" s="158">
        <f t="shared" si="0"/>
        <v>431592</v>
      </c>
      <c r="F59" s="159">
        <f t="shared" si="1"/>
        <v>0.14966543122198056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116430</v>
      </c>
      <c r="D62" s="157">
        <v>150700</v>
      </c>
      <c r="E62" s="157">
        <f t="shared" ref="E62:E90" si="2">+D62-C62</f>
        <v>34270</v>
      </c>
      <c r="F62" s="161">
        <f t="shared" ref="F62:F90" si="3">IF(C62=0,0,E62/C62)</f>
        <v>0.29433994674911962</v>
      </c>
    </row>
    <row r="63" spans="1:6" ht="15" customHeight="1" x14ac:dyDescent="0.2">
      <c r="A63" s="147">
        <v>2</v>
      </c>
      <c r="B63" s="160" t="s">
        <v>198</v>
      </c>
      <c r="C63" s="157">
        <v>857464</v>
      </c>
      <c r="D63" s="157">
        <v>659165</v>
      </c>
      <c r="E63" s="157">
        <f t="shared" si="2"/>
        <v>-198299</v>
      </c>
      <c r="F63" s="161">
        <f t="shared" si="3"/>
        <v>-0.23126218710056631</v>
      </c>
    </row>
    <row r="64" spans="1:6" ht="15" customHeight="1" x14ac:dyDescent="0.2">
      <c r="A64" s="147">
        <v>3</v>
      </c>
      <c r="B64" s="160" t="s">
        <v>199</v>
      </c>
      <c r="C64" s="157">
        <v>799681</v>
      </c>
      <c r="D64" s="157">
        <v>1517893</v>
      </c>
      <c r="E64" s="157">
        <f t="shared" si="2"/>
        <v>718212</v>
      </c>
      <c r="F64" s="161">
        <f t="shared" si="3"/>
        <v>0.89812312659673044</v>
      </c>
    </row>
    <row r="65" spans="1:6" ht="15" customHeight="1" x14ac:dyDescent="0.2">
      <c r="A65" s="147">
        <v>4</v>
      </c>
      <c r="B65" s="160" t="s">
        <v>200</v>
      </c>
      <c r="C65" s="157">
        <v>302882</v>
      </c>
      <c r="D65" s="157">
        <v>312513</v>
      </c>
      <c r="E65" s="157">
        <f t="shared" si="2"/>
        <v>9631</v>
      </c>
      <c r="F65" s="161">
        <f t="shared" si="3"/>
        <v>3.1797861873600938E-2</v>
      </c>
    </row>
    <row r="66" spans="1:6" ht="15" customHeight="1" x14ac:dyDescent="0.2">
      <c r="A66" s="147">
        <v>5</v>
      </c>
      <c r="B66" s="160" t="s">
        <v>201</v>
      </c>
      <c r="C66" s="157">
        <v>508365</v>
      </c>
      <c r="D66" s="157">
        <v>387869</v>
      </c>
      <c r="E66" s="157">
        <f t="shared" si="2"/>
        <v>-120496</v>
      </c>
      <c r="F66" s="161">
        <f t="shared" si="3"/>
        <v>-0.23702654588730537</v>
      </c>
    </row>
    <row r="67" spans="1:6" ht="15" customHeight="1" x14ac:dyDescent="0.2">
      <c r="A67" s="147">
        <v>6</v>
      </c>
      <c r="B67" s="160" t="s">
        <v>202</v>
      </c>
      <c r="C67" s="157">
        <v>1407014</v>
      </c>
      <c r="D67" s="157">
        <v>1419240</v>
      </c>
      <c r="E67" s="157">
        <f t="shared" si="2"/>
        <v>12226</v>
      </c>
      <c r="F67" s="161">
        <f t="shared" si="3"/>
        <v>8.6893236314635105E-3</v>
      </c>
    </row>
    <row r="68" spans="1:6" ht="15" customHeight="1" x14ac:dyDescent="0.2">
      <c r="A68" s="147">
        <v>7</v>
      </c>
      <c r="B68" s="160" t="s">
        <v>203</v>
      </c>
      <c r="C68" s="157">
        <v>486288</v>
      </c>
      <c r="D68" s="157">
        <v>643792</v>
      </c>
      <c r="E68" s="157">
        <f t="shared" si="2"/>
        <v>157504</v>
      </c>
      <c r="F68" s="161">
        <f t="shared" si="3"/>
        <v>0.32389036949297534</v>
      </c>
    </row>
    <row r="69" spans="1:6" ht="15" customHeight="1" x14ac:dyDescent="0.2">
      <c r="A69" s="147">
        <v>8</v>
      </c>
      <c r="B69" s="160" t="s">
        <v>204</v>
      </c>
      <c r="C69" s="157">
        <v>673739</v>
      </c>
      <c r="D69" s="157">
        <v>721761</v>
      </c>
      <c r="E69" s="157">
        <f t="shared" si="2"/>
        <v>48022</v>
      </c>
      <c r="F69" s="161">
        <f t="shared" si="3"/>
        <v>7.1276859436666132E-2</v>
      </c>
    </row>
    <row r="70" spans="1:6" ht="15" customHeight="1" x14ac:dyDescent="0.2">
      <c r="A70" s="147">
        <v>9</v>
      </c>
      <c r="B70" s="160" t="s">
        <v>205</v>
      </c>
      <c r="C70" s="157">
        <v>133188</v>
      </c>
      <c r="D70" s="157">
        <v>66025</v>
      </c>
      <c r="E70" s="157">
        <f t="shared" si="2"/>
        <v>-67163</v>
      </c>
      <c r="F70" s="161">
        <f t="shared" si="3"/>
        <v>-0.50427215665074931</v>
      </c>
    </row>
    <row r="71" spans="1:6" ht="15" customHeight="1" x14ac:dyDescent="0.2">
      <c r="A71" s="147">
        <v>10</v>
      </c>
      <c r="B71" s="160" t="s">
        <v>206</v>
      </c>
      <c r="C71" s="157">
        <v>12364</v>
      </c>
      <c r="D71" s="157">
        <v>18250</v>
      </c>
      <c r="E71" s="157">
        <f t="shared" si="2"/>
        <v>5886</v>
      </c>
      <c r="F71" s="161">
        <f t="shared" si="3"/>
        <v>0.47605952766095117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1106240</v>
      </c>
      <c r="D73" s="157">
        <v>1153545</v>
      </c>
      <c r="E73" s="157">
        <f t="shared" si="2"/>
        <v>47305</v>
      </c>
      <c r="F73" s="161">
        <f t="shared" si="3"/>
        <v>4.2761968469771476E-2</v>
      </c>
    </row>
    <row r="74" spans="1:6" ht="15" customHeight="1" x14ac:dyDescent="0.2">
      <c r="A74" s="147">
        <v>13</v>
      </c>
      <c r="B74" s="160" t="s">
        <v>209</v>
      </c>
      <c r="C74" s="157">
        <v>127645</v>
      </c>
      <c r="D74" s="157">
        <v>143056</v>
      </c>
      <c r="E74" s="157">
        <f t="shared" si="2"/>
        <v>15411</v>
      </c>
      <c r="F74" s="161">
        <f t="shared" si="3"/>
        <v>0.12073328371655764</v>
      </c>
    </row>
    <row r="75" spans="1:6" ht="15" customHeight="1" x14ac:dyDescent="0.2">
      <c r="A75" s="147">
        <v>14</v>
      </c>
      <c r="B75" s="160" t="s">
        <v>210</v>
      </c>
      <c r="C75" s="157">
        <v>181531</v>
      </c>
      <c r="D75" s="157">
        <v>142148</v>
      </c>
      <c r="E75" s="157">
        <f t="shared" si="2"/>
        <v>-39383</v>
      </c>
      <c r="F75" s="161">
        <f t="shared" si="3"/>
        <v>-0.21694917121593557</v>
      </c>
    </row>
    <row r="76" spans="1:6" ht="15" customHeight="1" x14ac:dyDescent="0.2">
      <c r="A76" s="147">
        <v>15</v>
      </c>
      <c r="B76" s="160" t="s">
        <v>211</v>
      </c>
      <c r="C76" s="157">
        <v>1079854</v>
      </c>
      <c r="D76" s="157">
        <v>963735</v>
      </c>
      <c r="E76" s="157">
        <f t="shared" si="2"/>
        <v>-116119</v>
      </c>
      <c r="F76" s="161">
        <f t="shared" si="3"/>
        <v>-0.10753212934341123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2461228</v>
      </c>
      <c r="D78" s="157">
        <v>2909296</v>
      </c>
      <c r="E78" s="157">
        <f t="shared" si="2"/>
        <v>448068</v>
      </c>
      <c r="F78" s="161">
        <f t="shared" si="3"/>
        <v>0.18205058613017566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1868920</v>
      </c>
      <c r="D80" s="157">
        <v>1911299</v>
      </c>
      <c r="E80" s="157">
        <f t="shared" si="2"/>
        <v>42379</v>
      </c>
      <c r="F80" s="161">
        <f t="shared" si="3"/>
        <v>2.2675662949724975E-2</v>
      </c>
    </row>
    <row r="81" spans="1:6" ht="15" customHeight="1" x14ac:dyDescent="0.2">
      <c r="A81" s="147">
        <v>20</v>
      </c>
      <c r="B81" s="160" t="s">
        <v>216</v>
      </c>
      <c r="C81" s="157">
        <v>1216556</v>
      </c>
      <c r="D81" s="157">
        <v>1113518</v>
      </c>
      <c r="E81" s="157">
        <f t="shared" si="2"/>
        <v>-103038</v>
      </c>
      <c r="F81" s="161">
        <f t="shared" si="3"/>
        <v>-8.4696471021473735E-2</v>
      </c>
    </row>
    <row r="82" spans="1:6" ht="15" customHeight="1" x14ac:dyDescent="0.2">
      <c r="A82" s="147">
        <v>21</v>
      </c>
      <c r="B82" s="160" t="s">
        <v>217</v>
      </c>
      <c r="C82" s="157">
        <v>553774</v>
      </c>
      <c r="D82" s="157">
        <v>763917</v>
      </c>
      <c r="E82" s="157">
        <f t="shared" si="2"/>
        <v>210143</v>
      </c>
      <c r="F82" s="161">
        <f t="shared" si="3"/>
        <v>0.3794742981794017</v>
      </c>
    </row>
    <row r="83" spans="1:6" ht="15" customHeight="1" x14ac:dyDescent="0.2">
      <c r="A83" s="147">
        <v>22</v>
      </c>
      <c r="B83" s="160" t="s">
        <v>218</v>
      </c>
      <c r="C83" s="157">
        <v>590280</v>
      </c>
      <c r="D83" s="157">
        <v>638111</v>
      </c>
      <c r="E83" s="157">
        <f t="shared" si="2"/>
        <v>47831</v>
      </c>
      <c r="F83" s="161">
        <f t="shared" si="3"/>
        <v>8.1031036118452263E-2</v>
      </c>
    </row>
    <row r="84" spans="1:6" ht="15" customHeight="1" x14ac:dyDescent="0.2">
      <c r="A84" s="147">
        <v>23</v>
      </c>
      <c r="B84" s="160" t="s">
        <v>219</v>
      </c>
      <c r="C84" s="157">
        <v>778391</v>
      </c>
      <c r="D84" s="157">
        <v>761027</v>
      </c>
      <c r="E84" s="157">
        <f t="shared" si="2"/>
        <v>-17364</v>
      </c>
      <c r="F84" s="161">
        <f t="shared" si="3"/>
        <v>-2.2307554943466715E-2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162916</v>
      </c>
      <c r="D86" s="157">
        <v>227763</v>
      </c>
      <c r="E86" s="157">
        <f t="shared" si="2"/>
        <v>64847</v>
      </c>
      <c r="F86" s="161">
        <f t="shared" si="3"/>
        <v>0.39803948046846227</v>
      </c>
    </row>
    <row r="87" spans="1:6" ht="15" customHeight="1" x14ac:dyDescent="0.2">
      <c r="A87" s="147">
        <v>26</v>
      </c>
      <c r="B87" s="160" t="s">
        <v>222</v>
      </c>
      <c r="C87" s="157">
        <v>2321266</v>
      </c>
      <c r="D87" s="157">
        <v>2442528</v>
      </c>
      <c r="E87" s="157">
        <f t="shared" si="2"/>
        <v>121262</v>
      </c>
      <c r="F87" s="161">
        <f t="shared" si="3"/>
        <v>5.2239596840689517E-2</v>
      </c>
    </row>
    <row r="88" spans="1:6" ht="15" customHeight="1" x14ac:dyDescent="0.2">
      <c r="A88" s="147">
        <v>27</v>
      </c>
      <c r="B88" s="160" t="s">
        <v>223</v>
      </c>
      <c r="C88" s="157">
        <v>3509024</v>
      </c>
      <c r="D88" s="157">
        <v>3149752</v>
      </c>
      <c r="E88" s="157">
        <f t="shared" si="2"/>
        <v>-359272</v>
      </c>
      <c r="F88" s="161">
        <f t="shared" si="3"/>
        <v>-0.10238516464977156</v>
      </c>
    </row>
    <row r="89" spans="1:6" ht="15" customHeight="1" x14ac:dyDescent="0.2">
      <c r="A89" s="147">
        <v>28</v>
      </c>
      <c r="B89" s="160" t="s">
        <v>224</v>
      </c>
      <c r="C89" s="157">
        <v>2206403</v>
      </c>
      <c r="D89" s="157">
        <v>2379763</v>
      </c>
      <c r="E89" s="157">
        <f t="shared" si="2"/>
        <v>173360</v>
      </c>
      <c r="F89" s="161">
        <f t="shared" si="3"/>
        <v>7.8571321739500904E-2</v>
      </c>
    </row>
    <row r="90" spans="1:6" ht="15.75" customHeight="1" x14ac:dyDescent="0.25">
      <c r="A90" s="147"/>
      <c r="B90" s="162" t="s">
        <v>225</v>
      </c>
      <c r="C90" s="158">
        <f>SUM(C62:C89)</f>
        <v>23461443</v>
      </c>
      <c r="D90" s="158">
        <f>SUM(D62:D89)</f>
        <v>24596666</v>
      </c>
      <c r="E90" s="158">
        <f t="shared" si="2"/>
        <v>1135223</v>
      </c>
      <c r="F90" s="159">
        <f t="shared" si="3"/>
        <v>4.838675097691135E-2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243394</v>
      </c>
      <c r="D93" s="157">
        <v>345707</v>
      </c>
      <c r="E93" s="157">
        <f>+D93-C93</f>
        <v>102313</v>
      </c>
      <c r="F93" s="161">
        <f>IF(C93=0,0,E93/C93)</f>
        <v>0.42035958158376951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184446001</v>
      </c>
      <c r="D95" s="158">
        <f>+D93+D90+D59+D50+D47+D44+D41+D35+D30+D24+D18</f>
        <v>188335086</v>
      </c>
      <c r="E95" s="158">
        <f>+D95-C95</f>
        <v>3889085</v>
      </c>
      <c r="F95" s="159">
        <f>IF(C95=0,0,E95/C95)</f>
        <v>2.1085222660913099E-2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4103402</v>
      </c>
      <c r="D103" s="157">
        <v>3926256</v>
      </c>
      <c r="E103" s="157">
        <f t="shared" ref="E103:E121" si="4">D103-C103</f>
        <v>-177146</v>
      </c>
      <c r="F103" s="161">
        <f t="shared" ref="F103:F121" si="5">IF(C103=0,0,E103/C103)</f>
        <v>-4.317052046082738E-2</v>
      </c>
    </row>
    <row r="104" spans="1:6" ht="15" customHeight="1" x14ac:dyDescent="0.2">
      <c r="A104" s="147">
        <v>2</v>
      </c>
      <c r="B104" s="169" t="s">
        <v>234</v>
      </c>
      <c r="C104" s="157">
        <v>1981884</v>
      </c>
      <c r="D104" s="157">
        <v>2192793</v>
      </c>
      <c r="E104" s="157">
        <f t="shared" si="4"/>
        <v>210909</v>
      </c>
      <c r="F104" s="161">
        <f t="shared" si="5"/>
        <v>0.10641843821333639</v>
      </c>
    </row>
    <row r="105" spans="1:6" ht="15" customHeight="1" x14ac:dyDescent="0.2">
      <c r="A105" s="147">
        <v>3</v>
      </c>
      <c r="B105" s="169" t="s">
        <v>235</v>
      </c>
      <c r="C105" s="157">
        <v>1666354</v>
      </c>
      <c r="D105" s="157">
        <v>2217875</v>
      </c>
      <c r="E105" s="157">
        <f t="shared" si="4"/>
        <v>551521</v>
      </c>
      <c r="F105" s="161">
        <f t="shared" si="5"/>
        <v>0.33097469085200382</v>
      </c>
    </row>
    <row r="106" spans="1:6" ht="15" customHeight="1" x14ac:dyDescent="0.2">
      <c r="A106" s="147">
        <v>4</v>
      </c>
      <c r="B106" s="169" t="s">
        <v>236</v>
      </c>
      <c r="C106" s="157">
        <v>1599080</v>
      </c>
      <c r="D106" s="157">
        <v>1660171</v>
      </c>
      <c r="E106" s="157">
        <f t="shared" si="4"/>
        <v>61091</v>
      </c>
      <c r="F106" s="161">
        <f t="shared" si="5"/>
        <v>3.8203842209270332E-2</v>
      </c>
    </row>
    <row r="107" spans="1:6" ht="15" customHeight="1" x14ac:dyDescent="0.2">
      <c r="A107" s="147">
        <v>5</v>
      </c>
      <c r="B107" s="169" t="s">
        <v>237</v>
      </c>
      <c r="C107" s="157">
        <v>4700982</v>
      </c>
      <c r="D107" s="157">
        <v>5132377</v>
      </c>
      <c r="E107" s="157">
        <f t="shared" si="4"/>
        <v>431395</v>
      </c>
      <c r="F107" s="161">
        <f t="shared" si="5"/>
        <v>9.1766996767909337E-2</v>
      </c>
    </row>
    <row r="108" spans="1:6" ht="15" customHeight="1" x14ac:dyDescent="0.2">
      <c r="A108" s="147">
        <v>6</v>
      </c>
      <c r="B108" s="169" t="s">
        <v>238</v>
      </c>
      <c r="C108" s="157">
        <v>1518914</v>
      </c>
      <c r="D108" s="157">
        <v>1354118</v>
      </c>
      <c r="E108" s="157">
        <f t="shared" si="4"/>
        <v>-164796</v>
      </c>
      <c r="F108" s="161">
        <f t="shared" si="5"/>
        <v>-0.10849593854556611</v>
      </c>
    </row>
    <row r="109" spans="1:6" ht="15" customHeight="1" x14ac:dyDescent="0.2">
      <c r="A109" s="147">
        <v>7</v>
      </c>
      <c r="B109" s="169" t="s">
        <v>239</v>
      </c>
      <c r="C109" s="157">
        <v>18962912</v>
      </c>
      <c r="D109" s="157">
        <v>22085401</v>
      </c>
      <c r="E109" s="157">
        <f t="shared" si="4"/>
        <v>3122489</v>
      </c>
      <c r="F109" s="161">
        <f t="shared" si="5"/>
        <v>0.16466294839104881</v>
      </c>
    </row>
    <row r="110" spans="1:6" ht="15" customHeight="1" x14ac:dyDescent="0.2">
      <c r="A110" s="147">
        <v>8</v>
      </c>
      <c r="B110" s="169" t="s">
        <v>240</v>
      </c>
      <c r="C110" s="157">
        <v>364464</v>
      </c>
      <c r="D110" s="157">
        <v>354117</v>
      </c>
      <c r="E110" s="157">
        <f t="shared" si="4"/>
        <v>-10347</v>
      </c>
      <c r="F110" s="161">
        <f t="shared" si="5"/>
        <v>-2.838963519030686E-2</v>
      </c>
    </row>
    <row r="111" spans="1:6" ht="15" customHeight="1" x14ac:dyDescent="0.2">
      <c r="A111" s="147">
        <v>9</v>
      </c>
      <c r="B111" s="169" t="s">
        <v>241</v>
      </c>
      <c r="C111" s="157">
        <v>1572918</v>
      </c>
      <c r="D111" s="157">
        <v>1635672</v>
      </c>
      <c r="E111" s="157">
        <f t="shared" si="4"/>
        <v>62754</v>
      </c>
      <c r="F111" s="161">
        <f t="shared" si="5"/>
        <v>3.9896548961865778E-2</v>
      </c>
    </row>
    <row r="112" spans="1:6" ht="15" customHeight="1" x14ac:dyDescent="0.2">
      <c r="A112" s="147">
        <v>10</v>
      </c>
      <c r="B112" s="169" t="s">
        <v>242</v>
      </c>
      <c r="C112" s="157">
        <v>3441424</v>
      </c>
      <c r="D112" s="157">
        <v>3476543</v>
      </c>
      <c r="E112" s="157">
        <f t="shared" si="4"/>
        <v>35119</v>
      </c>
      <c r="F112" s="161">
        <f t="shared" si="5"/>
        <v>1.0204787320597521E-2</v>
      </c>
    </row>
    <row r="113" spans="1:6" ht="15" customHeight="1" x14ac:dyDescent="0.2">
      <c r="A113" s="147">
        <v>11</v>
      </c>
      <c r="B113" s="169" t="s">
        <v>243</v>
      </c>
      <c r="C113" s="157">
        <v>1982561</v>
      </c>
      <c r="D113" s="157">
        <v>2084650</v>
      </c>
      <c r="E113" s="157">
        <f t="shared" si="4"/>
        <v>102089</v>
      </c>
      <c r="F113" s="161">
        <f t="shared" si="5"/>
        <v>5.1493497551903827E-2</v>
      </c>
    </row>
    <row r="114" spans="1:6" ht="15" customHeight="1" x14ac:dyDescent="0.2">
      <c r="A114" s="147">
        <v>12</v>
      </c>
      <c r="B114" s="169" t="s">
        <v>244</v>
      </c>
      <c r="C114" s="157">
        <v>904358</v>
      </c>
      <c r="D114" s="157">
        <v>891516</v>
      </c>
      <c r="E114" s="157">
        <f t="shared" si="4"/>
        <v>-12842</v>
      </c>
      <c r="F114" s="161">
        <f t="shared" si="5"/>
        <v>-1.4200128710090474E-2</v>
      </c>
    </row>
    <row r="115" spans="1:6" ht="15" customHeight="1" x14ac:dyDescent="0.2">
      <c r="A115" s="147">
        <v>13</v>
      </c>
      <c r="B115" s="169" t="s">
        <v>245</v>
      </c>
      <c r="C115" s="157">
        <v>2371552</v>
      </c>
      <c r="D115" s="157">
        <v>2759517</v>
      </c>
      <c r="E115" s="157">
        <f t="shared" si="4"/>
        <v>387965</v>
      </c>
      <c r="F115" s="161">
        <f t="shared" si="5"/>
        <v>0.1635911841696914</v>
      </c>
    </row>
    <row r="116" spans="1:6" ht="15" customHeight="1" x14ac:dyDescent="0.2">
      <c r="A116" s="147">
        <v>14</v>
      </c>
      <c r="B116" s="169" t="s">
        <v>246</v>
      </c>
      <c r="C116" s="157">
        <v>892989</v>
      </c>
      <c r="D116" s="157">
        <v>878592</v>
      </c>
      <c r="E116" s="157">
        <f t="shared" si="4"/>
        <v>-14397</v>
      </c>
      <c r="F116" s="161">
        <f t="shared" si="5"/>
        <v>-1.6122259064781312E-2</v>
      </c>
    </row>
    <row r="117" spans="1:6" ht="15" customHeight="1" x14ac:dyDescent="0.2">
      <c r="A117" s="147">
        <v>15</v>
      </c>
      <c r="B117" s="169" t="s">
        <v>203</v>
      </c>
      <c r="C117" s="157">
        <v>1289518</v>
      </c>
      <c r="D117" s="157">
        <v>1424028</v>
      </c>
      <c r="E117" s="157">
        <f t="shared" si="4"/>
        <v>134510</v>
      </c>
      <c r="F117" s="161">
        <f t="shared" si="5"/>
        <v>0.10431029268300249</v>
      </c>
    </row>
    <row r="118" spans="1:6" ht="15" customHeight="1" x14ac:dyDescent="0.2">
      <c r="A118" s="147">
        <v>16</v>
      </c>
      <c r="B118" s="169" t="s">
        <v>247</v>
      </c>
      <c r="C118" s="157">
        <v>1055032</v>
      </c>
      <c r="D118" s="157">
        <v>1089309</v>
      </c>
      <c r="E118" s="157">
        <f t="shared" si="4"/>
        <v>34277</v>
      </c>
      <c r="F118" s="161">
        <f t="shared" si="5"/>
        <v>3.2489061943144854E-2</v>
      </c>
    </row>
    <row r="119" spans="1:6" ht="15" customHeight="1" x14ac:dyDescent="0.2">
      <c r="A119" s="147">
        <v>17</v>
      </c>
      <c r="B119" s="169" t="s">
        <v>248</v>
      </c>
      <c r="C119" s="157">
        <v>6554124</v>
      </c>
      <c r="D119" s="157">
        <v>7053312</v>
      </c>
      <c r="E119" s="157">
        <f t="shared" si="4"/>
        <v>499188</v>
      </c>
      <c r="F119" s="161">
        <f t="shared" si="5"/>
        <v>7.6163954176027185E-2</v>
      </c>
    </row>
    <row r="120" spans="1:6" ht="15" customHeight="1" x14ac:dyDescent="0.2">
      <c r="A120" s="147">
        <v>18</v>
      </c>
      <c r="B120" s="169" t="s">
        <v>249</v>
      </c>
      <c r="C120" s="157">
        <v>32376620</v>
      </c>
      <c r="D120" s="157">
        <v>28771910</v>
      </c>
      <c r="E120" s="157">
        <f t="shared" si="4"/>
        <v>-3604710</v>
      </c>
      <c r="F120" s="161">
        <f t="shared" si="5"/>
        <v>-0.11133682268254068</v>
      </c>
    </row>
    <row r="121" spans="1:6" ht="15.75" customHeight="1" x14ac:dyDescent="0.25">
      <c r="A121" s="147"/>
      <c r="B121" s="165" t="s">
        <v>250</v>
      </c>
      <c r="C121" s="158">
        <f>SUM(C103:C120)</f>
        <v>87339088</v>
      </c>
      <c r="D121" s="158">
        <f>SUM(D103:D120)</f>
        <v>88988157</v>
      </c>
      <c r="E121" s="158">
        <f t="shared" si="4"/>
        <v>1649069</v>
      </c>
      <c r="F121" s="159">
        <f t="shared" si="5"/>
        <v>1.8881225322618437E-2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7152739</v>
      </c>
      <c r="D124" s="157">
        <v>7649831</v>
      </c>
      <c r="E124" s="157">
        <f t="shared" ref="E124:E130" si="6">D124-C124</f>
        <v>497092</v>
      </c>
      <c r="F124" s="161">
        <f t="shared" ref="F124:F130" si="7">IF(C124=0,0,E124/C124)</f>
        <v>6.9496734048313524E-2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1814184</v>
      </c>
      <c r="D126" s="157">
        <v>2019269</v>
      </c>
      <c r="E126" s="157">
        <f t="shared" si="6"/>
        <v>205085</v>
      </c>
      <c r="F126" s="161">
        <f t="shared" si="7"/>
        <v>0.11304531403650346</v>
      </c>
    </row>
    <row r="127" spans="1:6" ht="15" customHeight="1" x14ac:dyDescent="0.2">
      <c r="A127" s="147">
        <v>4</v>
      </c>
      <c r="B127" s="169" t="s">
        <v>255</v>
      </c>
      <c r="C127" s="157">
        <v>1700454</v>
      </c>
      <c r="D127" s="157">
        <v>1696856</v>
      </c>
      <c r="E127" s="157">
        <f t="shared" si="6"/>
        <v>-3598</v>
      </c>
      <c r="F127" s="161">
        <f t="shared" si="7"/>
        <v>-2.1159055169972254E-3</v>
      </c>
    </row>
    <row r="128" spans="1:6" ht="15" customHeight="1" x14ac:dyDescent="0.2">
      <c r="A128" s="147">
        <v>5</v>
      </c>
      <c r="B128" s="169" t="s">
        <v>256</v>
      </c>
      <c r="C128" s="157">
        <v>258241</v>
      </c>
      <c r="D128" s="157">
        <v>145997</v>
      </c>
      <c r="E128" s="157">
        <f t="shared" si="6"/>
        <v>-112244</v>
      </c>
      <c r="F128" s="161">
        <f t="shared" si="7"/>
        <v>-0.43464825492466341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10925618</v>
      </c>
      <c r="D130" s="158">
        <f>SUM(D124:D129)</f>
        <v>11511953</v>
      </c>
      <c r="E130" s="158">
        <f t="shared" si="6"/>
        <v>586335</v>
      </c>
      <c r="F130" s="159">
        <f t="shared" si="7"/>
        <v>5.36660717956641E-2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11994151</v>
      </c>
      <c r="D133" s="157">
        <v>12657173</v>
      </c>
      <c r="E133" s="157">
        <f t="shared" ref="E133:E167" si="8">D133-C133</f>
        <v>663022</v>
      </c>
      <c r="F133" s="161">
        <f t="shared" ref="F133:F167" si="9">IF(C133=0,0,E133/C133)</f>
        <v>5.5278777130619752E-2</v>
      </c>
    </row>
    <row r="134" spans="1:6" ht="15" customHeight="1" x14ac:dyDescent="0.2">
      <c r="A134" s="147">
        <v>2</v>
      </c>
      <c r="B134" s="169" t="s">
        <v>261</v>
      </c>
      <c r="C134" s="157">
        <v>1129181</v>
      </c>
      <c r="D134" s="157">
        <v>1085549</v>
      </c>
      <c r="E134" s="157">
        <f t="shared" si="8"/>
        <v>-43632</v>
      </c>
      <c r="F134" s="161">
        <f t="shared" si="9"/>
        <v>-3.864039511823171E-2</v>
      </c>
    </row>
    <row r="135" spans="1:6" ht="15" customHeight="1" x14ac:dyDescent="0.2">
      <c r="A135" s="147">
        <v>3</v>
      </c>
      <c r="B135" s="169" t="s">
        <v>262</v>
      </c>
      <c r="C135" s="157">
        <v>454972</v>
      </c>
      <c r="D135" s="157">
        <v>423228</v>
      </c>
      <c r="E135" s="157">
        <f t="shared" si="8"/>
        <v>-31744</v>
      </c>
      <c r="F135" s="161">
        <f t="shared" si="9"/>
        <v>-6.977132658713063E-2</v>
      </c>
    </row>
    <row r="136" spans="1:6" ht="15" customHeight="1" x14ac:dyDescent="0.2">
      <c r="A136" s="147">
        <v>4</v>
      </c>
      <c r="B136" s="169" t="s">
        <v>263</v>
      </c>
      <c r="C136" s="157">
        <v>3853356</v>
      </c>
      <c r="D136" s="157">
        <v>4087874</v>
      </c>
      <c r="E136" s="157">
        <f t="shared" si="8"/>
        <v>234518</v>
      </c>
      <c r="F136" s="161">
        <f t="shared" si="9"/>
        <v>6.0860714660155982E-2</v>
      </c>
    </row>
    <row r="137" spans="1:6" ht="15" customHeight="1" x14ac:dyDescent="0.2">
      <c r="A137" s="147">
        <v>5</v>
      </c>
      <c r="B137" s="169" t="s">
        <v>264</v>
      </c>
      <c r="C137" s="157">
        <v>2590875</v>
      </c>
      <c r="D137" s="157">
        <v>2384537</v>
      </c>
      <c r="E137" s="157">
        <f t="shared" si="8"/>
        <v>-206338</v>
      </c>
      <c r="F137" s="161">
        <f t="shared" si="9"/>
        <v>-7.964027596854345E-2</v>
      </c>
    </row>
    <row r="138" spans="1:6" ht="15" customHeight="1" x14ac:dyDescent="0.2">
      <c r="A138" s="147">
        <v>6</v>
      </c>
      <c r="B138" s="169" t="s">
        <v>265</v>
      </c>
      <c r="C138" s="157">
        <v>723956</v>
      </c>
      <c r="D138" s="157">
        <v>616603</v>
      </c>
      <c r="E138" s="157">
        <f t="shared" si="8"/>
        <v>-107353</v>
      </c>
      <c r="F138" s="161">
        <f t="shared" si="9"/>
        <v>-0.14828663620441021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607171</v>
      </c>
      <c r="D140" s="157">
        <v>614286</v>
      </c>
      <c r="E140" s="157">
        <f t="shared" si="8"/>
        <v>7115</v>
      </c>
      <c r="F140" s="161">
        <f t="shared" si="9"/>
        <v>1.171828035265189E-2</v>
      </c>
    </row>
    <row r="141" spans="1:6" ht="15" customHeight="1" x14ac:dyDescent="0.2">
      <c r="A141" s="147">
        <v>9</v>
      </c>
      <c r="B141" s="169" t="s">
        <v>268</v>
      </c>
      <c r="C141" s="157">
        <v>824965</v>
      </c>
      <c r="D141" s="157">
        <v>816471</v>
      </c>
      <c r="E141" s="157">
        <f t="shared" si="8"/>
        <v>-8494</v>
      </c>
      <c r="F141" s="161">
        <f t="shared" si="9"/>
        <v>-1.029619438400417E-2</v>
      </c>
    </row>
    <row r="142" spans="1:6" ht="15" customHeight="1" x14ac:dyDescent="0.2">
      <c r="A142" s="147">
        <v>10</v>
      </c>
      <c r="B142" s="169" t="s">
        <v>269</v>
      </c>
      <c r="C142" s="157">
        <v>11859292</v>
      </c>
      <c r="D142" s="157">
        <v>12607314</v>
      </c>
      <c r="E142" s="157">
        <f t="shared" si="8"/>
        <v>748022</v>
      </c>
      <c r="F142" s="161">
        <f t="shared" si="9"/>
        <v>6.3074760280799225E-2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1728338</v>
      </c>
      <c r="D144" s="157">
        <v>1734566</v>
      </c>
      <c r="E144" s="157">
        <f t="shared" si="8"/>
        <v>6228</v>
      </c>
      <c r="F144" s="161">
        <f t="shared" si="9"/>
        <v>3.6034618228610376E-3</v>
      </c>
    </row>
    <row r="145" spans="1:6" ht="15" customHeight="1" x14ac:dyDescent="0.2">
      <c r="A145" s="147">
        <v>13</v>
      </c>
      <c r="B145" s="169" t="s">
        <v>272</v>
      </c>
      <c r="C145" s="157">
        <v>193514</v>
      </c>
      <c r="D145" s="157">
        <v>218750</v>
      </c>
      <c r="E145" s="157">
        <f t="shared" si="8"/>
        <v>25236</v>
      </c>
      <c r="F145" s="161">
        <f t="shared" si="9"/>
        <v>0.13040916936242339</v>
      </c>
    </row>
    <row r="146" spans="1:6" ht="15" customHeight="1" x14ac:dyDescent="0.2">
      <c r="A146" s="147">
        <v>14</v>
      </c>
      <c r="B146" s="169" t="s">
        <v>273</v>
      </c>
      <c r="C146" s="157">
        <v>199096</v>
      </c>
      <c r="D146" s="157">
        <v>195316</v>
      </c>
      <c r="E146" s="157">
        <f t="shared" si="8"/>
        <v>-3780</v>
      </c>
      <c r="F146" s="161">
        <f t="shared" si="9"/>
        <v>-1.8985815887812913E-2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73648</v>
      </c>
      <c r="D148" s="157">
        <v>90484</v>
      </c>
      <c r="E148" s="157">
        <f t="shared" si="8"/>
        <v>16836</v>
      </c>
      <c r="F148" s="161">
        <f t="shared" si="9"/>
        <v>0.22860091244840322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4782585</v>
      </c>
      <c r="D154" s="157">
        <v>4534783</v>
      </c>
      <c r="E154" s="157">
        <f t="shared" si="8"/>
        <v>-247802</v>
      </c>
      <c r="F154" s="161">
        <f t="shared" si="9"/>
        <v>-5.1813402166401644E-2</v>
      </c>
    </row>
    <row r="155" spans="1:6" ht="15" customHeight="1" x14ac:dyDescent="0.2">
      <c r="A155" s="147">
        <v>23</v>
      </c>
      <c r="B155" s="169" t="s">
        <v>282</v>
      </c>
      <c r="C155" s="157">
        <v>141787</v>
      </c>
      <c r="D155" s="157">
        <v>185682</v>
      </c>
      <c r="E155" s="157">
        <f t="shared" si="8"/>
        <v>43895</v>
      </c>
      <c r="F155" s="161">
        <f t="shared" si="9"/>
        <v>0.30958409445153645</v>
      </c>
    </row>
    <row r="156" spans="1:6" ht="15" customHeight="1" x14ac:dyDescent="0.2">
      <c r="A156" s="147">
        <v>24</v>
      </c>
      <c r="B156" s="169" t="s">
        <v>283</v>
      </c>
      <c r="C156" s="157">
        <v>9794772</v>
      </c>
      <c r="D156" s="157">
        <v>10106781</v>
      </c>
      <c r="E156" s="157">
        <f t="shared" si="8"/>
        <v>312009</v>
      </c>
      <c r="F156" s="161">
        <f t="shared" si="9"/>
        <v>3.1854646540011342E-2</v>
      </c>
    </row>
    <row r="157" spans="1:6" ht="15" customHeight="1" x14ac:dyDescent="0.2">
      <c r="A157" s="147">
        <v>25</v>
      </c>
      <c r="B157" s="169" t="s">
        <v>284</v>
      </c>
      <c r="C157" s="157">
        <v>259352</v>
      </c>
      <c r="D157" s="157">
        <v>223935</v>
      </c>
      <c r="E157" s="157">
        <f t="shared" si="8"/>
        <v>-35417</v>
      </c>
      <c r="F157" s="161">
        <f t="shared" si="9"/>
        <v>-0.13655957925907647</v>
      </c>
    </row>
    <row r="158" spans="1:6" ht="15" customHeight="1" x14ac:dyDescent="0.2">
      <c r="A158" s="147">
        <v>26</v>
      </c>
      <c r="B158" s="169" t="s">
        <v>285</v>
      </c>
      <c r="C158" s="157">
        <v>480968</v>
      </c>
      <c r="D158" s="157">
        <v>498822</v>
      </c>
      <c r="E158" s="157">
        <f t="shared" si="8"/>
        <v>17854</v>
      </c>
      <c r="F158" s="161">
        <f t="shared" si="9"/>
        <v>3.7120972705044823E-2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2222124</v>
      </c>
      <c r="D160" s="157">
        <v>1731832</v>
      </c>
      <c r="E160" s="157">
        <f t="shared" si="8"/>
        <v>-490292</v>
      </c>
      <c r="F160" s="161">
        <f t="shared" si="9"/>
        <v>-0.22064115233893339</v>
      </c>
    </row>
    <row r="161" spans="1:6" ht="15" customHeight="1" x14ac:dyDescent="0.2">
      <c r="A161" s="147">
        <v>29</v>
      </c>
      <c r="B161" s="169" t="s">
        <v>288</v>
      </c>
      <c r="C161" s="157">
        <v>907990</v>
      </c>
      <c r="D161" s="157">
        <v>786871</v>
      </c>
      <c r="E161" s="157">
        <f t="shared" si="8"/>
        <v>-121119</v>
      </c>
      <c r="F161" s="161">
        <f t="shared" si="9"/>
        <v>-0.13339243824271194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1791743</v>
      </c>
      <c r="D164" s="157">
        <v>1971872</v>
      </c>
      <c r="E164" s="157">
        <f t="shared" si="8"/>
        <v>180129</v>
      </c>
      <c r="F164" s="161">
        <f t="shared" si="9"/>
        <v>0.10053283311278459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7082136</v>
      </c>
      <c r="D166" s="157">
        <v>6968148</v>
      </c>
      <c r="E166" s="157">
        <f t="shared" si="8"/>
        <v>-113988</v>
      </c>
      <c r="F166" s="161">
        <f t="shared" si="9"/>
        <v>-1.6095144176841564E-2</v>
      </c>
    </row>
    <row r="167" spans="1:6" ht="15.75" customHeight="1" x14ac:dyDescent="0.25">
      <c r="A167" s="147"/>
      <c r="B167" s="165" t="s">
        <v>294</v>
      </c>
      <c r="C167" s="158">
        <f>SUM(C133:C166)</f>
        <v>63695972</v>
      </c>
      <c r="D167" s="158">
        <f>SUM(D133:D166)</f>
        <v>64540877</v>
      </c>
      <c r="E167" s="158">
        <f t="shared" si="8"/>
        <v>844905</v>
      </c>
      <c r="F167" s="159">
        <f t="shared" si="9"/>
        <v>1.3264653532565607E-2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7029820</v>
      </c>
      <c r="D170" s="157">
        <v>7428351</v>
      </c>
      <c r="E170" s="157">
        <f t="shared" ref="E170:E183" si="10">D170-C170</f>
        <v>398531</v>
      </c>
      <c r="F170" s="161">
        <f t="shared" ref="F170:F183" si="11">IF(C170=0,0,E170/C170)</f>
        <v>5.6691494234560769E-2</v>
      </c>
    </row>
    <row r="171" spans="1:6" ht="15" customHeight="1" x14ac:dyDescent="0.2">
      <c r="A171" s="147">
        <v>2</v>
      </c>
      <c r="B171" s="169" t="s">
        <v>297</v>
      </c>
      <c r="C171" s="157">
        <v>7133021</v>
      </c>
      <c r="D171" s="157">
        <v>7595288</v>
      </c>
      <c r="E171" s="157">
        <f t="shared" si="10"/>
        <v>462267</v>
      </c>
      <c r="F171" s="161">
        <f t="shared" si="11"/>
        <v>6.4806622607728195E-2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4118629</v>
      </c>
      <c r="D173" s="157">
        <v>4272962</v>
      </c>
      <c r="E173" s="157">
        <f t="shared" si="10"/>
        <v>154333</v>
      </c>
      <c r="F173" s="161">
        <f t="shared" si="11"/>
        <v>3.7471935442595097E-2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1511004</v>
      </c>
      <c r="D175" s="157">
        <v>1345793</v>
      </c>
      <c r="E175" s="157">
        <f t="shared" si="10"/>
        <v>-165211</v>
      </c>
      <c r="F175" s="161">
        <f t="shared" si="11"/>
        <v>-0.10933855899785838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1372247</v>
      </c>
      <c r="D179" s="157">
        <v>1315932</v>
      </c>
      <c r="E179" s="157">
        <f t="shared" si="10"/>
        <v>-56315</v>
      </c>
      <c r="F179" s="161">
        <f t="shared" si="11"/>
        <v>-4.1038530235445951E-2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1320602</v>
      </c>
      <c r="D182" s="157">
        <v>1335773</v>
      </c>
      <c r="E182" s="157">
        <f t="shared" si="10"/>
        <v>15171</v>
      </c>
      <c r="F182" s="161">
        <f t="shared" si="11"/>
        <v>1.1487942620108103E-2</v>
      </c>
    </row>
    <row r="183" spans="1:6" ht="15.75" customHeight="1" x14ac:dyDescent="0.25">
      <c r="A183" s="147"/>
      <c r="B183" s="165" t="s">
        <v>309</v>
      </c>
      <c r="C183" s="158">
        <f>SUM(C170:C182)</f>
        <v>22485323</v>
      </c>
      <c r="D183" s="158">
        <f>SUM(D170:D182)</f>
        <v>23294099</v>
      </c>
      <c r="E183" s="158">
        <f t="shared" si="10"/>
        <v>808776</v>
      </c>
      <c r="F183" s="159">
        <f t="shared" si="11"/>
        <v>3.596906301946385E-2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184446001</v>
      </c>
      <c r="D188" s="158">
        <f>+D186+D183+D167+D130+D121</f>
        <v>188335086</v>
      </c>
      <c r="E188" s="158">
        <f>D188-C188</f>
        <v>3889085</v>
      </c>
      <c r="F188" s="159">
        <f>IF(C188=0,0,E188/C188)</f>
        <v>2.1085222660913099E-2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166602260</v>
      </c>
      <c r="D11" s="183">
        <v>175217566</v>
      </c>
      <c r="E11" s="76">
        <v>170299621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13148358</v>
      </c>
      <c r="D12" s="185">
        <v>19861936</v>
      </c>
      <c r="E12" s="185">
        <v>19289474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179750618</v>
      </c>
      <c r="D13" s="76">
        <f>+D11+D12</f>
        <v>195079502</v>
      </c>
      <c r="E13" s="76">
        <f>+E11+E12</f>
        <v>189589095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173322666</v>
      </c>
      <c r="D14" s="185">
        <v>184446001</v>
      </c>
      <c r="E14" s="185">
        <v>188335086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6427952</v>
      </c>
      <c r="D15" s="76">
        <f>+D13-D14</f>
        <v>10633501</v>
      </c>
      <c r="E15" s="76">
        <f>+E13-E14</f>
        <v>1254009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-364307</v>
      </c>
      <c r="D16" s="185">
        <v>-868637</v>
      </c>
      <c r="E16" s="185">
        <v>-1466699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6063645</v>
      </c>
      <c r="D17" s="76">
        <f>D15+D16</f>
        <v>9764864</v>
      </c>
      <c r="E17" s="76">
        <f>E15+E16</f>
        <v>-212690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3.5833012921482062E-2</v>
      </c>
      <c r="D20" s="189">
        <f>IF(+D27=0,0,+D24/+D27)</f>
        <v>5.4752348690687312E-2</v>
      </c>
      <c r="E20" s="189">
        <f>IF(+E27=0,0,+E24/+E27)</f>
        <v>6.6659208401747124E-3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-2.0308517298178899E-3</v>
      </c>
      <c r="D21" s="189">
        <f>IF(D27=0,0,+D26/D27)</f>
        <v>-4.4726488397031751E-3</v>
      </c>
      <c r="E21" s="189">
        <f>IF(E27=0,0,+E26/E27)</f>
        <v>-7.7965145627849645E-3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3.3802161191664175E-2</v>
      </c>
      <c r="D22" s="189">
        <f>IF(D27=0,0,+D28/D27)</f>
        <v>5.0279699850984134E-2</v>
      </c>
      <c r="E22" s="189">
        <f>IF(E27=0,0,+E28/E27)</f>
        <v>-1.1305937226102521E-3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6427952</v>
      </c>
      <c r="D24" s="76">
        <f>+D15</f>
        <v>10633501</v>
      </c>
      <c r="E24" s="76">
        <f>+E15</f>
        <v>1254009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179750618</v>
      </c>
      <c r="D25" s="76">
        <f>+D13</f>
        <v>195079502</v>
      </c>
      <c r="E25" s="76">
        <f>+E13</f>
        <v>189589095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-364307</v>
      </c>
      <c r="D26" s="76">
        <f>+D16</f>
        <v>-868637</v>
      </c>
      <c r="E26" s="76">
        <f>+E16</f>
        <v>-1466699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179386311</v>
      </c>
      <c r="D27" s="76">
        <f>+D25+D26</f>
        <v>194210865</v>
      </c>
      <c r="E27" s="76">
        <f>+E25+E26</f>
        <v>188122396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6063645</v>
      </c>
      <c r="D28" s="76">
        <f>+D17</f>
        <v>9764864</v>
      </c>
      <c r="E28" s="76">
        <f>+E17</f>
        <v>-212690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3473307</v>
      </c>
      <c r="D31" s="76">
        <v>4925515</v>
      </c>
      <c r="E31" s="76">
        <v>27759929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12141642</v>
      </c>
      <c r="D32" s="76">
        <v>15005773</v>
      </c>
      <c r="E32" s="76">
        <v>37731740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-3049745</v>
      </c>
      <c r="D33" s="76">
        <f>+D32-C32</f>
        <v>2864131</v>
      </c>
      <c r="E33" s="76">
        <f>+E32-D32</f>
        <v>22725967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0.79920000000000002</v>
      </c>
      <c r="D34" s="193">
        <f>IF(C32=0,0,+D33/C32)</f>
        <v>0.23589321773776561</v>
      </c>
      <c r="E34" s="193">
        <f>IF(D32=0,0,+E33/D32)</f>
        <v>1.5144815931841697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0.39892967700006532</v>
      </c>
      <c r="D38" s="195">
        <f>IF((D40+D41)=0,0,+D39/(D40+D41))</f>
        <v>0.36041240491007664</v>
      </c>
      <c r="E38" s="195">
        <f>IF((E40+E41)=0,0,+E39/(E40+E41))</f>
        <v>0.32342537059621679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173322666</v>
      </c>
      <c r="D39" s="76">
        <v>184446001</v>
      </c>
      <c r="E39" s="196">
        <v>188335086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421320863</v>
      </c>
      <c r="D40" s="76">
        <v>491901806</v>
      </c>
      <c r="E40" s="196">
        <v>563024417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13148358</v>
      </c>
      <c r="D41" s="76">
        <v>19861936</v>
      </c>
      <c r="E41" s="196">
        <v>19289474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1.2938166417528405</v>
      </c>
      <c r="D43" s="197">
        <f>IF(D38=0,0,IF((D46-D47)=0,0,((+D44-D45)/(D46-D47)/D38)))</f>
        <v>1.3382484568445903</v>
      </c>
      <c r="E43" s="197">
        <f>IF(E38=0,0,IF((E46-E47)=0,0,((+E44-E45)/(E46-E47)/E38)))</f>
        <v>1.3505563500127604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85091498</v>
      </c>
      <c r="D44" s="76">
        <v>87693923</v>
      </c>
      <c r="E44" s="196">
        <v>88413152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350457</v>
      </c>
      <c r="D45" s="76">
        <v>355294</v>
      </c>
      <c r="E45" s="196">
        <v>476710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175535197</v>
      </c>
      <c r="D46" s="76">
        <v>192665512</v>
      </c>
      <c r="E46" s="196">
        <v>211134171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11353509</v>
      </c>
      <c r="D47" s="76">
        <v>11585761</v>
      </c>
      <c r="E47" s="76">
        <v>9816408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0.80080544545769283</v>
      </c>
      <c r="D49" s="198">
        <f>IF(D38=0,0,IF(D51=0,0,(D50/D51)/D38))</f>
        <v>0.77798002059428106</v>
      </c>
      <c r="E49" s="198">
        <f>IF(E38=0,0,IF(E51=0,0,(E50/E51)/E38))</f>
        <v>0.75998632627273688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55001262</v>
      </c>
      <c r="D50" s="199">
        <v>59414363</v>
      </c>
      <c r="E50" s="199">
        <v>60507116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172166754</v>
      </c>
      <c r="D51" s="199">
        <v>211896250</v>
      </c>
      <c r="E51" s="199">
        <v>246165162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0.64654040944529889</v>
      </c>
      <c r="D53" s="198">
        <f>IF(D38=0,0,IF(D55=0,0,(D54/D55)/D38))</f>
        <v>0.69413738902728617</v>
      </c>
      <c r="E53" s="198">
        <f>IF(E38=0,0,IF(E55=0,0,(E54/E55)/E38))</f>
        <v>0.69121111559703396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18523993</v>
      </c>
      <c r="D54" s="199">
        <v>21429106</v>
      </c>
      <c r="E54" s="199">
        <v>23251760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71819535</v>
      </c>
      <c r="D55" s="199">
        <v>85656216</v>
      </c>
      <c r="E55" s="199">
        <v>104009027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4389439.5921484753</v>
      </c>
      <c r="D57" s="88">
        <f>+D60*D38</f>
        <v>4085613.3973163343</v>
      </c>
      <c r="E57" s="88">
        <f>+E60*E38</f>
        <v>3049041.9035126502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4838371</v>
      </c>
      <c r="D58" s="199">
        <v>4953633</v>
      </c>
      <c r="E58" s="199">
        <v>3908882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6164670</v>
      </c>
      <c r="D59" s="199">
        <v>6382307</v>
      </c>
      <c r="E59" s="199">
        <v>5518461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11003041</v>
      </c>
      <c r="D60" s="76">
        <v>11335940</v>
      </c>
      <c r="E60" s="201">
        <v>9427343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2.5325248528940095E-2</v>
      </c>
      <c r="D62" s="202">
        <f>IF(D63=0,0,+D57/D63)</f>
        <v>2.2150729076074325E-2</v>
      </c>
      <c r="E62" s="202">
        <f>IF(E63=0,0,+E57/E63)</f>
        <v>1.6189452365305158E-2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173322666</v>
      </c>
      <c r="D63" s="199">
        <v>184446001</v>
      </c>
      <c r="E63" s="199">
        <v>188335086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1.0251595687808153</v>
      </c>
      <c r="D67" s="203">
        <f>IF(D69=0,0,D68/D69)</f>
        <v>1.3114270425416319</v>
      </c>
      <c r="E67" s="203">
        <f>IF(E69=0,0,E68/E69)</f>
        <v>1.1865868171863634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41209391</v>
      </c>
      <c r="D68" s="204">
        <v>46454149</v>
      </c>
      <c r="E68" s="204">
        <v>49732057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40198026</v>
      </c>
      <c r="D69" s="204">
        <v>35422595</v>
      </c>
      <c r="E69" s="204">
        <v>41911857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23.893604197441864</v>
      </c>
      <c r="D71" s="203">
        <f>IF((D77/365)=0,0,+D74/(D77/365))</f>
        <v>13.187110390011412</v>
      </c>
      <c r="E71" s="203">
        <f>IF((E77/365)=0,0,+E74/(E77/365))</f>
        <v>24.65190621792155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10880739</v>
      </c>
      <c r="D72" s="183">
        <v>6414687</v>
      </c>
      <c r="E72" s="183">
        <v>12239488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10880739</v>
      </c>
      <c r="D74" s="204">
        <f>+D72+D73</f>
        <v>6414687</v>
      </c>
      <c r="E74" s="204">
        <f>+E72+E73</f>
        <v>12239488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173322666</v>
      </c>
      <c r="D75" s="204">
        <f>+D14</f>
        <v>184446001</v>
      </c>
      <c r="E75" s="204">
        <f>+E14</f>
        <v>188335086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7107904</v>
      </c>
      <c r="D76" s="204">
        <v>6896812</v>
      </c>
      <c r="E76" s="204">
        <v>7115302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166214762</v>
      </c>
      <c r="D77" s="204">
        <f>+D75-D76</f>
        <v>177549189</v>
      </c>
      <c r="E77" s="204">
        <f>+E75-E76</f>
        <v>181219784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51.951852874024638</v>
      </c>
      <c r="D79" s="203">
        <f>IF((D84/365)=0,0,+D83/(D84/365))</f>
        <v>59.87127840253185</v>
      </c>
      <c r="E79" s="203">
        <f>IF((E84/365)=0,0,+E83/(E84/365))</f>
        <v>58.548352876252146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24700330</v>
      </c>
      <c r="D80" s="212">
        <v>26534856</v>
      </c>
      <c r="E80" s="212">
        <v>27182276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432832</v>
      </c>
      <c r="D81" s="212">
        <v>3549365</v>
      </c>
      <c r="E81" s="212">
        <v>3078822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1420022</v>
      </c>
      <c r="D82" s="212">
        <v>1343126</v>
      </c>
      <c r="E82" s="212">
        <v>2943941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23713140</v>
      </c>
      <c r="D83" s="212">
        <f>+D80+D81-D82</f>
        <v>28741095</v>
      </c>
      <c r="E83" s="212">
        <f>+E80+E81-E82</f>
        <v>27317157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166602260</v>
      </c>
      <c r="D84" s="204">
        <f>+D11</f>
        <v>175217566</v>
      </c>
      <c r="E84" s="204">
        <f>+E11</f>
        <v>170299621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88.273022885897461</v>
      </c>
      <c r="D86" s="203">
        <f>IF((D90/365)=0,0,+D87/(D90/365))</f>
        <v>72.820649014623214</v>
      </c>
      <c r="E86" s="203">
        <f>IF((E90/365)=0,0,+E87/(E90/365))</f>
        <v>84.415881463582366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40198026</v>
      </c>
      <c r="D87" s="76">
        <f>+D69</f>
        <v>35422595</v>
      </c>
      <c r="E87" s="76">
        <f>+E69</f>
        <v>41911857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173322666</v>
      </c>
      <c r="D88" s="76">
        <f t="shared" si="0"/>
        <v>184446001</v>
      </c>
      <c r="E88" s="76">
        <f t="shared" si="0"/>
        <v>188335086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7107904</v>
      </c>
      <c r="D89" s="201">
        <f t="shared" si="0"/>
        <v>6896812</v>
      </c>
      <c r="E89" s="201">
        <f t="shared" si="0"/>
        <v>7115302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166214762</v>
      </c>
      <c r="D90" s="76">
        <f>+D88-D89</f>
        <v>177549189</v>
      </c>
      <c r="E90" s="76">
        <f>+E88-E89</f>
        <v>181219784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8.20190089758003</v>
      </c>
      <c r="D94" s="214">
        <f>IF(D96=0,0,(D95/D96)*100)</f>
        <v>8.8232203719821563</v>
      </c>
      <c r="E94" s="214">
        <f>IF(E96=0,0,(E95/E96)*100)</f>
        <v>21.665636337939262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12141642</v>
      </c>
      <c r="D95" s="76">
        <f>+D32</f>
        <v>15005773</v>
      </c>
      <c r="E95" s="76">
        <f>+E32</f>
        <v>37731740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148034488</v>
      </c>
      <c r="D96" s="76">
        <v>170071384</v>
      </c>
      <c r="E96" s="76">
        <v>174154774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14.650230292443714</v>
      </c>
      <c r="D98" s="214">
        <f>IF(D104=0,0,(D101/D104)*100)</f>
        <v>19.130412058855853</v>
      </c>
      <c r="E98" s="214">
        <f>IF(E104=0,0,(E101/E104)*100)</f>
        <v>7.445727968958102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6063645</v>
      </c>
      <c r="D99" s="76">
        <f>+D28</f>
        <v>9764864</v>
      </c>
      <c r="E99" s="76">
        <f>+E28</f>
        <v>-212690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7107904</v>
      </c>
      <c r="D100" s="201">
        <f>+D76</f>
        <v>6896812</v>
      </c>
      <c r="E100" s="201">
        <f>+E76</f>
        <v>7115302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13171549</v>
      </c>
      <c r="D101" s="76">
        <f>+D99+D100</f>
        <v>16661676</v>
      </c>
      <c r="E101" s="76">
        <f>+E99+E100</f>
        <v>6902612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40198026</v>
      </c>
      <c r="D102" s="204">
        <f>+D69</f>
        <v>35422595</v>
      </c>
      <c r="E102" s="204">
        <f>+E69</f>
        <v>41911857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49708745</v>
      </c>
      <c r="D103" s="216">
        <v>51672633</v>
      </c>
      <c r="E103" s="216">
        <v>50793813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89906771</v>
      </c>
      <c r="D104" s="204">
        <f>+D102+D103</f>
        <v>87095228</v>
      </c>
      <c r="E104" s="204">
        <f>+E102+E103</f>
        <v>92705670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80.369335441668298</v>
      </c>
      <c r="D106" s="214">
        <f>IF(D109=0,0,(D107/D109)*100)</f>
        <v>77.495303352032735</v>
      </c>
      <c r="E106" s="214">
        <f>IF(E109=0,0,(E107/E109)*100)</f>
        <v>57.377572100566269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49708745</v>
      </c>
      <c r="D107" s="204">
        <f>+D103</f>
        <v>51672633</v>
      </c>
      <c r="E107" s="204">
        <f>+E103</f>
        <v>50793813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12141642</v>
      </c>
      <c r="D108" s="204">
        <f>+D32</f>
        <v>15005773</v>
      </c>
      <c r="E108" s="204">
        <f>+E32</f>
        <v>37731740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61850387</v>
      </c>
      <c r="D109" s="204">
        <f>+D107+D108</f>
        <v>66678406</v>
      </c>
      <c r="E109" s="204">
        <f>+E107+E108</f>
        <v>88525553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2.1755668182982641</v>
      </c>
      <c r="D111" s="214">
        <f>IF((+D113+D115)=0,0,((+D112+D113+D114)/(+D113+D115)))</f>
        <v>1.519931344800969</v>
      </c>
      <c r="E111" s="214">
        <f>IF((+E113+E115)=0,0,((+E112+E113+E114)/(+E113+E115)))</f>
        <v>0.72439947788175207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6063645</v>
      </c>
      <c r="D112" s="76">
        <f>+D17</f>
        <v>9764864</v>
      </c>
      <c r="E112" s="76">
        <f>+E17</f>
        <v>-212690</v>
      </c>
    </row>
    <row r="113" spans="1:8" ht="24" customHeight="1" x14ac:dyDescent="0.2">
      <c r="A113" s="85">
        <v>17</v>
      </c>
      <c r="B113" s="75" t="s">
        <v>88</v>
      </c>
      <c r="C113" s="218">
        <v>2539198</v>
      </c>
      <c r="D113" s="76">
        <v>2714044</v>
      </c>
      <c r="E113" s="76">
        <v>2685044</v>
      </c>
    </row>
    <row r="114" spans="1:8" ht="24" customHeight="1" x14ac:dyDescent="0.2">
      <c r="A114" s="85">
        <v>18</v>
      </c>
      <c r="B114" s="75" t="s">
        <v>374</v>
      </c>
      <c r="C114" s="218">
        <v>7107904</v>
      </c>
      <c r="D114" s="76">
        <v>6896812</v>
      </c>
      <c r="E114" s="76">
        <v>7115302</v>
      </c>
    </row>
    <row r="115" spans="1:8" ht="24" customHeight="1" x14ac:dyDescent="0.2">
      <c r="A115" s="85">
        <v>19</v>
      </c>
      <c r="B115" s="75" t="s">
        <v>104</v>
      </c>
      <c r="C115" s="218">
        <v>4682252</v>
      </c>
      <c r="D115" s="76">
        <v>10033716</v>
      </c>
      <c r="E115" s="76">
        <v>10550272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19.343894627727106</v>
      </c>
      <c r="D119" s="214">
        <f>IF(+D121=0,0,(+D120)/(+D121))</f>
        <v>20.820256373524462</v>
      </c>
      <c r="E119" s="214">
        <f>IF(+E121=0,0,(+E120)/(+E121))</f>
        <v>18.941568045881962</v>
      </c>
    </row>
    <row r="120" spans="1:8" ht="24" customHeight="1" x14ac:dyDescent="0.2">
      <c r="A120" s="85">
        <v>21</v>
      </c>
      <c r="B120" s="75" t="s">
        <v>378</v>
      </c>
      <c r="C120" s="218">
        <v>137494546</v>
      </c>
      <c r="D120" s="218">
        <v>143593394</v>
      </c>
      <c r="E120" s="218">
        <v>134774977</v>
      </c>
    </row>
    <row r="121" spans="1:8" ht="24" customHeight="1" x14ac:dyDescent="0.2">
      <c r="A121" s="85">
        <v>22</v>
      </c>
      <c r="B121" s="75" t="s">
        <v>374</v>
      </c>
      <c r="C121" s="218">
        <v>7107904</v>
      </c>
      <c r="D121" s="218">
        <v>6896812</v>
      </c>
      <c r="E121" s="218">
        <v>7115302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43475</v>
      </c>
      <c r="D124" s="218">
        <v>45545</v>
      </c>
      <c r="E124" s="218">
        <v>46662</v>
      </c>
    </row>
    <row r="125" spans="1:8" ht="24" customHeight="1" x14ac:dyDescent="0.2">
      <c r="A125" s="85">
        <v>2</v>
      </c>
      <c r="B125" s="75" t="s">
        <v>381</v>
      </c>
      <c r="C125" s="218">
        <v>9281</v>
      </c>
      <c r="D125" s="218">
        <v>8831</v>
      </c>
      <c r="E125" s="218">
        <v>9342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4.6843012606400176</v>
      </c>
      <c r="D126" s="219">
        <f>IF(D125=0,0,D124/D125)</f>
        <v>5.1574000679424756</v>
      </c>
      <c r="E126" s="219">
        <f>IF(E125=0,0,E124/E125)</f>
        <v>4.9948619139370587</v>
      </c>
    </row>
    <row r="127" spans="1:8" ht="24" customHeight="1" x14ac:dyDescent="0.2">
      <c r="A127" s="85">
        <v>4</v>
      </c>
      <c r="B127" s="75" t="s">
        <v>383</v>
      </c>
      <c r="C127" s="218">
        <v>171</v>
      </c>
      <c r="D127" s="218">
        <v>171</v>
      </c>
      <c r="E127" s="218">
        <v>171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283</v>
      </c>
      <c r="E128" s="218">
        <v>283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283</v>
      </c>
      <c r="D129" s="218">
        <v>283</v>
      </c>
      <c r="E129" s="218">
        <v>283</v>
      </c>
    </row>
    <row r="130" spans="1:7" ht="24" customHeight="1" x14ac:dyDescent="0.2">
      <c r="A130" s="85">
        <v>7</v>
      </c>
      <c r="B130" s="75" t="s">
        <v>386</v>
      </c>
      <c r="C130" s="193">
        <v>0.69650000000000001</v>
      </c>
      <c r="D130" s="193">
        <v>0.72970000000000002</v>
      </c>
      <c r="E130" s="193">
        <v>0.74760000000000004</v>
      </c>
    </row>
    <row r="131" spans="1:7" ht="24" customHeight="1" x14ac:dyDescent="0.2">
      <c r="A131" s="85">
        <v>8</v>
      </c>
      <c r="B131" s="75" t="s">
        <v>387</v>
      </c>
      <c r="C131" s="193">
        <v>0.42080000000000001</v>
      </c>
      <c r="D131" s="193">
        <v>0.44090000000000001</v>
      </c>
      <c r="E131" s="193">
        <v>0.45169999999999999</v>
      </c>
    </row>
    <row r="132" spans="1:7" ht="24" customHeight="1" x14ac:dyDescent="0.2">
      <c r="A132" s="85">
        <v>9</v>
      </c>
      <c r="B132" s="75" t="s">
        <v>388</v>
      </c>
      <c r="C132" s="219">
        <v>1138.9000000000001</v>
      </c>
      <c r="D132" s="219">
        <v>1075.8</v>
      </c>
      <c r="E132" s="219">
        <v>1108.7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0.38968326142444076</v>
      </c>
      <c r="D135" s="227">
        <f>IF(D149=0,0,D143/D149)</f>
        <v>0.36812174460689012</v>
      </c>
      <c r="E135" s="227">
        <f>IF(E149=0,0,E143/E149)</f>
        <v>0.3575648887000224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0.40863571951811939</v>
      </c>
      <c r="D136" s="227">
        <f>IF(D149=0,0,D144/D149)</f>
        <v>0.43076940847824413</v>
      </c>
      <c r="E136" s="227">
        <f>IF(E149=0,0,E144/E149)</f>
        <v>0.43721933643954203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0.17046280236067968</v>
      </c>
      <c r="D137" s="227">
        <f>IF(D149=0,0,D145/D149)</f>
        <v>0.17413275364148592</v>
      </c>
      <c r="E137" s="227">
        <f>IF(E149=0,0,E145/E149)</f>
        <v>0.18473271115700121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2.6947417033084356E-2</v>
      </c>
      <c r="D139" s="227">
        <f>IF(D149=0,0,D147/D149)</f>
        <v>2.355299545291769E-2</v>
      </c>
      <c r="E139" s="227">
        <f>IF(E149=0,0,E147/E149)</f>
        <v>1.7435137275760459E-2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4.2707996636758049E-3</v>
      </c>
      <c r="D140" s="227">
        <f>IF(D149=0,0,D148/D149)</f>
        <v>3.4230978204621595E-3</v>
      </c>
      <c r="E140" s="227">
        <f>IF(E149=0,0,E148/E149)</f>
        <v>3.0479264276739174E-3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164181688</v>
      </c>
      <c r="D143" s="229">
        <f>+D46-D147</f>
        <v>181079751</v>
      </c>
      <c r="E143" s="229">
        <f>+E46-E147</f>
        <v>201317763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172166754</v>
      </c>
      <c r="D144" s="229">
        <f>+D51</f>
        <v>211896250</v>
      </c>
      <c r="E144" s="229">
        <f>+E51</f>
        <v>246165162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71819535</v>
      </c>
      <c r="D145" s="229">
        <f>+D55</f>
        <v>85656216</v>
      </c>
      <c r="E145" s="229">
        <f>+E55</f>
        <v>104009027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11353509</v>
      </c>
      <c r="D147" s="229">
        <f>+D47</f>
        <v>11585761</v>
      </c>
      <c r="E147" s="229">
        <f>+E47</f>
        <v>9816408</v>
      </c>
    </row>
    <row r="148" spans="1:7" ht="20.100000000000001" customHeight="1" x14ac:dyDescent="0.2">
      <c r="A148" s="226">
        <v>13</v>
      </c>
      <c r="B148" s="224" t="s">
        <v>402</v>
      </c>
      <c r="C148" s="230">
        <v>1799377</v>
      </c>
      <c r="D148" s="229">
        <v>1683828</v>
      </c>
      <c r="E148" s="229">
        <v>1716057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421320863</v>
      </c>
      <c r="D149" s="229">
        <f>SUM(D143:D148)</f>
        <v>491901806</v>
      </c>
      <c r="E149" s="229">
        <f>SUM(E143:E148)</f>
        <v>563024417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0.53005643924593249</v>
      </c>
      <c r="D152" s="227">
        <f>IF(D166=0,0,D160/D166)</f>
        <v>0.51513044559199894</v>
      </c>
      <c r="E152" s="227">
        <f>IF(E166=0,0,E160/E166)</f>
        <v>0.50883008974201416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0.34403369070899914</v>
      </c>
      <c r="D153" s="227">
        <f>IF(D166=0,0,D161/D166)</f>
        <v>0.35043081895360156</v>
      </c>
      <c r="E153" s="227">
        <f>IF(E166=0,0,E161/E166)</f>
        <v>0.35011470289314706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0.11586784460432317</v>
      </c>
      <c r="D154" s="227">
        <f>IF(D166=0,0,D162/D166)</f>
        <v>0.12639063663820713</v>
      </c>
      <c r="E154" s="227">
        <f>IF(E166=0,0,E162/E166)</f>
        <v>0.13454257254870255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2.1921136126804457E-3</v>
      </c>
      <c r="D156" s="227">
        <f>IF(D166=0,0,D164/D166)</f>
        <v>2.0955533494367504E-3</v>
      </c>
      <c r="E156" s="227">
        <f>IF(E166=0,0,E164/E166)</f>
        <v>2.7584058049666777E-3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7.8499118280647637E-3</v>
      </c>
      <c r="D157" s="227">
        <f>IF(D166=0,0,D165/D166)</f>
        <v>5.9525454667555579E-3</v>
      </c>
      <c r="E157" s="227">
        <f>IF(E166=0,0,E165/E166)</f>
        <v>3.7542290111695271E-3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84741041</v>
      </c>
      <c r="D160" s="229">
        <f>+D44-D164</f>
        <v>87338629</v>
      </c>
      <c r="E160" s="229">
        <f>+E44-E164</f>
        <v>87936442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55001262</v>
      </c>
      <c r="D161" s="229">
        <f>+D50</f>
        <v>59414363</v>
      </c>
      <c r="E161" s="229">
        <f>+E50</f>
        <v>60507116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18523993</v>
      </c>
      <c r="D162" s="229">
        <f>+D54</f>
        <v>21429106</v>
      </c>
      <c r="E162" s="229">
        <f>+E54</f>
        <v>23251760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350457</v>
      </c>
      <c r="D164" s="229">
        <f>+D45</f>
        <v>355294</v>
      </c>
      <c r="E164" s="229">
        <f>+E45</f>
        <v>476710</v>
      </c>
    </row>
    <row r="165" spans="1:6" ht="20.100000000000001" customHeight="1" x14ac:dyDescent="0.2">
      <c r="A165" s="226">
        <v>13</v>
      </c>
      <c r="B165" s="224" t="s">
        <v>417</v>
      </c>
      <c r="C165" s="230">
        <v>1254979</v>
      </c>
      <c r="D165" s="229">
        <v>1009234</v>
      </c>
      <c r="E165" s="229">
        <v>648809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159871732</v>
      </c>
      <c r="D166" s="229">
        <f>SUM(D160:D165)</f>
        <v>169546626</v>
      </c>
      <c r="E166" s="229">
        <f>SUM(E160:E165)</f>
        <v>172820837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3754</v>
      </c>
      <c r="D169" s="218">
        <v>3296</v>
      </c>
      <c r="E169" s="218">
        <v>3395</v>
      </c>
    </row>
    <row r="170" spans="1:6" ht="20.100000000000001" customHeight="1" x14ac:dyDescent="0.2">
      <c r="A170" s="226">
        <v>2</v>
      </c>
      <c r="B170" s="224" t="s">
        <v>420</v>
      </c>
      <c r="C170" s="218">
        <v>3626</v>
      </c>
      <c r="D170" s="218">
        <v>3537</v>
      </c>
      <c r="E170" s="218">
        <v>3821</v>
      </c>
    </row>
    <row r="171" spans="1:6" ht="20.100000000000001" customHeight="1" x14ac:dyDescent="0.2">
      <c r="A171" s="226">
        <v>3</v>
      </c>
      <c r="B171" s="224" t="s">
        <v>421</v>
      </c>
      <c r="C171" s="218">
        <v>1854</v>
      </c>
      <c r="D171" s="218">
        <v>1957</v>
      </c>
      <c r="E171" s="218">
        <v>2085</v>
      </c>
    </row>
    <row r="172" spans="1:6" ht="20.100000000000001" customHeight="1" x14ac:dyDescent="0.2">
      <c r="A172" s="226">
        <v>4</v>
      </c>
      <c r="B172" s="224" t="s">
        <v>422</v>
      </c>
      <c r="C172" s="218">
        <v>1854</v>
      </c>
      <c r="D172" s="218">
        <v>1957</v>
      </c>
      <c r="E172" s="218">
        <v>2085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47</v>
      </c>
      <c r="D174" s="218">
        <v>41</v>
      </c>
      <c r="E174" s="218">
        <v>41</v>
      </c>
    </row>
    <row r="175" spans="1:6" ht="20.100000000000001" customHeight="1" x14ac:dyDescent="0.2">
      <c r="A175" s="226">
        <v>7</v>
      </c>
      <c r="B175" s="224" t="s">
        <v>425</v>
      </c>
      <c r="C175" s="218">
        <v>216</v>
      </c>
      <c r="D175" s="218">
        <v>182</v>
      </c>
      <c r="E175" s="218">
        <v>218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9281</v>
      </c>
      <c r="D176" s="218">
        <f>+D169+D170+D171+D174</f>
        <v>8831</v>
      </c>
      <c r="E176" s="218">
        <f>+E169+E170+E171+E174</f>
        <v>9342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0.98160000000000003</v>
      </c>
      <c r="D179" s="231">
        <v>0.98934999999999995</v>
      </c>
      <c r="E179" s="231">
        <v>0.98411999999999999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1.3673</v>
      </c>
      <c r="D180" s="231">
        <v>1.43563</v>
      </c>
      <c r="E180" s="231">
        <v>1.5048900000000001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0.92749999999999999</v>
      </c>
      <c r="D181" s="231">
        <v>0.92262999999999995</v>
      </c>
      <c r="E181" s="231">
        <v>0.96306000000000003</v>
      </c>
    </row>
    <row r="182" spans="1:6" ht="20.100000000000001" customHeight="1" x14ac:dyDescent="0.2">
      <c r="A182" s="226">
        <v>4</v>
      </c>
      <c r="B182" s="224" t="s">
        <v>422</v>
      </c>
      <c r="C182" s="231">
        <v>0.92749999999999999</v>
      </c>
      <c r="D182" s="231">
        <v>0.92262999999999995</v>
      </c>
      <c r="E182" s="231">
        <v>0.96306000000000003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0.84570000000000001</v>
      </c>
      <c r="D184" s="231">
        <v>0.90251000000000003</v>
      </c>
      <c r="E184" s="231">
        <v>1.0127900000000001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1.0310999999999999</v>
      </c>
      <c r="D185" s="231">
        <v>1.0105299999999999</v>
      </c>
      <c r="E185" s="231">
        <v>1.0421400000000001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1.1207929999999999</v>
      </c>
      <c r="D186" s="231">
        <v>1.1529050000000001</v>
      </c>
      <c r="E186" s="231">
        <v>1.192547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5332</v>
      </c>
      <c r="D189" s="218">
        <v>5028</v>
      </c>
      <c r="E189" s="218">
        <v>6189</v>
      </c>
    </row>
    <row r="190" spans="1:6" ht="20.100000000000001" customHeight="1" x14ac:dyDescent="0.2">
      <c r="A190" s="226">
        <v>2</v>
      </c>
      <c r="B190" s="224" t="s">
        <v>433</v>
      </c>
      <c r="C190" s="218">
        <v>42502</v>
      </c>
      <c r="D190" s="218">
        <v>41475</v>
      </c>
      <c r="E190" s="218">
        <v>40876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47834</v>
      </c>
      <c r="D191" s="218">
        <f>+D190+D189</f>
        <v>46503</v>
      </c>
      <c r="E191" s="218">
        <f>+E190+E189</f>
        <v>47065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0" t="s">
        <v>0</v>
      </c>
      <c r="B2" s="790"/>
      <c r="C2" s="790"/>
      <c r="D2" s="790"/>
      <c r="E2" s="790"/>
      <c r="F2" s="790"/>
    </row>
    <row r="3" spans="1:7" ht="20.25" customHeight="1" x14ac:dyDescent="0.3">
      <c r="A3" s="790" t="s">
        <v>1</v>
      </c>
      <c r="B3" s="790"/>
      <c r="C3" s="790"/>
      <c r="D3" s="790"/>
      <c r="E3" s="790"/>
      <c r="F3" s="790"/>
    </row>
    <row r="4" spans="1:7" ht="20.25" customHeight="1" x14ac:dyDescent="0.3">
      <c r="A4" s="790" t="s">
        <v>2</v>
      </c>
      <c r="B4" s="790"/>
      <c r="C4" s="790"/>
      <c r="D4" s="790"/>
      <c r="E4" s="790"/>
      <c r="F4" s="790"/>
    </row>
    <row r="5" spans="1:7" ht="20.25" customHeight="1" x14ac:dyDescent="0.3">
      <c r="A5" s="790" t="s">
        <v>435</v>
      </c>
      <c r="B5" s="790"/>
      <c r="C5" s="790"/>
      <c r="D5" s="790"/>
      <c r="E5" s="790"/>
      <c r="F5" s="790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1"/>
      <c r="D9" s="792"/>
      <c r="E9" s="792"/>
      <c r="F9" s="793"/>
      <c r="G9" s="245"/>
    </row>
    <row r="10" spans="1:7" ht="20.25" customHeight="1" x14ac:dyDescent="0.3">
      <c r="A10" s="794" t="s">
        <v>12</v>
      </c>
      <c r="B10" s="796" t="s">
        <v>114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801"/>
      <c r="D11" s="802"/>
      <c r="E11" s="802"/>
      <c r="F11" s="80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760024</v>
      </c>
      <c r="D14" s="258">
        <v>1461633</v>
      </c>
      <c r="E14" s="258">
        <f t="shared" ref="E14:E24" si="0">D14-C14</f>
        <v>701609</v>
      </c>
      <c r="F14" s="259">
        <f t="shared" ref="F14:F24" si="1">IF(C14=0,0,E14/C14)</f>
        <v>0.92314058503415686</v>
      </c>
    </row>
    <row r="15" spans="1:7" ht="20.25" customHeight="1" x14ac:dyDescent="0.3">
      <c r="A15" s="256">
        <v>2</v>
      </c>
      <c r="B15" s="257" t="s">
        <v>442</v>
      </c>
      <c r="C15" s="258">
        <v>275046</v>
      </c>
      <c r="D15" s="258">
        <v>461345</v>
      </c>
      <c r="E15" s="258">
        <f t="shared" si="0"/>
        <v>186299</v>
      </c>
      <c r="F15" s="259">
        <f t="shared" si="1"/>
        <v>0.67733760898177031</v>
      </c>
    </row>
    <row r="16" spans="1:7" ht="20.25" customHeight="1" x14ac:dyDescent="0.3">
      <c r="A16" s="256">
        <v>3</v>
      </c>
      <c r="B16" s="257" t="s">
        <v>443</v>
      </c>
      <c r="C16" s="258">
        <v>875716</v>
      </c>
      <c r="D16" s="258">
        <v>1337674</v>
      </c>
      <c r="E16" s="258">
        <f t="shared" si="0"/>
        <v>461958</v>
      </c>
      <c r="F16" s="259">
        <f t="shared" si="1"/>
        <v>0.52752033764371098</v>
      </c>
    </row>
    <row r="17" spans="1:6" ht="20.25" customHeight="1" x14ac:dyDescent="0.3">
      <c r="A17" s="256">
        <v>4</v>
      </c>
      <c r="B17" s="257" t="s">
        <v>444</v>
      </c>
      <c r="C17" s="258">
        <v>269865</v>
      </c>
      <c r="D17" s="258">
        <v>252812</v>
      </c>
      <c r="E17" s="258">
        <f t="shared" si="0"/>
        <v>-17053</v>
      </c>
      <c r="F17" s="259">
        <f t="shared" si="1"/>
        <v>-6.3190854686602557E-2</v>
      </c>
    </row>
    <row r="18" spans="1:6" ht="20.25" customHeight="1" x14ac:dyDescent="0.3">
      <c r="A18" s="256">
        <v>5</v>
      </c>
      <c r="B18" s="257" t="s">
        <v>381</v>
      </c>
      <c r="C18" s="260">
        <v>28</v>
      </c>
      <c r="D18" s="260">
        <v>32</v>
      </c>
      <c r="E18" s="260">
        <f t="shared" si="0"/>
        <v>4</v>
      </c>
      <c r="F18" s="259">
        <f t="shared" si="1"/>
        <v>0.14285714285714285</v>
      </c>
    </row>
    <row r="19" spans="1:6" ht="20.25" customHeight="1" x14ac:dyDescent="0.3">
      <c r="A19" s="256">
        <v>6</v>
      </c>
      <c r="B19" s="257" t="s">
        <v>380</v>
      </c>
      <c r="C19" s="260">
        <v>136</v>
      </c>
      <c r="D19" s="260">
        <v>240</v>
      </c>
      <c r="E19" s="260">
        <f t="shared" si="0"/>
        <v>104</v>
      </c>
      <c r="F19" s="259">
        <f t="shared" si="1"/>
        <v>0.76470588235294112</v>
      </c>
    </row>
    <row r="20" spans="1:6" ht="20.25" customHeight="1" x14ac:dyDescent="0.3">
      <c r="A20" s="256">
        <v>7</v>
      </c>
      <c r="B20" s="257" t="s">
        <v>445</v>
      </c>
      <c r="C20" s="260">
        <v>815</v>
      </c>
      <c r="D20" s="260">
        <v>1162</v>
      </c>
      <c r="E20" s="260">
        <f t="shared" si="0"/>
        <v>347</v>
      </c>
      <c r="F20" s="259">
        <f t="shared" si="1"/>
        <v>0.42576687116564416</v>
      </c>
    </row>
    <row r="21" spans="1:6" ht="20.25" customHeight="1" x14ac:dyDescent="0.3">
      <c r="A21" s="256">
        <v>8</v>
      </c>
      <c r="B21" s="257" t="s">
        <v>446</v>
      </c>
      <c r="C21" s="260">
        <v>63</v>
      </c>
      <c r="D21" s="260">
        <v>81</v>
      </c>
      <c r="E21" s="260">
        <f t="shared" si="0"/>
        <v>18</v>
      </c>
      <c r="F21" s="259">
        <f t="shared" si="1"/>
        <v>0.2857142857142857</v>
      </c>
    </row>
    <row r="22" spans="1:6" ht="20.25" customHeight="1" x14ac:dyDescent="0.3">
      <c r="A22" s="256">
        <v>9</v>
      </c>
      <c r="B22" s="257" t="s">
        <v>447</v>
      </c>
      <c r="C22" s="260">
        <v>23</v>
      </c>
      <c r="D22" s="260">
        <v>22</v>
      </c>
      <c r="E22" s="260">
        <f t="shared" si="0"/>
        <v>-1</v>
      </c>
      <c r="F22" s="259">
        <f t="shared" si="1"/>
        <v>-4.3478260869565216E-2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1635740</v>
      </c>
      <c r="D23" s="263">
        <f>+D14+D16</f>
        <v>2799307</v>
      </c>
      <c r="E23" s="263">
        <f t="shared" si="0"/>
        <v>1163567</v>
      </c>
      <c r="F23" s="264">
        <f t="shared" si="1"/>
        <v>0.71133982173206012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544911</v>
      </c>
      <c r="D24" s="263">
        <f>+D15+D17</f>
        <v>714157</v>
      </c>
      <c r="E24" s="263">
        <f t="shared" si="0"/>
        <v>169246</v>
      </c>
      <c r="F24" s="264">
        <f t="shared" si="1"/>
        <v>0.31059384009498797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1034</v>
      </c>
      <c r="D29" s="258">
        <v>0</v>
      </c>
      <c r="E29" s="258">
        <f t="shared" si="2"/>
        <v>-1034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242</v>
      </c>
      <c r="D30" s="258">
        <v>0</v>
      </c>
      <c r="E30" s="258">
        <f t="shared" si="2"/>
        <v>-242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0</v>
      </c>
      <c r="E33" s="260">
        <f t="shared" si="2"/>
        <v>-1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1034</v>
      </c>
      <c r="D36" s="263">
        <f>+D27+D29</f>
        <v>0</v>
      </c>
      <c r="E36" s="263">
        <f t="shared" si="2"/>
        <v>-1034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242</v>
      </c>
      <c r="D37" s="263">
        <f>+D28+D30</f>
        <v>0</v>
      </c>
      <c r="E37" s="263">
        <f t="shared" si="2"/>
        <v>-242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8959933</v>
      </c>
      <c r="D40" s="258">
        <v>11791158</v>
      </c>
      <c r="E40" s="258">
        <f t="shared" ref="E40:E50" si="4">D40-C40</f>
        <v>2831225</v>
      </c>
      <c r="F40" s="259">
        <f t="shared" ref="F40:F50" si="5">IF(C40=0,0,E40/C40)</f>
        <v>0.31598729588714558</v>
      </c>
    </row>
    <row r="41" spans="1:6" ht="20.25" customHeight="1" x14ac:dyDescent="0.3">
      <c r="A41" s="256">
        <v>2</v>
      </c>
      <c r="B41" s="257" t="s">
        <v>442</v>
      </c>
      <c r="C41" s="258">
        <v>2951065</v>
      </c>
      <c r="D41" s="258">
        <v>3633169</v>
      </c>
      <c r="E41" s="258">
        <f t="shared" si="4"/>
        <v>682104</v>
      </c>
      <c r="F41" s="259">
        <f t="shared" si="5"/>
        <v>0.23113825008937453</v>
      </c>
    </row>
    <row r="42" spans="1:6" ht="20.25" customHeight="1" x14ac:dyDescent="0.3">
      <c r="A42" s="256">
        <v>3</v>
      </c>
      <c r="B42" s="257" t="s">
        <v>443</v>
      </c>
      <c r="C42" s="258">
        <v>13145518</v>
      </c>
      <c r="D42" s="258">
        <v>15290256</v>
      </c>
      <c r="E42" s="258">
        <f t="shared" si="4"/>
        <v>2144738</v>
      </c>
      <c r="F42" s="259">
        <f t="shared" si="5"/>
        <v>0.1631535554551749</v>
      </c>
    </row>
    <row r="43" spans="1:6" ht="20.25" customHeight="1" x14ac:dyDescent="0.3">
      <c r="A43" s="256">
        <v>4</v>
      </c>
      <c r="B43" s="257" t="s">
        <v>444</v>
      </c>
      <c r="C43" s="258">
        <v>3052339</v>
      </c>
      <c r="D43" s="258">
        <v>3077728</v>
      </c>
      <c r="E43" s="258">
        <f t="shared" si="4"/>
        <v>25389</v>
      </c>
      <c r="F43" s="259">
        <f t="shared" si="5"/>
        <v>8.3178834330000697E-3</v>
      </c>
    </row>
    <row r="44" spans="1:6" ht="20.25" customHeight="1" x14ac:dyDescent="0.3">
      <c r="A44" s="256">
        <v>5</v>
      </c>
      <c r="B44" s="257" t="s">
        <v>381</v>
      </c>
      <c r="C44" s="260">
        <v>333</v>
      </c>
      <c r="D44" s="260">
        <v>365</v>
      </c>
      <c r="E44" s="260">
        <f t="shared" si="4"/>
        <v>32</v>
      </c>
      <c r="F44" s="259">
        <f t="shared" si="5"/>
        <v>9.6096096096096095E-2</v>
      </c>
    </row>
    <row r="45" spans="1:6" ht="20.25" customHeight="1" x14ac:dyDescent="0.3">
      <c r="A45" s="256">
        <v>6</v>
      </c>
      <c r="B45" s="257" t="s">
        <v>380</v>
      </c>
      <c r="C45" s="260">
        <v>1828</v>
      </c>
      <c r="D45" s="260">
        <v>1950</v>
      </c>
      <c r="E45" s="260">
        <f t="shared" si="4"/>
        <v>122</v>
      </c>
      <c r="F45" s="259">
        <f t="shared" si="5"/>
        <v>6.6739606126914666E-2</v>
      </c>
    </row>
    <row r="46" spans="1:6" ht="20.25" customHeight="1" x14ac:dyDescent="0.3">
      <c r="A46" s="256">
        <v>7</v>
      </c>
      <c r="B46" s="257" t="s">
        <v>445</v>
      </c>
      <c r="C46" s="260">
        <v>12288</v>
      </c>
      <c r="D46" s="260">
        <v>13409</v>
      </c>
      <c r="E46" s="260">
        <f t="shared" si="4"/>
        <v>1121</v>
      </c>
      <c r="F46" s="259">
        <f t="shared" si="5"/>
        <v>9.1227213541666671E-2</v>
      </c>
    </row>
    <row r="47" spans="1:6" ht="20.25" customHeight="1" x14ac:dyDescent="0.3">
      <c r="A47" s="256">
        <v>8</v>
      </c>
      <c r="B47" s="257" t="s">
        <v>446</v>
      </c>
      <c r="C47" s="260">
        <v>657</v>
      </c>
      <c r="D47" s="260">
        <v>709</v>
      </c>
      <c r="E47" s="260">
        <f t="shared" si="4"/>
        <v>52</v>
      </c>
      <c r="F47" s="259">
        <f t="shared" si="5"/>
        <v>7.9147640791476404E-2</v>
      </c>
    </row>
    <row r="48" spans="1:6" ht="20.25" customHeight="1" x14ac:dyDescent="0.3">
      <c r="A48" s="256">
        <v>9</v>
      </c>
      <c r="B48" s="257" t="s">
        <v>447</v>
      </c>
      <c r="C48" s="260">
        <v>255</v>
      </c>
      <c r="D48" s="260">
        <v>302</v>
      </c>
      <c r="E48" s="260">
        <f t="shared" si="4"/>
        <v>47</v>
      </c>
      <c r="F48" s="259">
        <f t="shared" si="5"/>
        <v>0.18431372549019609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22105451</v>
      </c>
      <c r="D49" s="263">
        <f>+D40+D42</f>
        <v>27081414</v>
      </c>
      <c r="E49" s="263">
        <f t="shared" si="4"/>
        <v>4975963</v>
      </c>
      <c r="F49" s="264">
        <f t="shared" si="5"/>
        <v>0.22510117527120346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6003404</v>
      </c>
      <c r="D50" s="263">
        <f>+D41+D43</f>
        <v>6710897</v>
      </c>
      <c r="E50" s="263">
        <f t="shared" si="4"/>
        <v>707493</v>
      </c>
      <c r="F50" s="264">
        <f t="shared" si="5"/>
        <v>0.11784864053793481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165955</v>
      </c>
      <c r="D66" s="258">
        <v>162594</v>
      </c>
      <c r="E66" s="258">
        <f t="shared" ref="E66:E76" si="8">D66-C66</f>
        <v>-3361</v>
      </c>
      <c r="F66" s="259">
        <f t="shared" ref="F66:F76" si="9">IF(C66=0,0,E66/C66)</f>
        <v>-2.0252478081407611E-2</v>
      </c>
    </row>
    <row r="67" spans="1:6" ht="20.25" customHeight="1" x14ac:dyDescent="0.3">
      <c r="A67" s="256">
        <v>2</v>
      </c>
      <c r="B67" s="257" t="s">
        <v>442</v>
      </c>
      <c r="C67" s="258">
        <v>165955</v>
      </c>
      <c r="D67" s="258">
        <v>53530</v>
      </c>
      <c r="E67" s="258">
        <f t="shared" si="8"/>
        <v>-112425</v>
      </c>
      <c r="F67" s="259">
        <f t="shared" si="9"/>
        <v>-0.6774426802446446</v>
      </c>
    </row>
    <row r="68" spans="1:6" ht="20.25" customHeight="1" x14ac:dyDescent="0.3">
      <c r="A68" s="256">
        <v>3</v>
      </c>
      <c r="B68" s="257" t="s">
        <v>443</v>
      </c>
      <c r="C68" s="258">
        <v>106317</v>
      </c>
      <c r="D68" s="258">
        <v>153906</v>
      </c>
      <c r="E68" s="258">
        <f t="shared" si="8"/>
        <v>47589</v>
      </c>
      <c r="F68" s="259">
        <f t="shared" si="9"/>
        <v>0.44761421033324866</v>
      </c>
    </row>
    <row r="69" spans="1:6" ht="20.25" customHeight="1" x14ac:dyDescent="0.3">
      <c r="A69" s="256">
        <v>4</v>
      </c>
      <c r="B69" s="257" t="s">
        <v>444</v>
      </c>
      <c r="C69" s="258">
        <v>106317</v>
      </c>
      <c r="D69" s="258">
        <v>30707</v>
      </c>
      <c r="E69" s="258">
        <f t="shared" si="8"/>
        <v>-75610</v>
      </c>
      <c r="F69" s="259">
        <f t="shared" si="9"/>
        <v>-0.71117507077889708</v>
      </c>
    </row>
    <row r="70" spans="1:6" ht="20.25" customHeight="1" x14ac:dyDescent="0.3">
      <c r="A70" s="256">
        <v>5</v>
      </c>
      <c r="B70" s="257" t="s">
        <v>381</v>
      </c>
      <c r="C70" s="260">
        <v>4</v>
      </c>
      <c r="D70" s="260">
        <v>7</v>
      </c>
      <c r="E70" s="260">
        <f t="shared" si="8"/>
        <v>3</v>
      </c>
      <c r="F70" s="259">
        <f t="shared" si="9"/>
        <v>0.75</v>
      </c>
    </row>
    <row r="71" spans="1:6" ht="20.25" customHeight="1" x14ac:dyDescent="0.3">
      <c r="A71" s="256">
        <v>6</v>
      </c>
      <c r="B71" s="257" t="s">
        <v>380</v>
      </c>
      <c r="C71" s="260">
        <v>38</v>
      </c>
      <c r="D71" s="260">
        <v>31</v>
      </c>
      <c r="E71" s="260">
        <f t="shared" si="8"/>
        <v>-7</v>
      </c>
      <c r="F71" s="259">
        <f t="shared" si="9"/>
        <v>-0.18421052631578946</v>
      </c>
    </row>
    <row r="72" spans="1:6" ht="20.25" customHeight="1" x14ac:dyDescent="0.3">
      <c r="A72" s="256">
        <v>7</v>
      </c>
      <c r="B72" s="257" t="s">
        <v>445</v>
      </c>
      <c r="C72" s="260">
        <v>38</v>
      </c>
      <c r="D72" s="260">
        <v>32</v>
      </c>
      <c r="E72" s="260">
        <f t="shared" si="8"/>
        <v>-6</v>
      </c>
      <c r="F72" s="259">
        <f t="shared" si="9"/>
        <v>-0.15789473684210525</v>
      </c>
    </row>
    <row r="73" spans="1:6" ht="20.25" customHeight="1" x14ac:dyDescent="0.3">
      <c r="A73" s="256">
        <v>8</v>
      </c>
      <c r="B73" s="257" t="s">
        <v>446</v>
      </c>
      <c r="C73" s="260">
        <v>13</v>
      </c>
      <c r="D73" s="260">
        <v>30</v>
      </c>
      <c r="E73" s="260">
        <f t="shared" si="8"/>
        <v>17</v>
      </c>
      <c r="F73" s="259">
        <f t="shared" si="9"/>
        <v>1.3076923076923077</v>
      </c>
    </row>
    <row r="74" spans="1:6" ht="20.25" customHeight="1" x14ac:dyDescent="0.3">
      <c r="A74" s="256">
        <v>9</v>
      </c>
      <c r="B74" s="257" t="s">
        <v>447</v>
      </c>
      <c r="C74" s="260">
        <v>4</v>
      </c>
      <c r="D74" s="260">
        <v>7</v>
      </c>
      <c r="E74" s="260">
        <f t="shared" si="8"/>
        <v>3</v>
      </c>
      <c r="F74" s="259">
        <f t="shared" si="9"/>
        <v>0.75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272272</v>
      </c>
      <c r="D75" s="263">
        <f>+D66+D68</f>
        <v>316500</v>
      </c>
      <c r="E75" s="263">
        <f t="shared" si="8"/>
        <v>44228</v>
      </c>
      <c r="F75" s="264">
        <f t="shared" si="9"/>
        <v>0.1624405006757948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272272</v>
      </c>
      <c r="D76" s="263">
        <f>+D67+D69</f>
        <v>84237</v>
      </c>
      <c r="E76" s="263">
        <f t="shared" si="8"/>
        <v>-188035</v>
      </c>
      <c r="F76" s="264">
        <f t="shared" si="9"/>
        <v>-0.69061453252629723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6154510</v>
      </c>
      <c r="D92" s="258">
        <v>8231183</v>
      </c>
      <c r="E92" s="258">
        <f t="shared" ref="E92:E102" si="12">D92-C92</f>
        <v>2076673</v>
      </c>
      <c r="F92" s="259">
        <f t="shared" ref="F92:F102" si="13">IF(C92=0,0,E92/C92)</f>
        <v>0.33742296299786662</v>
      </c>
    </row>
    <row r="93" spans="1:6" ht="20.25" customHeight="1" x14ac:dyDescent="0.3">
      <c r="A93" s="256">
        <v>2</v>
      </c>
      <c r="B93" s="257" t="s">
        <v>442</v>
      </c>
      <c r="C93" s="258">
        <v>1646183</v>
      </c>
      <c r="D93" s="258">
        <v>2118940</v>
      </c>
      <c r="E93" s="258">
        <f t="shared" si="12"/>
        <v>472757</v>
      </c>
      <c r="F93" s="259">
        <f t="shared" si="13"/>
        <v>0.28718374567104632</v>
      </c>
    </row>
    <row r="94" spans="1:6" ht="20.25" customHeight="1" x14ac:dyDescent="0.3">
      <c r="A94" s="256">
        <v>3</v>
      </c>
      <c r="B94" s="257" t="s">
        <v>443</v>
      </c>
      <c r="C94" s="258">
        <v>5536276</v>
      </c>
      <c r="D94" s="258">
        <v>6922361</v>
      </c>
      <c r="E94" s="258">
        <f t="shared" si="12"/>
        <v>1386085</v>
      </c>
      <c r="F94" s="259">
        <f t="shared" si="13"/>
        <v>0.25036414369514814</v>
      </c>
    </row>
    <row r="95" spans="1:6" ht="20.25" customHeight="1" x14ac:dyDescent="0.3">
      <c r="A95" s="256">
        <v>4</v>
      </c>
      <c r="B95" s="257" t="s">
        <v>444</v>
      </c>
      <c r="C95" s="258">
        <v>1216757</v>
      </c>
      <c r="D95" s="258">
        <v>1179526</v>
      </c>
      <c r="E95" s="258">
        <f t="shared" si="12"/>
        <v>-37231</v>
      </c>
      <c r="F95" s="259">
        <f t="shared" si="13"/>
        <v>-3.0598550080254316E-2</v>
      </c>
    </row>
    <row r="96" spans="1:6" ht="20.25" customHeight="1" x14ac:dyDescent="0.3">
      <c r="A96" s="256">
        <v>5</v>
      </c>
      <c r="B96" s="257" t="s">
        <v>381</v>
      </c>
      <c r="C96" s="260">
        <v>178</v>
      </c>
      <c r="D96" s="260">
        <v>232</v>
      </c>
      <c r="E96" s="260">
        <f t="shared" si="12"/>
        <v>54</v>
      </c>
      <c r="F96" s="259">
        <f t="shared" si="13"/>
        <v>0.30337078651685395</v>
      </c>
    </row>
    <row r="97" spans="1:6" ht="20.25" customHeight="1" x14ac:dyDescent="0.3">
      <c r="A97" s="256">
        <v>6</v>
      </c>
      <c r="B97" s="257" t="s">
        <v>380</v>
      </c>
      <c r="C97" s="260">
        <v>1451</v>
      </c>
      <c r="D97" s="260">
        <v>1365</v>
      </c>
      <c r="E97" s="260">
        <f t="shared" si="12"/>
        <v>-86</v>
      </c>
      <c r="F97" s="259">
        <f t="shared" si="13"/>
        <v>-5.9269469331495524E-2</v>
      </c>
    </row>
    <row r="98" spans="1:6" ht="20.25" customHeight="1" x14ac:dyDescent="0.3">
      <c r="A98" s="256">
        <v>7</v>
      </c>
      <c r="B98" s="257" t="s">
        <v>445</v>
      </c>
      <c r="C98" s="260">
        <v>4476</v>
      </c>
      <c r="D98" s="260">
        <v>5825</v>
      </c>
      <c r="E98" s="260">
        <f t="shared" si="12"/>
        <v>1349</v>
      </c>
      <c r="F98" s="259">
        <f t="shared" si="13"/>
        <v>0.30138516532618409</v>
      </c>
    </row>
    <row r="99" spans="1:6" ht="20.25" customHeight="1" x14ac:dyDescent="0.3">
      <c r="A99" s="256">
        <v>8</v>
      </c>
      <c r="B99" s="257" t="s">
        <v>446</v>
      </c>
      <c r="C99" s="260">
        <v>490</v>
      </c>
      <c r="D99" s="260">
        <v>529</v>
      </c>
      <c r="E99" s="260">
        <f t="shared" si="12"/>
        <v>39</v>
      </c>
      <c r="F99" s="259">
        <f t="shared" si="13"/>
        <v>7.9591836734693874E-2</v>
      </c>
    </row>
    <row r="100" spans="1:6" ht="20.25" customHeight="1" x14ac:dyDescent="0.3">
      <c r="A100" s="256">
        <v>9</v>
      </c>
      <c r="B100" s="257" t="s">
        <v>447</v>
      </c>
      <c r="C100" s="260">
        <v>166</v>
      </c>
      <c r="D100" s="260">
        <v>209</v>
      </c>
      <c r="E100" s="260">
        <f t="shared" si="12"/>
        <v>43</v>
      </c>
      <c r="F100" s="259">
        <f t="shared" si="13"/>
        <v>0.25903614457831325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11690786</v>
      </c>
      <c r="D101" s="263">
        <f>+D92+D94</f>
        <v>15153544</v>
      </c>
      <c r="E101" s="263">
        <f t="shared" si="12"/>
        <v>3462758</v>
      </c>
      <c r="F101" s="264">
        <f t="shared" si="13"/>
        <v>0.2961954824936493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2862940</v>
      </c>
      <c r="D102" s="263">
        <f>+D93+D95</f>
        <v>3298466</v>
      </c>
      <c r="E102" s="263">
        <f t="shared" si="12"/>
        <v>435526</v>
      </c>
      <c r="F102" s="264">
        <f t="shared" si="13"/>
        <v>0.1521254374873382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1012762</v>
      </c>
      <c r="D105" s="258">
        <v>1458407</v>
      </c>
      <c r="E105" s="258">
        <f t="shared" ref="E105:E115" si="14">D105-C105</f>
        <v>445645</v>
      </c>
      <c r="F105" s="259">
        <f t="shared" ref="F105:F115" si="15">IF(C105=0,0,E105/C105)</f>
        <v>0.44002934549282063</v>
      </c>
    </row>
    <row r="106" spans="1:6" ht="20.25" customHeight="1" x14ac:dyDescent="0.3">
      <c r="A106" s="256">
        <v>2</v>
      </c>
      <c r="B106" s="257" t="s">
        <v>442</v>
      </c>
      <c r="C106" s="258">
        <v>285860</v>
      </c>
      <c r="D106" s="258">
        <v>389556</v>
      </c>
      <c r="E106" s="258">
        <f t="shared" si="14"/>
        <v>103696</v>
      </c>
      <c r="F106" s="259">
        <f t="shared" si="15"/>
        <v>0.36275099699153429</v>
      </c>
    </row>
    <row r="107" spans="1:6" ht="20.25" customHeight="1" x14ac:dyDescent="0.3">
      <c r="A107" s="256">
        <v>3</v>
      </c>
      <c r="B107" s="257" t="s">
        <v>443</v>
      </c>
      <c r="C107" s="258">
        <v>1332743</v>
      </c>
      <c r="D107" s="258">
        <v>1927165</v>
      </c>
      <c r="E107" s="258">
        <f t="shared" si="14"/>
        <v>594422</v>
      </c>
      <c r="F107" s="259">
        <f t="shared" si="15"/>
        <v>0.44601397268640691</v>
      </c>
    </row>
    <row r="108" spans="1:6" ht="20.25" customHeight="1" x14ac:dyDescent="0.3">
      <c r="A108" s="256">
        <v>4</v>
      </c>
      <c r="B108" s="257" t="s">
        <v>444</v>
      </c>
      <c r="C108" s="258">
        <v>299577</v>
      </c>
      <c r="D108" s="258">
        <v>343473</v>
      </c>
      <c r="E108" s="258">
        <f t="shared" si="14"/>
        <v>43896</v>
      </c>
      <c r="F108" s="259">
        <f t="shared" si="15"/>
        <v>0.14652660250953845</v>
      </c>
    </row>
    <row r="109" spans="1:6" ht="20.25" customHeight="1" x14ac:dyDescent="0.3">
      <c r="A109" s="256">
        <v>5</v>
      </c>
      <c r="B109" s="257" t="s">
        <v>381</v>
      </c>
      <c r="C109" s="260">
        <v>33</v>
      </c>
      <c r="D109" s="260">
        <v>57</v>
      </c>
      <c r="E109" s="260">
        <f t="shared" si="14"/>
        <v>24</v>
      </c>
      <c r="F109" s="259">
        <f t="shared" si="15"/>
        <v>0.72727272727272729</v>
      </c>
    </row>
    <row r="110" spans="1:6" ht="20.25" customHeight="1" x14ac:dyDescent="0.3">
      <c r="A110" s="256">
        <v>6</v>
      </c>
      <c r="B110" s="257" t="s">
        <v>380</v>
      </c>
      <c r="C110" s="260">
        <v>207</v>
      </c>
      <c r="D110" s="260">
        <v>304</v>
      </c>
      <c r="E110" s="260">
        <f t="shared" si="14"/>
        <v>97</v>
      </c>
      <c r="F110" s="259">
        <f t="shared" si="15"/>
        <v>0.46859903381642515</v>
      </c>
    </row>
    <row r="111" spans="1:6" ht="20.25" customHeight="1" x14ac:dyDescent="0.3">
      <c r="A111" s="256">
        <v>7</v>
      </c>
      <c r="B111" s="257" t="s">
        <v>445</v>
      </c>
      <c r="C111" s="260">
        <v>982</v>
      </c>
      <c r="D111" s="260">
        <v>1365</v>
      </c>
      <c r="E111" s="260">
        <f t="shared" si="14"/>
        <v>383</v>
      </c>
      <c r="F111" s="259">
        <f t="shared" si="15"/>
        <v>0.39002036659877798</v>
      </c>
    </row>
    <row r="112" spans="1:6" ht="20.25" customHeight="1" x14ac:dyDescent="0.3">
      <c r="A112" s="256">
        <v>8</v>
      </c>
      <c r="B112" s="257" t="s">
        <v>446</v>
      </c>
      <c r="C112" s="260">
        <v>137</v>
      </c>
      <c r="D112" s="260">
        <v>240</v>
      </c>
      <c r="E112" s="260">
        <f t="shared" si="14"/>
        <v>103</v>
      </c>
      <c r="F112" s="259">
        <f t="shared" si="15"/>
        <v>0.75182481751824815</v>
      </c>
    </row>
    <row r="113" spans="1:6" ht="20.25" customHeight="1" x14ac:dyDescent="0.3">
      <c r="A113" s="256">
        <v>9</v>
      </c>
      <c r="B113" s="257" t="s">
        <v>447</v>
      </c>
      <c r="C113" s="260">
        <v>22</v>
      </c>
      <c r="D113" s="260">
        <v>48</v>
      </c>
      <c r="E113" s="260">
        <f t="shared" si="14"/>
        <v>26</v>
      </c>
      <c r="F113" s="259">
        <f t="shared" si="15"/>
        <v>1.1818181818181819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2345505</v>
      </c>
      <c r="D114" s="263">
        <f>+D105+D107</f>
        <v>3385572</v>
      </c>
      <c r="E114" s="263">
        <f t="shared" si="14"/>
        <v>1040067</v>
      </c>
      <c r="F114" s="264">
        <f t="shared" si="15"/>
        <v>0.44342987970607611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585437</v>
      </c>
      <c r="D115" s="263">
        <f>+D106+D108</f>
        <v>733029</v>
      </c>
      <c r="E115" s="263">
        <f t="shared" si="14"/>
        <v>147592</v>
      </c>
      <c r="F115" s="264">
        <f t="shared" si="15"/>
        <v>0.25210569198735305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2044325</v>
      </c>
      <c r="D118" s="258">
        <v>3661096</v>
      </c>
      <c r="E118" s="258">
        <f t="shared" ref="E118:E128" si="16">D118-C118</f>
        <v>1616771</v>
      </c>
      <c r="F118" s="259">
        <f t="shared" ref="F118:F128" si="17">IF(C118=0,0,E118/C118)</f>
        <v>0.7908581071991978</v>
      </c>
    </row>
    <row r="119" spans="1:6" ht="20.25" customHeight="1" x14ac:dyDescent="0.3">
      <c r="A119" s="256">
        <v>2</v>
      </c>
      <c r="B119" s="257" t="s">
        <v>442</v>
      </c>
      <c r="C119" s="258">
        <v>565355</v>
      </c>
      <c r="D119" s="258">
        <v>878920</v>
      </c>
      <c r="E119" s="258">
        <f t="shared" si="16"/>
        <v>313565</v>
      </c>
      <c r="F119" s="259">
        <f t="shared" si="17"/>
        <v>0.55463381415216984</v>
      </c>
    </row>
    <row r="120" spans="1:6" ht="20.25" customHeight="1" x14ac:dyDescent="0.3">
      <c r="A120" s="256">
        <v>3</v>
      </c>
      <c r="B120" s="257" t="s">
        <v>443</v>
      </c>
      <c r="C120" s="258">
        <v>2406541</v>
      </c>
      <c r="D120" s="258">
        <v>3614492</v>
      </c>
      <c r="E120" s="258">
        <f t="shared" si="16"/>
        <v>1207951</v>
      </c>
      <c r="F120" s="259">
        <f t="shared" si="17"/>
        <v>0.50194490764960997</v>
      </c>
    </row>
    <row r="121" spans="1:6" ht="20.25" customHeight="1" x14ac:dyDescent="0.3">
      <c r="A121" s="256">
        <v>4</v>
      </c>
      <c r="B121" s="257" t="s">
        <v>444</v>
      </c>
      <c r="C121" s="258">
        <v>528935</v>
      </c>
      <c r="D121" s="258">
        <v>737680</v>
      </c>
      <c r="E121" s="258">
        <f t="shared" si="16"/>
        <v>208745</v>
      </c>
      <c r="F121" s="259">
        <f t="shared" si="17"/>
        <v>0.39465151672700804</v>
      </c>
    </row>
    <row r="122" spans="1:6" ht="20.25" customHeight="1" x14ac:dyDescent="0.3">
      <c r="A122" s="256">
        <v>5</v>
      </c>
      <c r="B122" s="257" t="s">
        <v>381</v>
      </c>
      <c r="C122" s="260">
        <v>62</v>
      </c>
      <c r="D122" s="260">
        <v>112</v>
      </c>
      <c r="E122" s="260">
        <f t="shared" si="16"/>
        <v>50</v>
      </c>
      <c r="F122" s="259">
        <f t="shared" si="17"/>
        <v>0.80645161290322576</v>
      </c>
    </row>
    <row r="123" spans="1:6" ht="20.25" customHeight="1" x14ac:dyDescent="0.3">
      <c r="A123" s="256">
        <v>6</v>
      </c>
      <c r="B123" s="257" t="s">
        <v>380</v>
      </c>
      <c r="C123" s="260">
        <v>408</v>
      </c>
      <c r="D123" s="260">
        <v>672</v>
      </c>
      <c r="E123" s="260">
        <f t="shared" si="16"/>
        <v>264</v>
      </c>
      <c r="F123" s="259">
        <f t="shared" si="17"/>
        <v>0.6470588235294118</v>
      </c>
    </row>
    <row r="124" spans="1:6" ht="20.25" customHeight="1" x14ac:dyDescent="0.3">
      <c r="A124" s="256">
        <v>7</v>
      </c>
      <c r="B124" s="257" t="s">
        <v>445</v>
      </c>
      <c r="C124" s="260">
        <v>2277</v>
      </c>
      <c r="D124" s="260">
        <v>3110</v>
      </c>
      <c r="E124" s="260">
        <f t="shared" si="16"/>
        <v>833</v>
      </c>
      <c r="F124" s="259">
        <f t="shared" si="17"/>
        <v>0.3658322353974528</v>
      </c>
    </row>
    <row r="125" spans="1:6" ht="20.25" customHeight="1" x14ac:dyDescent="0.3">
      <c r="A125" s="256">
        <v>8</v>
      </c>
      <c r="B125" s="257" t="s">
        <v>446</v>
      </c>
      <c r="C125" s="260">
        <v>139</v>
      </c>
      <c r="D125" s="260">
        <v>206</v>
      </c>
      <c r="E125" s="260">
        <f t="shared" si="16"/>
        <v>67</v>
      </c>
      <c r="F125" s="259">
        <f t="shared" si="17"/>
        <v>0.48201438848920863</v>
      </c>
    </row>
    <row r="126" spans="1:6" ht="20.25" customHeight="1" x14ac:dyDescent="0.3">
      <c r="A126" s="256">
        <v>9</v>
      </c>
      <c r="B126" s="257" t="s">
        <v>447</v>
      </c>
      <c r="C126" s="260">
        <v>54</v>
      </c>
      <c r="D126" s="260">
        <v>96</v>
      </c>
      <c r="E126" s="260">
        <f t="shared" si="16"/>
        <v>42</v>
      </c>
      <c r="F126" s="259">
        <f t="shared" si="17"/>
        <v>0.77777777777777779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4450866</v>
      </c>
      <c r="D127" s="263">
        <f>+D118+D120</f>
        <v>7275588</v>
      </c>
      <c r="E127" s="263">
        <f t="shared" si="16"/>
        <v>2824722</v>
      </c>
      <c r="F127" s="264">
        <f t="shared" si="17"/>
        <v>0.63464548247464647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1094290</v>
      </c>
      <c r="D128" s="263">
        <f>+D119+D121</f>
        <v>1616600</v>
      </c>
      <c r="E128" s="263">
        <f t="shared" si="16"/>
        <v>522310</v>
      </c>
      <c r="F128" s="264">
        <f t="shared" si="17"/>
        <v>0.47730491917133483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17827</v>
      </c>
      <c r="D131" s="258">
        <v>117060</v>
      </c>
      <c r="E131" s="258">
        <f t="shared" ref="E131:E141" si="18">D131-C131</f>
        <v>99233</v>
      </c>
      <c r="F131" s="259">
        <f t="shared" ref="F131:F141" si="19">IF(C131=0,0,E131/C131)</f>
        <v>5.5664441577382622</v>
      </c>
    </row>
    <row r="132" spans="1:6" ht="20.25" customHeight="1" x14ac:dyDescent="0.3">
      <c r="A132" s="256">
        <v>2</v>
      </c>
      <c r="B132" s="257" t="s">
        <v>442</v>
      </c>
      <c r="C132" s="258">
        <v>5347</v>
      </c>
      <c r="D132" s="258">
        <v>38204</v>
      </c>
      <c r="E132" s="258">
        <f t="shared" si="18"/>
        <v>32857</v>
      </c>
      <c r="F132" s="259">
        <f t="shared" si="19"/>
        <v>6.1449410884608193</v>
      </c>
    </row>
    <row r="133" spans="1:6" ht="20.25" customHeight="1" x14ac:dyDescent="0.3">
      <c r="A133" s="256">
        <v>3</v>
      </c>
      <c r="B133" s="257" t="s">
        <v>443</v>
      </c>
      <c r="C133" s="258">
        <v>66385</v>
      </c>
      <c r="D133" s="258">
        <v>96624</v>
      </c>
      <c r="E133" s="258">
        <f t="shared" si="18"/>
        <v>30239</v>
      </c>
      <c r="F133" s="259">
        <f t="shared" si="19"/>
        <v>0.45550952775476389</v>
      </c>
    </row>
    <row r="134" spans="1:6" ht="20.25" customHeight="1" x14ac:dyDescent="0.3">
      <c r="A134" s="256">
        <v>4</v>
      </c>
      <c r="B134" s="257" t="s">
        <v>444</v>
      </c>
      <c r="C134" s="258">
        <v>15655</v>
      </c>
      <c r="D134" s="258">
        <v>22018</v>
      </c>
      <c r="E134" s="258">
        <f t="shared" si="18"/>
        <v>6363</v>
      </c>
      <c r="F134" s="259">
        <f t="shared" si="19"/>
        <v>0.40645161290322579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3</v>
      </c>
      <c r="E135" s="260">
        <f t="shared" si="18"/>
        <v>2</v>
      </c>
      <c r="F135" s="259">
        <f t="shared" si="19"/>
        <v>2</v>
      </c>
    </row>
    <row r="136" spans="1:6" ht="20.25" customHeight="1" x14ac:dyDescent="0.3">
      <c r="A136" s="256">
        <v>6</v>
      </c>
      <c r="B136" s="257" t="s">
        <v>380</v>
      </c>
      <c r="C136" s="260">
        <v>8</v>
      </c>
      <c r="D136" s="260">
        <v>10</v>
      </c>
      <c r="E136" s="260">
        <f t="shared" si="18"/>
        <v>2</v>
      </c>
      <c r="F136" s="259">
        <f t="shared" si="19"/>
        <v>0.25</v>
      </c>
    </row>
    <row r="137" spans="1:6" ht="20.25" customHeight="1" x14ac:dyDescent="0.3">
      <c r="A137" s="256">
        <v>7</v>
      </c>
      <c r="B137" s="257" t="s">
        <v>445</v>
      </c>
      <c r="C137" s="260">
        <v>109</v>
      </c>
      <c r="D137" s="260">
        <v>79</v>
      </c>
      <c r="E137" s="260">
        <f t="shared" si="18"/>
        <v>-30</v>
      </c>
      <c r="F137" s="259">
        <f t="shared" si="19"/>
        <v>-0.27522935779816515</v>
      </c>
    </row>
    <row r="138" spans="1:6" ht="20.25" customHeight="1" x14ac:dyDescent="0.3">
      <c r="A138" s="256">
        <v>8</v>
      </c>
      <c r="B138" s="257" t="s">
        <v>446</v>
      </c>
      <c r="C138" s="260">
        <v>8</v>
      </c>
      <c r="D138" s="260">
        <v>4</v>
      </c>
      <c r="E138" s="260">
        <f t="shared" si="18"/>
        <v>-4</v>
      </c>
      <c r="F138" s="259">
        <f t="shared" si="19"/>
        <v>-0.5</v>
      </c>
    </row>
    <row r="139" spans="1:6" ht="20.25" customHeight="1" x14ac:dyDescent="0.3">
      <c r="A139" s="256">
        <v>9</v>
      </c>
      <c r="B139" s="257" t="s">
        <v>447</v>
      </c>
      <c r="C139" s="260">
        <v>1</v>
      </c>
      <c r="D139" s="260">
        <v>3</v>
      </c>
      <c r="E139" s="260">
        <f t="shared" si="18"/>
        <v>2</v>
      </c>
      <c r="F139" s="259">
        <f t="shared" si="19"/>
        <v>2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84212</v>
      </c>
      <c r="D140" s="263">
        <f>+D131+D133</f>
        <v>213684</v>
      </c>
      <c r="E140" s="263">
        <f t="shared" si="18"/>
        <v>129472</v>
      </c>
      <c r="F140" s="264">
        <f t="shared" si="19"/>
        <v>1.5374530945708451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21002</v>
      </c>
      <c r="D141" s="263">
        <f>+D132+D134</f>
        <v>60222</v>
      </c>
      <c r="E141" s="263">
        <f t="shared" si="18"/>
        <v>39220</v>
      </c>
      <c r="F141" s="264">
        <f t="shared" si="19"/>
        <v>1.8674411960765642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4" t="s">
        <v>44</v>
      </c>
      <c r="B195" s="805" t="s">
        <v>464</v>
      </c>
      <c r="C195" s="807"/>
      <c r="D195" s="808"/>
      <c r="E195" s="808"/>
      <c r="F195" s="809"/>
      <c r="G195" s="789"/>
      <c r="H195" s="789"/>
      <c r="I195" s="789"/>
    </row>
    <row r="196" spans="1:9" ht="20.25" customHeight="1" x14ac:dyDescent="0.3">
      <c r="A196" s="795"/>
      <c r="B196" s="806"/>
      <c r="C196" s="801"/>
      <c r="D196" s="802"/>
      <c r="E196" s="802"/>
      <c r="F196" s="803"/>
      <c r="G196" s="789"/>
      <c r="H196" s="789"/>
      <c r="I196" s="789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19115336</v>
      </c>
      <c r="D198" s="263">
        <f t="shared" si="28"/>
        <v>26883131</v>
      </c>
      <c r="E198" s="263">
        <f t="shared" ref="E198:E208" si="29">D198-C198</f>
        <v>7767795</v>
      </c>
      <c r="F198" s="273">
        <f t="shared" ref="F198:F208" si="30">IF(C198=0,0,E198/C198)</f>
        <v>0.40636455461729787</v>
      </c>
    </row>
    <row r="199" spans="1:9" ht="20.25" customHeight="1" x14ac:dyDescent="0.3">
      <c r="A199" s="271"/>
      <c r="B199" s="272" t="s">
        <v>466</v>
      </c>
      <c r="C199" s="263">
        <f t="shared" si="28"/>
        <v>5894811</v>
      </c>
      <c r="D199" s="263">
        <f t="shared" si="28"/>
        <v>7573664</v>
      </c>
      <c r="E199" s="263">
        <f t="shared" si="29"/>
        <v>1678853</v>
      </c>
      <c r="F199" s="273">
        <f t="shared" si="30"/>
        <v>0.28480183673403608</v>
      </c>
    </row>
    <row r="200" spans="1:9" ht="20.25" customHeight="1" x14ac:dyDescent="0.3">
      <c r="A200" s="271"/>
      <c r="B200" s="272" t="s">
        <v>467</v>
      </c>
      <c r="C200" s="263">
        <f t="shared" si="28"/>
        <v>23470530</v>
      </c>
      <c r="D200" s="263">
        <f t="shared" si="28"/>
        <v>29342478</v>
      </c>
      <c r="E200" s="263">
        <f t="shared" si="29"/>
        <v>5871948</v>
      </c>
      <c r="F200" s="273">
        <f t="shared" si="30"/>
        <v>0.25018386887726862</v>
      </c>
    </row>
    <row r="201" spans="1:9" ht="20.25" customHeight="1" x14ac:dyDescent="0.3">
      <c r="A201" s="271"/>
      <c r="B201" s="272" t="s">
        <v>468</v>
      </c>
      <c r="C201" s="263">
        <f t="shared" si="28"/>
        <v>5489687</v>
      </c>
      <c r="D201" s="263">
        <f t="shared" si="28"/>
        <v>5643944</v>
      </c>
      <c r="E201" s="263">
        <f t="shared" si="29"/>
        <v>154257</v>
      </c>
      <c r="F201" s="273">
        <f t="shared" si="30"/>
        <v>2.8099416232655886E-2</v>
      </c>
    </row>
    <row r="202" spans="1:9" ht="20.25" customHeight="1" x14ac:dyDescent="0.3">
      <c r="A202" s="271"/>
      <c r="B202" s="272" t="s">
        <v>138</v>
      </c>
      <c r="C202" s="274">
        <f t="shared" si="28"/>
        <v>639</v>
      </c>
      <c r="D202" s="274">
        <f t="shared" si="28"/>
        <v>808</v>
      </c>
      <c r="E202" s="274">
        <f t="shared" si="29"/>
        <v>169</v>
      </c>
      <c r="F202" s="273">
        <f t="shared" si="30"/>
        <v>0.26447574334898277</v>
      </c>
    </row>
    <row r="203" spans="1:9" ht="20.25" customHeight="1" x14ac:dyDescent="0.3">
      <c r="A203" s="271"/>
      <c r="B203" s="272" t="s">
        <v>140</v>
      </c>
      <c r="C203" s="274">
        <f t="shared" si="28"/>
        <v>4076</v>
      </c>
      <c r="D203" s="274">
        <f t="shared" si="28"/>
        <v>4572</v>
      </c>
      <c r="E203" s="274">
        <f t="shared" si="29"/>
        <v>496</v>
      </c>
      <c r="F203" s="273">
        <f t="shared" si="30"/>
        <v>0.12168792934249265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20986</v>
      </c>
      <c r="D204" s="274">
        <f t="shared" si="28"/>
        <v>24982</v>
      </c>
      <c r="E204" s="274">
        <f t="shared" si="29"/>
        <v>3996</v>
      </c>
      <c r="F204" s="273">
        <f t="shared" si="30"/>
        <v>0.19041265605641858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1507</v>
      </c>
      <c r="D205" s="274">
        <f t="shared" si="28"/>
        <v>1799</v>
      </c>
      <c r="E205" s="274">
        <f t="shared" si="29"/>
        <v>292</v>
      </c>
      <c r="F205" s="273">
        <f t="shared" si="30"/>
        <v>0.19376244193762443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525</v>
      </c>
      <c r="D206" s="274">
        <f t="shared" si="28"/>
        <v>687</v>
      </c>
      <c r="E206" s="274">
        <f t="shared" si="29"/>
        <v>162</v>
      </c>
      <c r="F206" s="273">
        <f t="shared" si="30"/>
        <v>0.30857142857142855</v>
      </c>
    </row>
    <row r="207" spans="1:9" ht="20.25" customHeight="1" x14ac:dyDescent="0.3">
      <c r="A207" s="271"/>
      <c r="B207" s="262" t="s">
        <v>471</v>
      </c>
      <c r="C207" s="263">
        <f>+C198+C200</f>
        <v>42585866</v>
      </c>
      <c r="D207" s="263">
        <f>+D198+D200</f>
        <v>56225609</v>
      </c>
      <c r="E207" s="263">
        <f t="shared" si="29"/>
        <v>13639743</v>
      </c>
      <c r="F207" s="273">
        <f t="shared" si="30"/>
        <v>0.32028802701816605</v>
      </c>
    </row>
    <row r="208" spans="1:9" ht="20.25" customHeight="1" x14ac:dyDescent="0.3">
      <c r="A208" s="271"/>
      <c r="B208" s="262" t="s">
        <v>472</v>
      </c>
      <c r="C208" s="263">
        <f>+C199+C201</f>
        <v>11384498</v>
      </c>
      <c r="D208" s="263">
        <f>+D199+D201</f>
        <v>13217608</v>
      </c>
      <c r="E208" s="263">
        <f t="shared" si="29"/>
        <v>1833110</v>
      </c>
      <c r="F208" s="273">
        <f t="shared" si="30"/>
        <v>0.1610180791458701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0" t="s">
        <v>0</v>
      </c>
      <c r="B2" s="790"/>
      <c r="C2" s="790"/>
      <c r="D2" s="790"/>
      <c r="E2" s="790"/>
      <c r="F2" s="790"/>
    </row>
    <row r="3" spans="1:7" ht="20.25" customHeight="1" x14ac:dyDescent="0.3">
      <c r="A3" s="790" t="s">
        <v>1</v>
      </c>
      <c r="B3" s="790"/>
      <c r="C3" s="790"/>
      <c r="D3" s="790"/>
      <c r="E3" s="790"/>
      <c r="F3" s="790"/>
    </row>
    <row r="4" spans="1:7" ht="20.25" customHeight="1" x14ac:dyDescent="0.3">
      <c r="A4" s="790" t="s">
        <v>314</v>
      </c>
      <c r="B4" s="790"/>
      <c r="C4" s="790"/>
      <c r="D4" s="790"/>
      <c r="E4" s="790"/>
      <c r="F4" s="790"/>
    </row>
    <row r="5" spans="1:7" ht="20.25" customHeight="1" x14ac:dyDescent="0.3">
      <c r="A5" s="790" t="s">
        <v>473</v>
      </c>
      <c r="B5" s="790"/>
      <c r="C5" s="790"/>
      <c r="D5" s="790"/>
      <c r="E5" s="790"/>
      <c r="F5" s="790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4" t="s">
        <v>12</v>
      </c>
      <c r="B10" s="805" t="s">
        <v>116</v>
      </c>
      <c r="C10" s="807"/>
      <c r="D10" s="808"/>
      <c r="E10" s="808"/>
      <c r="F10" s="809"/>
    </row>
    <row r="11" spans="1:7" ht="20.25" customHeight="1" x14ac:dyDescent="0.3">
      <c r="A11" s="795"/>
      <c r="B11" s="806"/>
      <c r="C11" s="801"/>
      <c r="D11" s="802"/>
      <c r="E11" s="802"/>
      <c r="F11" s="80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1167676</v>
      </c>
      <c r="D26" s="258">
        <v>0</v>
      </c>
      <c r="E26" s="258">
        <f t="shared" ref="E26:E36" si="2">D26-C26</f>
        <v>-1167676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436970</v>
      </c>
      <c r="D27" s="258">
        <v>0</v>
      </c>
      <c r="E27" s="258">
        <f t="shared" si="2"/>
        <v>-436970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3327813</v>
      </c>
      <c r="D28" s="258">
        <v>0</v>
      </c>
      <c r="E28" s="258">
        <f t="shared" si="2"/>
        <v>-3327813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616177</v>
      </c>
      <c r="D29" s="258">
        <v>0</v>
      </c>
      <c r="E29" s="258">
        <f t="shared" si="2"/>
        <v>-616177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108</v>
      </c>
      <c r="D30" s="260">
        <v>0</v>
      </c>
      <c r="E30" s="260">
        <f t="shared" si="2"/>
        <v>-108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441</v>
      </c>
      <c r="D31" s="260">
        <v>0</v>
      </c>
      <c r="E31" s="260">
        <f t="shared" si="2"/>
        <v>-441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1455</v>
      </c>
      <c r="D32" s="260">
        <v>0</v>
      </c>
      <c r="E32" s="260">
        <f t="shared" si="2"/>
        <v>-1455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1127</v>
      </c>
      <c r="D33" s="260">
        <v>0</v>
      </c>
      <c r="E33" s="260">
        <f t="shared" si="2"/>
        <v>-1127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34</v>
      </c>
      <c r="D34" s="260">
        <v>0</v>
      </c>
      <c r="E34" s="260">
        <f t="shared" si="2"/>
        <v>-34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4495489</v>
      </c>
      <c r="D35" s="263">
        <f>+D26+D28</f>
        <v>0</v>
      </c>
      <c r="E35" s="263">
        <f t="shared" si="2"/>
        <v>-4495489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1053147</v>
      </c>
      <c r="D36" s="263">
        <f>+D27+D29</f>
        <v>0</v>
      </c>
      <c r="E36" s="263">
        <f t="shared" si="2"/>
        <v>-1053147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290131</v>
      </c>
      <c r="D86" s="258">
        <v>0</v>
      </c>
      <c r="E86" s="258">
        <f t="shared" ref="E86:E96" si="12">D86-C86</f>
        <v>-290131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85131</v>
      </c>
      <c r="D87" s="258">
        <v>0</v>
      </c>
      <c r="E87" s="258">
        <f t="shared" si="12"/>
        <v>-85131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933972</v>
      </c>
      <c r="D88" s="258">
        <v>0</v>
      </c>
      <c r="E88" s="258">
        <f t="shared" si="12"/>
        <v>-933972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158972</v>
      </c>
      <c r="D89" s="258">
        <v>0</v>
      </c>
      <c r="E89" s="258">
        <f t="shared" si="12"/>
        <v>-158972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23</v>
      </c>
      <c r="D90" s="260">
        <v>0</v>
      </c>
      <c r="E90" s="260">
        <f t="shared" si="12"/>
        <v>-23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90</v>
      </c>
      <c r="D91" s="260">
        <v>0</v>
      </c>
      <c r="E91" s="260">
        <f t="shared" si="12"/>
        <v>-90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394</v>
      </c>
      <c r="D92" s="260">
        <v>0</v>
      </c>
      <c r="E92" s="260">
        <f t="shared" si="12"/>
        <v>-394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307</v>
      </c>
      <c r="D93" s="260">
        <v>0</v>
      </c>
      <c r="E93" s="260">
        <f t="shared" si="12"/>
        <v>-307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9</v>
      </c>
      <c r="D94" s="260">
        <v>0</v>
      </c>
      <c r="E94" s="260">
        <f t="shared" si="12"/>
        <v>-9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1224103</v>
      </c>
      <c r="D95" s="263">
        <f>+D86+D88</f>
        <v>0</v>
      </c>
      <c r="E95" s="263">
        <f t="shared" si="12"/>
        <v>-1224103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244103</v>
      </c>
      <c r="D96" s="263">
        <f>+D87+D89</f>
        <v>0</v>
      </c>
      <c r="E96" s="263">
        <f t="shared" si="12"/>
        <v>-244103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896434</v>
      </c>
      <c r="D98" s="258">
        <v>0</v>
      </c>
      <c r="E98" s="258">
        <f t="shared" ref="E98:E108" si="14">D98-C98</f>
        <v>-896434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306048</v>
      </c>
      <c r="D99" s="258">
        <v>0</v>
      </c>
      <c r="E99" s="258">
        <f t="shared" si="14"/>
        <v>-306048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2166748</v>
      </c>
      <c r="D100" s="258">
        <v>0</v>
      </c>
      <c r="E100" s="258">
        <f t="shared" si="14"/>
        <v>-2166748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456734</v>
      </c>
      <c r="D101" s="258">
        <v>0</v>
      </c>
      <c r="E101" s="258">
        <f t="shared" si="14"/>
        <v>-456734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73</v>
      </c>
      <c r="D102" s="260">
        <v>0</v>
      </c>
      <c r="E102" s="260">
        <f t="shared" si="14"/>
        <v>-73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309</v>
      </c>
      <c r="D103" s="260">
        <v>0</v>
      </c>
      <c r="E103" s="260">
        <f t="shared" si="14"/>
        <v>-309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1111</v>
      </c>
      <c r="D104" s="260">
        <v>0</v>
      </c>
      <c r="E104" s="260">
        <f t="shared" si="14"/>
        <v>-1111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655</v>
      </c>
      <c r="D105" s="260">
        <v>0</v>
      </c>
      <c r="E105" s="260">
        <f t="shared" si="14"/>
        <v>-655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26</v>
      </c>
      <c r="D106" s="260">
        <v>0</v>
      </c>
      <c r="E106" s="260">
        <f t="shared" si="14"/>
        <v>-26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3063182</v>
      </c>
      <c r="D107" s="263">
        <f>+D98+D100</f>
        <v>0</v>
      </c>
      <c r="E107" s="263">
        <f t="shared" si="14"/>
        <v>-3063182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762782</v>
      </c>
      <c r="D108" s="263">
        <f>+D99+D101</f>
        <v>0</v>
      </c>
      <c r="E108" s="263">
        <f t="shared" si="14"/>
        <v>-762782</v>
      </c>
      <c r="F108" s="264">
        <f t="shared" si="15"/>
        <v>-1</v>
      </c>
    </row>
    <row r="109" spans="1:7" s="265" customFormat="1" ht="20.25" customHeight="1" x14ac:dyDescent="0.3">
      <c r="A109" s="804" t="s">
        <v>44</v>
      </c>
      <c r="B109" s="805" t="s">
        <v>490</v>
      </c>
      <c r="C109" s="807"/>
      <c r="D109" s="808"/>
      <c r="E109" s="808"/>
      <c r="F109" s="809"/>
      <c r="G109" s="245"/>
    </row>
    <row r="110" spans="1:7" ht="20.25" customHeight="1" x14ac:dyDescent="0.3">
      <c r="A110" s="795"/>
      <c r="B110" s="806"/>
      <c r="C110" s="801"/>
      <c r="D110" s="802"/>
      <c r="E110" s="802"/>
      <c r="F110" s="80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2354241</v>
      </c>
      <c r="D112" s="263">
        <f t="shared" si="16"/>
        <v>0</v>
      </c>
      <c r="E112" s="263">
        <f t="shared" ref="E112:E122" si="17">D112-C112</f>
        <v>-2354241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828149</v>
      </c>
      <c r="D113" s="263">
        <f t="shared" si="16"/>
        <v>0</v>
      </c>
      <c r="E113" s="263">
        <f t="shared" si="17"/>
        <v>-828149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6428533</v>
      </c>
      <c r="D114" s="263">
        <f t="shared" si="16"/>
        <v>0</v>
      </c>
      <c r="E114" s="263">
        <f t="shared" si="17"/>
        <v>-6428533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1231883</v>
      </c>
      <c r="D115" s="263">
        <f t="shared" si="16"/>
        <v>0</v>
      </c>
      <c r="E115" s="263">
        <f t="shared" si="17"/>
        <v>-1231883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204</v>
      </c>
      <c r="D116" s="287">
        <f t="shared" si="16"/>
        <v>0</v>
      </c>
      <c r="E116" s="287">
        <f t="shared" si="17"/>
        <v>-204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840</v>
      </c>
      <c r="D117" s="287">
        <f t="shared" si="16"/>
        <v>0</v>
      </c>
      <c r="E117" s="287">
        <f t="shared" si="17"/>
        <v>-840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2960</v>
      </c>
      <c r="D118" s="287">
        <f t="shared" si="16"/>
        <v>0</v>
      </c>
      <c r="E118" s="287">
        <f t="shared" si="17"/>
        <v>-2960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2089</v>
      </c>
      <c r="D119" s="287">
        <f t="shared" si="16"/>
        <v>0</v>
      </c>
      <c r="E119" s="287">
        <f t="shared" si="17"/>
        <v>-2089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69</v>
      </c>
      <c r="D120" s="287">
        <f t="shared" si="16"/>
        <v>0</v>
      </c>
      <c r="E120" s="287">
        <f t="shared" si="17"/>
        <v>-69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8782774</v>
      </c>
      <c r="D121" s="263">
        <f>+D112+D114</f>
        <v>0</v>
      </c>
      <c r="E121" s="263">
        <f t="shared" si="17"/>
        <v>-8782774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2060032</v>
      </c>
      <c r="D122" s="263">
        <f>+D113+D115</f>
        <v>0</v>
      </c>
      <c r="E122" s="263">
        <f t="shared" si="17"/>
        <v>-2060032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10" t="s">
        <v>500</v>
      </c>
      <c r="B1" s="811"/>
      <c r="C1" s="811"/>
      <c r="D1" s="811"/>
      <c r="E1" s="811"/>
      <c r="F1" s="812"/>
    </row>
    <row r="2" spans="1:8" ht="24" customHeight="1" x14ac:dyDescent="0.25">
      <c r="A2" s="810" t="s">
        <v>1</v>
      </c>
      <c r="B2" s="811"/>
      <c r="C2" s="811"/>
      <c r="D2" s="811"/>
      <c r="E2" s="811"/>
      <c r="F2" s="812"/>
    </row>
    <row r="3" spans="1:8" ht="24" customHeight="1" x14ac:dyDescent="0.25">
      <c r="A3" s="810" t="s">
        <v>2</v>
      </c>
      <c r="B3" s="811"/>
      <c r="C3" s="811"/>
      <c r="D3" s="811"/>
      <c r="E3" s="811"/>
      <c r="F3" s="812"/>
    </row>
    <row r="4" spans="1:8" ht="24" customHeight="1" x14ac:dyDescent="0.25">
      <c r="A4" s="810" t="s">
        <v>501</v>
      </c>
      <c r="B4" s="811"/>
      <c r="C4" s="811"/>
      <c r="D4" s="811"/>
      <c r="E4" s="811"/>
      <c r="F4" s="812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20052067</v>
      </c>
      <c r="D13" s="22">
        <v>22439356</v>
      </c>
      <c r="E13" s="22">
        <f t="shared" ref="E13:E22" si="0">D13-C13</f>
        <v>2387289</v>
      </c>
      <c r="F13" s="306">
        <f t="shared" ref="F13:F22" si="1">IF(C13=0,0,E13/C13)</f>
        <v>0.11905450944284197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46711256</v>
      </c>
      <c r="D15" s="22">
        <v>46524143</v>
      </c>
      <c r="E15" s="22">
        <f t="shared" si="0"/>
        <v>-187113</v>
      </c>
      <c r="F15" s="306">
        <f t="shared" si="1"/>
        <v>-4.0057368613680604E-3</v>
      </c>
    </row>
    <row r="16" spans="1:8" ht="35.1" customHeight="1" x14ac:dyDescent="0.2">
      <c r="A16" s="304">
        <v>4</v>
      </c>
      <c r="B16" s="305" t="s">
        <v>19</v>
      </c>
      <c r="C16" s="22">
        <v>5435445</v>
      </c>
      <c r="D16" s="22">
        <v>1850531</v>
      </c>
      <c r="E16" s="22">
        <f t="shared" si="0"/>
        <v>-3584914</v>
      </c>
      <c r="F16" s="306">
        <f t="shared" si="1"/>
        <v>-0.65954379080277692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4402920</v>
      </c>
      <c r="D18" s="22">
        <v>3463096</v>
      </c>
      <c r="E18" s="22">
        <f t="shared" si="0"/>
        <v>-939824</v>
      </c>
      <c r="F18" s="306">
        <f t="shared" si="1"/>
        <v>-0.21345470733058969</v>
      </c>
    </row>
    <row r="19" spans="1:11" ht="24" customHeight="1" x14ac:dyDescent="0.2">
      <c r="A19" s="304">
        <v>7</v>
      </c>
      <c r="B19" s="305" t="s">
        <v>22</v>
      </c>
      <c r="C19" s="22">
        <v>4253600</v>
      </c>
      <c r="D19" s="22">
        <v>5065716</v>
      </c>
      <c r="E19" s="22">
        <f t="shared" si="0"/>
        <v>812116</v>
      </c>
      <c r="F19" s="306">
        <f t="shared" si="1"/>
        <v>0.19092439345495579</v>
      </c>
    </row>
    <row r="20" spans="1:11" ht="24" customHeight="1" x14ac:dyDescent="0.2">
      <c r="A20" s="304">
        <v>8</v>
      </c>
      <c r="B20" s="305" t="s">
        <v>23</v>
      </c>
      <c r="C20" s="22">
        <v>5020607</v>
      </c>
      <c r="D20" s="22">
        <v>5046865</v>
      </c>
      <c r="E20" s="22">
        <f t="shared" si="0"/>
        <v>26258</v>
      </c>
      <c r="F20" s="306">
        <f t="shared" si="1"/>
        <v>5.23004489297808E-3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85875895</v>
      </c>
      <c r="D22" s="309">
        <f>SUM(D13:D21)</f>
        <v>84389707</v>
      </c>
      <c r="E22" s="309">
        <f t="shared" si="0"/>
        <v>-1486188</v>
      </c>
      <c r="F22" s="310">
        <f t="shared" si="1"/>
        <v>-1.7306230112652685E-2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12342602</v>
      </c>
      <c r="D25" s="22">
        <v>12824429</v>
      </c>
      <c r="E25" s="22">
        <f>D25-C25</f>
        <v>481827</v>
      </c>
      <c r="F25" s="306">
        <f>IF(C25=0,0,E25/C25)</f>
        <v>3.9037716682430494E-2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42086540</v>
      </c>
      <c r="D28" s="22">
        <v>42139177</v>
      </c>
      <c r="E28" s="22">
        <f>D28-C28</f>
        <v>52637</v>
      </c>
      <c r="F28" s="306">
        <f>IF(C28=0,0,E28/C28)</f>
        <v>1.2506848983071547E-3</v>
      </c>
    </row>
    <row r="29" spans="1:11" ht="35.1" customHeight="1" x14ac:dyDescent="0.25">
      <c r="A29" s="307"/>
      <c r="B29" s="308" t="s">
        <v>32</v>
      </c>
      <c r="C29" s="309">
        <f>SUM(C25:C28)</f>
        <v>54429142</v>
      </c>
      <c r="D29" s="309">
        <f>SUM(D25:D28)</f>
        <v>54963606</v>
      </c>
      <c r="E29" s="309">
        <f>D29-C29</f>
        <v>534464</v>
      </c>
      <c r="F29" s="310">
        <f>IF(C29=0,0,E29/C29)</f>
        <v>9.8194456197747883E-3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35011140</v>
      </c>
      <c r="D32" s="22">
        <v>26741383</v>
      </c>
      <c r="E32" s="22">
        <f>D32-C32</f>
        <v>-8269757</v>
      </c>
      <c r="F32" s="306">
        <f>IF(C32=0,0,E32/C32)</f>
        <v>-0.23620359119982953</v>
      </c>
    </row>
    <row r="33" spans="1:8" ht="24" customHeight="1" x14ac:dyDescent="0.2">
      <c r="A33" s="304">
        <v>7</v>
      </c>
      <c r="B33" s="305" t="s">
        <v>35</v>
      </c>
      <c r="C33" s="22">
        <v>11678494</v>
      </c>
      <c r="D33" s="22">
        <v>20183543</v>
      </c>
      <c r="E33" s="22">
        <f>D33-C33</f>
        <v>8505049</v>
      </c>
      <c r="F33" s="306">
        <f>IF(C33=0,0,E33/C33)</f>
        <v>0.72826590483327736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313325973</v>
      </c>
      <c r="D36" s="22">
        <v>302185099</v>
      </c>
      <c r="E36" s="22">
        <f>D36-C36</f>
        <v>-11140874</v>
      </c>
      <c r="F36" s="306">
        <f>IF(C36=0,0,E36/C36)</f>
        <v>-3.555681609580448E-2</v>
      </c>
    </row>
    <row r="37" spans="1:8" ht="24" customHeight="1" x14ac:dyDescent="0.2">
      <c r="A37" s="304">
        <v>2</v>
      </c>
      <c r="B37" s="305" t="s">
        <v>39</v>
      </c>
      <c r="C37" s="22">
        <v>219601454</v>
      </c>
      <c r="D37" s="22">
        <v>206928185</v>
      </c>
      <c r="E37" s="22">
        <f>D37-C37</f>
        <v>-12673269</v>
      </c>
      <c r="F37" s="22">
        <f>IF(C37=0,0,E37/C37)</f>
        <v>-5.7710314613854972E-2</v>
      </c>
    </row>
    <row r="38" spans="1:8" ht="24" customHeight="1" x14ac:dyDescent="0.25">
      <c r="A38" s="307"/>
      <c r="B38" s="308" t="s">
        <v>40</v>
      </c>
      <c r="C38" s="309">
        <f>C36-C37</f>
        <v>93724519</v>
      </c>
      <c r="D38" s="309">
        <f>D36-D37</f>
        <v>95256914</v>
      </c>
      <c r="E38" s="309">
        <f>D38-C38</f>
        <v>1532395</v>
      </c>
      <c r="F38" s="310">
        <f>IF(C38=0,0,E38/C38)</f>
        <v>1.6349990550498319E-2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2570935</v>
      </c>
      <c r="D40" s="22">
        <v>931583</v>
      </c>
      <c r="E40" s="22">
        <f>D40-C40</f>
        <v>-1639352</v>
      </c>
      <c r="F40" s="306">
        <f>IF(C40=0,0,E40/C40)</f>
        <v>-0.63764817080167335</v>
      </c>
    </row>
    <row r="41" spans="1:8" ht="24" customHeight="1" x14ac:dyDescent="0.25">
      <c r="A41" s="307"/>
      <c r="B41" s="308" t="s">
        <v>42</v>
      </c>
      <c r="C41" s="309">
        <f>+C38+C40</f>
        <v>96295454</v>
      </c>
      <c r="D41" s="309">
        <f>+D38+D40</f>
        <v>96188497</v>
      </c>
      <c r="E41" s="309">
        <f>D41-C41</f>
        <v>-106957</v>
      </c>
      <c r="F41" s="310">
        <f>IF(C41=0,0,E41/C41)</f>
        <v>-1.1107170230486684E-3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283290125</v>
      </c>
      <c r="D43" s="309">
        <f>D22+D29+D31+D32+D33+D41</f>
        <v>282466736</v>
      </c>
      <c r="E43" s="309">
        <f>D43-C43</f>
        <v>-823389</v>
      </c>
      <c r="F43" s="310">
        <f>IF(C43=0,0,E43/C43)</f>
        <v>-2.906522068144804E-3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25121249</v>
      </c>
      <c r="D49" s="22">
        <v>29240555</v>
      </c>
      <c r="E49" s="22">
        <f t="shared" ref="E49:E56" si="2">D49-C49</f>
        <v>4119306</v>
      </c>
      <c r="F49" s="306">
        <f t="shared" ref="F49:F56" si="3">IF(C49=0,0,E49/C49)</f>
        <v>0.16397695831126868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5609427</v>
      </c>
      <c r="D50" s="22">
        <v>5634280</v>
      </c>
      <c r="E50" s="22">
        <f t="shared" si="2"/>
        <v>24853</v>
      </c>
      <c r="F50" s="306">
        <f t="shared" si="3"/>
        <v>4.4305773120855299E-3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2793775</v>
      </c>
      <c r="D51" s="22">
        <v>4512361</v>
      </c>
      <c r="E51" s="22">
        <f t="shared" si="2"/>
        <v>1718586</v>
      </c>
      <c r="F51" s="306">
        <f t="shared" si="3"/>
        <v>0.61514832082039539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8831469</v>
      </c>
      <c r="D53" s="22">
        <v>8925357</v>
      </c>
      <c r="E53" s="22">
        <f t="shared" si="2"/>
        <v>93888</v>
      </c>
      <c r="F53" s="306">
        <f t="shared" si="3"/>
        <v>1.0631073947040973E-2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4572885</v>
      </c>
      <c r="D54" s="22">
        <v>4406965</v>
      </c>
      <c r="E54" s="22">
        <f t="shared" si="2"/>
        <v>-165920</v>
      </c>
      <c r="F54" s="306">
        <f t="shared" si="3"/>
        <v>-3.6283440322684692E-2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12050537</v>
      </c>
      <c r="D55" s="22">
        <v>11625999</v>
      </c>
      <c r="E55" s="22">
        <f t="shared" si="2"/>
        <v>-424538</v>
      </c>
      <c r="F55" s="306">
        <f t="shared" si="3"/>
        <v>-3.5229799302719869E-2</v>
      </c>
    </row>
    <row r="56" spans="1:6" ht="24" customHeight="1" x14ac:dyDescent="0.25">
      <c r="A56" s="307"/>
      <c r="B56" s="308" t="s">
        <v>54</v>
      </c>
      <c r="C56" s="309">
        <f>SUM(C49:C55)</f>
        <v>58979342</v>
      </c>
      <c r="D56" s="309">
        <f>SUM(D49:D55)</f>
        <v>64345517</v>
      </c>
      <c r="E56" s="309">
        <f t="shared" si="2"/>
        <v>5366175</v>
      </c>
      <c r="F56" s="310">
        <f t="shared" si="3"/>
        <v>9.0983975372258302E-2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74496875</v>
      </c>
      <c r="D59" s="22">
        <v>72082455</v>
      </c>
      <c r="E59" s="22">
        <f>D59-C59</f>
        <v>-2414420</v>
      </c>
      <c r="F59" s="306">
        <f>IF(C59=0,0,E59/C59)</f>
        <v>-3.2409681614161669E-2</v>
      </c>
    </row>
    <row r="60" spans="1:6" ht="24" customHeight="1" x14ac:dyDescent="0.2">
      <c r="A60" s="304">
        <v>2</v>
      </c>
      <c r="B60" s="305" t="s">
        <v>57</v>
      </c>
      <c r="C60" s="22">
        <v>13044874</v>
      </c>
      <c r="D60" s="22">
        <v>12333551</v>
      </c>
      <c r="E60" s="22">
        <f>D60-C60</f>
        <v>-711323</v>
      </c>
      <c r="F60" s="306">
        <f>IF(C60=0,0,E60/C60)</f>
        <v>-5.4528928374471076E-2</v>
      </c>
    </row>
    <row r="61" spans="1:6" ht="24" customHeight="1" x14ac:dyDescent="0.25">
      <c r="A61" s="307"/>
      <c r="B61" s="308" t="s">
        <v>58</v>
      </c>
      <c r="C61" s="309">
        <f>SUM(C59:C60)</f>
        <v>87541749</v>
      </c>
      <c r="D61" s="309">
        <f>SUM(D59:D60)</f>
        <v>84416006</v>
      </c>
      <c r="E61" s="309">
        <f>D61-C61</f>
        <v>-3125743</v>
      </c>
      <c r="F61" s="310">
        <f>IF(C61=0,0,E61/C61)</f>
        <v>-3.5705740811735436E-2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74618608</v>
      </c>
      <c r="D63" s="22">
        <v>38111463</v>
      </c>
      <c r="E63" s="22">
        <f>D63-C63</f>
        <v>-36507145</v>
      </c>
      <c r="F63" s="306">
        <f>IF(C63=0,0,E63/C63)</f>
        <v>-0.48924987986910717</v>
      </c>
    </row>
    <row r="64" spans="1:6" ht="24" customHeight="1" x14ac:dyDescent="0.2">
      <c r="A64" s="304">
        <v>4</v>
      </c>
      <c r="B64" s="305" t="s">
        <v>60</v>
      </c>
      <c r="C64" s="22">
        <v>10549165</v>
      </c>
      <c r="D64" s="22">
        <v>9744601</v>
      </c>
      <c r="E64" s="22">
        <f>D64-C64</f>
        <v>-804564</v>
      </c>
      <c r="F64" s="306">
        <f>IF(C64=0,0,E64/C64)</f>
        <v>-7.6268026900707303E-2</v>
      </c>
    </row>
    <row r="65" spans="1:6" ht="24" customHeight="1" x14ac:dyDescent="0.25">
      <c r="A65" s="307"/>
      <c r="B65" s="308" t="s">
        <v>61</v>
      </c>
      <c r="C65" s="309">
        <f>SUM(C61:C64)</f>
        <v>172709522</v>
      </c>
      <c r="D65" s="309">
        <f>SUM(D61:D64)</f>
        <v>132272070</v>
      </c>
      <c r="E65" s="309">
        <f>D65-C65</f>
        <v>-40437452</v>
      </c>
      <c r="F65" s="310">
        <f>IF(C65=0,0,E65/C65)</f>
        <v>-0.23413562571263441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36549384</v>
      </c>
      <c r="D70" s="22">
        <v>70965928</v>
      </c>
      <c r="E70" s="22">
        <f>D70-C70</f>
        <v>34416544</v>
      </c>
      <c r="F70" s="306">
        <f>IF(C70=0,0,E70/C70)</f>
        <v>0.94164498093866644</v>
      </c>
    </row>
    <row r="71" spans="1:6" ht="24" customHeight="1" x14ac:dyDescent="0.2">
      <c r="A71" s="304">
        <v>2</v>
      </c>
      <c r="B71" s="305" t="s">
        <v>65</v>
      </c>
      <c r="C71" s="22">
        <v>3243522</v>
      </c>
      <c r="D71" s="22">
        <v>2587301</v>
      </c>
      <c r="E71" s="22">
        <f>D71-C71</f>
        <v>-656221</v>
      </c>
      <c r="F71" s="306">
        <f>IF(C71=0,0,E71/C71)</f>
        <v>-0.20231741915115728</v>
      </c>
    </row>
    <row r="72" spans="1:6" ht="24" customHeight="1" x14ac:dyDescent="0.2">
      <c r="A72" s="304">
        <v>3</v>
      </c>
      <c r="B72" s="305" t="s">
        <v>66</v>
      </c>
      <c r="C72" s="22">
        <v>11808355</v>
      </c>
      <c r="D72" s="22">
        <v>12295920</v>
      </c>
      <c r="E72" s="22">
        <f>D72-C72</f>
        <v>487565</v>
      </c>
      <c r="F72" s="306">
        <f>IF(C72=0,0,E72/C72)</f>
        <v>4.1289832495720193E-2</v>
      </c>
    </row>
    <row r="73" spans="1:6" ht="24" customHeight="1" x14ac:dyDescent="0.25">
      <c r="A73" s="304"/>
      <c r="B73" s="308" t="s">
        <v>67</v>
      </c>
      <c r="C73" s="309">
        <f>SUM(C70:C72)</f>
        <v>51601261</v>
      </c>
      <c r="D73" s="309">
        <f>SUM(D70:D72)</f>
        <v>85849149</v>
      </c>
      <c r="E73" s="309">
        <f>D73-C73</f>
        <v>34247888</v>
      </c>
      <c r="F73" s="310">
        <f>IF(C73=0,0,E73/C73)</f>
        <v>0.6637025401375366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283290125</v>
      </c>
      <c r="D75" s="309">
        <f>D56+D65+D67+D73</f>
        <v>282466736</v>
      </c>
      <c r="E75" s="309">
        <f>D75-C75</f>
        <v>-823389</v>
      </c>
      <c r="F75" s="310">
        <f>IF(C75=0,0,E75/C75)</f>
        <v>-2.906522068144804E-3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9" t="s">
        <v>500</v>
      </c>
      <c r="B1" s="770"/>
      <c r="C1" s="770"/>
      <c r="D1" s="770"/>
      <c r="E1" s="770"/>
      <c r="F1" s="771"/>
    </row>
    <row r="2" spans="1:7" ht="23.1" customHeight="1" x14ac:dyDescent="0.25">
      <c r="A2" s="769" t="s">
        <v>1</v>
      </c>
      <c r="B2" s="770"/>
      <c r="C2" s="770"/>
      <c r="D2" s="770"/>
      <c r="E2" s="770"/>
      <c r="F2" s="771"/>
    </row>
    <row r="3" spans="1:7" ht="23.1" customHeight="1" x14ac:dyDescent="0.25">
      <c r="A3" s="769" t="s">
        <v>314</v>
      </c>
      <c r="B3" s="770"/>
      <c r="C3" s="770"/>
      <c r="D3" s="770"/>
      <c r="E3" s="770"/>
      <c r="F3" s="771"/>
    </row>
    <row r="4" spans="1:7" ht="23.1" customHeight="1" x14ac:dyDescent="0.25">
      <c r="A4" s="769" t="s">
        <v>502</v>
      </c>
      <c r="B4" s="770"/>
      <c r="C4" s="770"/>
      <c r="D4" s="770"/>
      <c r="E4" s="770"/>
      <c r="F4" s="771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754864642</v>
      </c>
      <c r="D11" s="76">
        <v>900707906</v>
      </c>
      <c r="E11" s="76">
        <f t="shared" ref="E11:E20" si="0">D11-C11</f>
        <v>145843264</v>
      </c>
      <c r="F11" s="77">
        <f t="shared" ref="F11:F20" si="1">IF(C11=0,0,E11/C11)</f>
        <v>0.19320452420925552</v>
      </c>
    </row>
    <row r="12" spans="1:7" ht="23.1" customHeight="1" x14ac:dyDescent="0.2">
      <c r="A12" s="74">
        <v>2</v>
      </c>
      <c r="B12" s="75" t="s">
        <v>72</v>
      </c>
      <c r="C12" s="76">
        <v>470675259</v>
      </c>
      <c r="D12" s="76">
        <v>585405098</v>
      </c>
      <c r="E12" s="76">
        <f t="shared" si="0"/>
        <v>114729839</v>
      </c>
      <c r="F12" s="77">
        <f t="shared" si="1"/>
        <v>0.24375583123650016</v>
      </c>
    </row>
    <row r="13" spans="1:7" ht="23.1" customHeight="1" x14ac:dyDescent="0.2">
      <c r="A13" s="74">
        <v>3</v>
      </c>
      <c r="B13" s="75" t="s">
        <v>73</v>
      </c>
      <c r="C13" s="76">
        <v>7146386</v>
      </c>
      <c r="D13" s="76">
        <v>5180649</v>
      </c>
      <c r="E13" s="76">
        <f t="shared" si="0"/>
        <v>-1965737</v>
      </c>
      <c r="F13" s="77">
        <f t="shared" si="1"/>
        <v>-0.27506728575814404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277042997</v>
      </c>
      <c r="D15" s="79">
        <f>D11-D12-D13-D14</f>
        <v>310122159</v>
      </c>
      <c r="E15" s="79">
        <f t="shared" si="0"/>
        <v>33079162</v>
      </c>
      <c r="F15" s="80">
        <f t="shared" si="1"/>
        <v>0.119400823547978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11142202</v>
      </c>
      <c r="E16" s="76">
        <f t="shared" si="0"/>
        <v>11142202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277042997</v>
      </c>
      <c r="D17" s="79">
        <f>D15-D16</f>
        <v>298979957</v>
      </c>
      <c r="E17" s="79">
        <f t="shared" si="0"/>
        <v>21936960</v>
      </c>
      <c r="F17" s="80">
        <f t="shared" si="1"/>
        <v>7.9182510431765218E-2</v>
      </c>
    </row>
    <row r="18" spans="1:7" ht="23.1" customHeight="1" x14ac:dyDescent="0.2">
      <c r="A18" s="74">
        <v>6</v>
      </c>
      <c r="B18" s="75" t="s">
        <v>78</v>
      </c>
      <c r="C18" s="76">
        <v>28201071</v>
      </c>
      <c r="D18" s="76">
        <v>27116509</v>
      </c>
      <c r="E18" s="76">
        <f t="shared" si="0"/>
        <v>-1084562</v>
      </c>
      <c r="F18" s="77">
        <f t="shared" si="1"/>
        <v>-3.8458184797307872E-2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638113</v>
      </c>
      <c r="D19" s="76">
        <v>1871227</v>
      </c>
      <c r="E19" s="76">
        <f t="shared" si="0"/>
        <v>1233114</v>
      </c>
      <c r="F19" s="77">
        <f t="shared" si="1"/>
        <v>1.9324382985458688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305882181</v>
      </c>
      <c r="D20" s="79">
        <f>SUM(D17:D19)</f>
        <v>327967693</v>
      </c>
      <c r="E20" s="79">
        <f t="shared" si="0"/>
        <v>22085512</v>
      </c>
      <c r="F20" s="80">
        <f t="shared" si="1"/>
        <v>7.2202675970850352E-2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139915729</v>
      </c>
      <c r="D23" s="76">
        <v>163729402</v>
      </c>
      <c r="E23" s="76">
        <f t="shared" ref="E23:E32" si="2">D23-C23</f>
        <v>23813673</v>
      </c>
      <c r="F23" s="77">
        <f t="shared" ref="F23:F32" si="3">IF(C23=0,0,E23/C23)</f>
        <v>0.17020011381279371</v>
      </c>
    </row>
    <row r="24" spans="1:7" ht="23.1" customHeight="1" x14ac:dyDescent="0.2">
      <c r="A24" s="74">
        <v>2</v>
      </c>
      <c r="B24" s="75" t="s">
        <v>83</v>
      </c>
      <c r="C24" s="76">
        <v>40155469</v>
      </c>
      <c r="D24" s="76">
        <v>47592094</v>
      </c>
      <c r="E24" s="76">
        <f t="shared" si="2"/>
        <v>7436625</v>
      </c>
      <c r="F24" s="77">
        <f t="shared" si="3"/>
        <v>0.18519581977737579</v>
      </c>
    </row>
    <row r="25" spans="1:7" ht="23.1" customHeight="1" x14ac:dyDescent="0.2">
      <c r="A25" s="74">
        <v>3</v>
      </c>
      <c r="B25" s="75" t="s">
        <v>84</v>
      </c>
      <c r="C25" s="76">
        <v>10398896</v>
      </c>
      <c r="D25" s="76">
        <v>11330248</v>
      </c>
      <c r="E25" s="76">
        <f t="shared" si="2"/>
        <v>931352</v>
      </c>
      <c r="F25" s="77">
        <f t="shared" si="3"/>
        <v>8.9562584335875661E-2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36089404</v>
      </c>
      <c r="D26" s="76">
        <v>36699785</v>
      </c>
      <c r="E26" s="76">
        <f t="shared" si="2"/>
        <v>610381</v>
      </c>
      <c r="F26" s="77">
        <f t="shared" si="3"/>
        <v>1.6913025219258263E-2</v>
      </c>
    </row>
    <row r="27" spans="1:7" ht="23.1" customHeight="1" x14ac:dyDescent="0.2">
      <c r="A27" s="74">
        <v>5</v>
      </c>
      <c r="B27" s="75" t="s">
        <v>86</v>
      </c>
      <c r="C27" s="76">
        <v>11811633</v>
      </c>
      <c r="D27" s="76">
        <v>12290822</v>
      </c>
      <c r="E27" s="76">
        <f t="shared" si="2"/>
        <v>479189</v>
      </c>
      <c r="F27" s="77">
        <f t="shared" si="3"/>
        <v>4.0569242203851066E-2</v>
      </c>
    </row>
    <row r="28" spans="1:7" ht="23.1" customHeight="1" x14ac:dyDescent="0.2">
      <c r="A28" s="74">
        <v>6</v>
      </c>
      <c r="B28" s="75" t="s">
        <v>87</v>
      </c>
      <c r="C28" s="76">
        <v>11285210</v>
      </c>
      <c r="D28" s="76">
        <v>0</v>
      </c>
      <c r="E28" s="76">
        <f t="shared" si="2"/>
        <v>-11285210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3981831</v>
      </c>
      <c r="D29" s="76">
        <v>3907765</v>
      </c>
      <c r="E29" s="76">
        <f t="shared" si="2"/>
        <v>-74066</v>
      </c>
      <c r="F29" s="77">
        <f t="shared" si="3"/>
        <v>-1.8600990348410066E-2</v>
      </c>
    </row>
    <row r="30" spans="1:7" ht="23.1" customHeight="1" x14ac:dyDescent="0.2">
      <c r="A30" s="74">
        <v>8</v>
      </c>
      <c r="B30" s="75" t="s">
        <v>89</v>
      </c>
      <c r="C30" s="76">
        <v>6669181</v>
      </c>
      <c r="D30" s="76">
        <v>8373093</v>
      </c>
      <c r="E30" s="76">
        <f t="shared" si="2"/>
        <v>1703912</v>
      </c>
      <c r="F30" s="77">
        <f t="shared" si="3"/>
        <v>0.25549044177988273</v>
      </c>
    </row>
    <row r="31" spans="1:7" ht="23.1" customHeight="1" x14ac:dyDescent="0.2">
      <c r="A31" s="74">
        <v>9</v>
      </c>
      <c r="B31" s="75" t="s">
        <v>90</v>
      </c>
      <c r="C31" s="76">
        <v>40647136</v>
      </c>
      <c r="D31" s="76">
        <v>43931989</v>
      </c>
      <c r="E31" s="76">
        <f t="shared" si="2"/>
        <v>3284853</v>
      </c>
      <c r="F31" s="77">
        <f t="shared" si="3"/>
        <v>8.0813885632680243E-2</v>
      </c>
    </row>
    <row r="32" spans="1:7" ht="23.1" customHeight="1" x14ac:dyDescent="0.25">
      <c r="A32" s="71"/>
      <c r="B32" s="78" t="s">
        <v>91</v>
      </c>
      <c r="C32" s="79">
        <f>SUM(C23:C31)</f>
        <v>300954489</v>
      </c>
      <c r="D32" s="79">
        <f>SUM(D23:D31)</f>
        <v>327855198</v>
      </c>
      <c r="E32" s="79">
        <f t="shared" si="2"/>
        <v>26900709</v>
      </c>
      <c r="F32" s="80">
        <f t="shared" si="3"/>
        <v>8.9384641144196392E-2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4927692</v>
      </c>
      <c r="D34" s="79">
        <f>+D20-D32</f>
        <v>112495</v>
      </c>
      <c r="E34" s="79">
        <f>D34-C34</f>
        <v>-4815197</v>
      </c>
      <c r="F34" s="80">
        <f>IF(C34=0,0,E34/C34)</f>
        <v>-0.97717085402253223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1190</v>
      </c>
      <c r="D37" s="76">
        <v>2784</v>
      </c>
      <c r="E37" s="76">
        <f>D37-C37</f>
        <v>1594</v>
      </c>
      <c r="F37" s="77">
        <f>IF(C37=0,0,E37/C37)</f>
        <v>1.3394957983193276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-1201726</v>
      </c>
      <c r="D39" s="76">
        <v>-2141373</v>
      </c>
      <c r="E39" s="76">
        <f>D39-C39</f>
        <v>-939647</v>
      </c>
      <c r="F39" s="77">
        <f>IF(C39=0,0,E39/C39)</f>
        <v>0.78191451295886083</v>
      </c>
    </row>
    <row r="40" spans="1:6" ht="23.1" customHeight="1" x14ac:dyDescent="0.25">
      <c r="A40" s="83"/>
      <c r="B40" s="78" t="s">
        <v>97</v>
      </c>
      <c r="C40" s="79">
        <f>SUM(C37:C39)</f>
        <v>-1200536</v>
      </c>
      <c r="D40" s="79">
        <f>SUM(D37:D39)</f>
        <v>-2138589</v>
      </c>
      <c r="E40" s="79">
        <f>D40-C40</f>
        <v>-938053</v>
      </c>
      <c r="F40" s="80">
        <f>IF(C40=0,0,E40/C40)</f>
        <v>0.781361825051477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3727156</v>
      </c>
      <c r="D42" s="79">
        <f>D34+D40</f>
        <v>-2026094</v>
      </c>
      <c r="E42" s="79">
        <f>D42-C42</f>
        <v>-5753250</v>
      </c>
      <c r="F42" s="80">
        <f>IF(C42=0,0,E42/C42)</f>
        <v>-1.5436032191837423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3727156</v>
      </c>
      <c r="D49" s="79">
        <f>D42+D47</f>
        <v>-2026094</v>
      </c>
      <c r="E49" s="79">
        <f>D49-C49</f>
        <v>-5753250</v>
      </c>
      <c r="F49" s="80">
        <f>IF(C49=0,0,E49/C49)</f>
        <v>-1.5436032191837423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2014-10-07T12:51:13Z</cp:lastPrinted>
  <dcterms:created xsi:type="dcterms:W3CDTF">2014-10-06T18:40:16Z</dcterms:created>
  <dcterms:modified xsi:type="dcterms:W3CDTF">2014-10-09T18:28:53Z</dcterms:modified>
</cp:coreProperties>
</file>