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C98" i="22" s="1"/>
  <c r="E96" i="22"/>
  <c r="E98" i="22"/>
  <c r="D96" i="22"/>
  <c r="D98" i="22"/>
  <c r="C96" i="22"/>
  <c r="E92" i="22"/>
  <c r="D92" i="22"/>
  <c r="C92" i="22"/>
  <c r="C93" i="22" s="1"/>
  <c r="E91" i="22"/>
  <c r="E93" i="22" s="1"/>
  <c r="D91" i="22"/>
  <c r="D93" i="22" s="1"/>
  <c r="C91" i="22"/>
  <c r="E87" i="22"/>
  <c r="E88" i="22" s="1"/>
  <c r="D87" i="22"/>
  <c r="D88" i="22" s="1"/>
  <c r="C87" i="22"/>
  <c r="E86" i="22"/>
  <c r="D86" i="22"/>
  <c r="C86" i="22"/>
  <c r="C88" i="22" s="1"/>
  <c r="E83" i="22"/>
  <c r="D83" i="22"/>
  <c r="D101" i="22"/>
  <c r="C83" i="22"/>
  <c r="E76" i="22"/>
  <c r="E77" i="22" s="1"/>
  <c r="D76" i="22"/>
  <c r="D77" i="22" s="1"/>
  <c r="C76" i="22"/>
  <c r="C102" i="22" s="1"/>
  <c r="E75" i="22"/>
  <c r="D75" i="22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33" i="22"/>
  <c r="E28" i="22"/>
  <c r="D28" i="22"/>
  <c r="C28" i="22"/>
  <c r="E27" i="22"/>
  <c r="D27" i="22"/>
  <c r="C27" i="22"/>
  <c r="D23" i="22"/>
  <c r="D54" i="22" s="1"/>
  <c r="E22" i="22"/>
  <c r="E21" i="22"/>
  <c r="D21" i="22"/>
  <c r="C21" i="22"/>
  <c r="E12" i="22"/>
  <c r="D12" i="22"/>
  <c r="D33" i="22"/>
  <c r="C12" i="22"/>
  <c r="D21" i="21"/>
  <c r="E21" i="21"/>
  <c r="C21" i="21"/>
  <c r="D19" i="21"/>
  <c r="F19" i="21"/>
  <c r="C19" i="21"/>
  <c r="E19" i="21" s="1"/>
  <c r="E17" i="21"/>
  <c r="F17" i="21" s="1"/>
  <c r="E15" i="21"/>
  <c r="F15" i="21" s="1"/>
  <c r="D45" i="20"/>
  <c r="C45" i="20"/>
  <c r="D44" i="20"/>
  <c r="D46" i="20" s="1"/>
  <c r="C44" i="20"/>
  <c r="D43" i="20"/>
  <c r="C43" i="20"/>
  <c r="C46" i="20"/>
  <c r="D36" i="20"/>
  <c r="D40" i="20"/>
  <c r="C36" i="20"/>
  <c r="E35" i="20"/>
  <c r="F35" i="20" s="1"/>
  <c r="E34" i="20"/>
  <c r="E36" i="20" s="1"/>
  <c r="F33" i="20"/>
  <c r="E33" i="20"/>
  <c r="E30" i="20"/>
  <c r="F30" i="20" s="1"/>
  <c r="F29" i="20"/>
  <c r="E29" i="20"/>
  <c r="F28" i="20"/>
  <c r="E28" i="20"/>
  <c r="F27" i="20"/>
  <c r="E27" i="20"/>
  <c r="D25" i="20"/>
  <c r="D39" i="20"/>
  <c r="C25" i="20"/>
  <c r="C39" i="20" s="1"/>
  <c r="F24" i="20"/>
  <c r="E24" i="20"/>
  <c r="F23" i="20"/>
  <c r="E23" i="20"/>
  <c r="E22" i="20"/>
  <c r="F22" i="20" s="1"/>
  <c r="E25" i="20"/>
  <c r="F25" i="20" s="1"/>
  <c r="D19" i="20"/>
  <c r="D20" i="20" s="1"/>
  <c r="E20" i="20"/>
  <c r="C19" i="20"/>
  <c r="C20" i="20"/>
  <c r="F18" i="20"/>
  <c r="E18" i="20"/>
  <c r="D16" i="20"/>
  <c r="E16" i="20" s="1"/>
  <c r="C16" i="20"/>
  <c r="E15" i="20"/>
  <c r="F15" i="20" s="1"/>
  <c r="E13" i="20"/>
  <c r="F13" i="20" s="1"/>
  <c r="F12" i="20"/>
  <c r="E12" i="20"/>
  <c r="C139" i="19"/>
  <c r="C143" i="19" s="1"/>
  <c r="C115" i="19"/>
  <c r="C105" i="19"/>
  <c r="C137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/>
  <c r="C21" i="19"/>
  <c r="C37" i="19" s="1"/>
  <c r="C38" i="19" s="1"/>
  <c r="E328" i="18"/>
  <c r="E325" i="18"/>
  <c r="D324" i="18"/>
  <c r="E324" i="18"/>
  <c r="C324" i="18"/>
  <c r="C326" i="18"/>
  <c r="C330" i="18" s="1"/>
  <c r="E318" i="18"/>
  <c r="E315" i="18"/>
  <c r="D314" i="18"/>
  <c r="D316" i="18"/>
  <c r="C314" i="18"/>
  <c r="C316" i="18" s="1"/>
  <c r="C320" i="18"/>
  <c r="E308" i="18"/>
  <c r="E305" i="18"/>
  <c r="D301" i="18"/>
  <c r="C301" i="18"/>
  <c r="D293" i="18"/>
  <c r="C293" i="18"/>
  <c r="E293" i="18"/>
  <c r="D292" i="18"/>
  <c r="E292" i="18" s="1"/>
  <c r="C292" i="18"/>
  <c r="D291" i="18"/>
  <c r="E291" i="18" s="1"/>
  <c r="C291" i="18"/>
  <c r="D290" i="18"/>
  <c r="E290" i="18"/>
  <c r="C290" i="18"/>
  <c r="D288" i="18"/>
  <c r="C288" i="18"/>
  <c r="E288" i="18" s="1"/>
  <c r="D287" i="18"/>
  <c r="C287" i="18"/>
  <c r="D282" i="18"/>
  <c r="E282" i="18" s="1"/>
  <c r="C282" i="18"/>
  <c r="D281" i="18"/>
  <c r="E281" i="18" s="1"/>
  <c r="C281" i="18"/>
  <c r="D280" i="18"/>
  <c r="E280" i="18" s="1"/>
  <c r="C280" i="18"/>
  <c r="D279" i="18"/>
  <c r="C279" i="18"/>
  <c r="E279" i="18"/>
  <c r="D278" i="18"/>
  <c r="E278" i="18" s="1"/>
  <c r="C278" i="18"/>
  <c r="D277" i="18"/>
  <c r="E277" i="18" s="1"/>
  <c r="C277" i="18"/>
  <c r="D276" i="18"/>
  <c r="E276" i="18"/>
  <c r="C276" i="18"/>
  <c r="E270" i="18"/>
  <c r="D265" i="18"/>
  <c r="D302" i="18" s="1"/>
  <c r="C265" i="18"/>
  <c r="C302" i="18" s="1"/>
  <c r="D262" i="18"/>
  <c r="E262" i="18"/>
  <c r="C262" i="18"/>
  <c r="D251" i="18"/>
  <c r="E251" i="18" s="1"/>
  <c r="C251" i="18"/>
  <c r="D233" i="18"/>
  <c r="E233" i="18"/>
  <c r="C233" i="18"/>
  <c r="C253" i="18"/>
  <c r="D232" i="18"/>
  <c r="C232" i="18"/>
  <c r="E232" i="18"/>
  <c r="D231" i="18"/>
  <c r="C231" i="18"/>
  <c r="D230" i="18"/>
  <c r="C230" i="18"/>
  <c r="E230" i="18"/>
  <c r="D228" i="18"/>
  <c r="E228" i="18" s="1"/>
  <c r="C228" i="18"/>
  <c r="D227" i="18"/>
  <c r="E227" i="18" s="1"/>
  <c r="C227" i="18"/>
  <c r="D221" i="18"/>
  <c r="D245" i="18" s="1"/>
  <c r="C221" i="18"/>
  <c r="E221" i="18" s="1"/>
  <c r="C245" i="18"/>
  <c r="D220" i="18"/>
  <c r="C220" i="18"/>
  <c r="D219" i="18"/>
  <c r="D243" i="18"/>
  <c r="E243" i="18" s="1"/>
  <c r="C219" i="18"/>
  <c r="C243" i="18"/>
  <c r="D218" i="18"/>
  <c r="C218" i="18"/>
  <c r="D216" i="18"/>
  <c r="C216" i="18"/>
  <c r="C240" i="18"/>
  <c r="D215" i="18"/>
  <c r="D239" i="18" s="1"/>
  <c r="C215" i="18"/>
  <c r="E209" i="18"/>
  <c r="E208" i="18"/>
  <c r="E207" i="18"/>
  <c r="E206" i="18"/>
  <c r="D205" i="18"/>
  <c r="C205" i="18"/>
  <c r="C210" i="18" s="1"/>
  <c r="E210" i="18" s="1"/>
  <c r="C229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C188" i="18"/>
  <c r="C261" i="18"/>
  <c r="E186" i="18"/>
  <c r="E185" i="18"/>
  <c r="D179" i="18"/>
  <c r="C179" i="18"/>
  <c r="E179" i="18"/>
  <c r="D178" i="18"/>
  <c r="C178" i="18"/>
  <c r="D177" i="18"/>
  <c r="C177" i="18"/>
  <c r="E177" i="18"/>
  <c r="D176" i="18"/>
  <c r="C176" i="18"/>
  <c r="E176" i="18" s="1"/>
  <c r="D174" i="18"/>
  <c r="E174" i="18" s="1"/>
  <c r="C174" i="18"/>
  <c r="D173" i="18"/>
  <c r="C173" i="18"/>
  <c r="E173" i="18"/>
  <c r="D167" i="18"/>
  <c r="C167" i="18"/>
  <c r="D166" i="18"/>
  <c r="C166" i="18"/>
  <c r="E166" i="18"/>
  <c r="D165" i="18"/>
  <c r="E165" i="18" s="1"/>
  <c r="C165" i="18"/>
  <c r="D164" i="18"/>
  <c r="E164" i="18" s="1"/>
  <c r="C164" i="18"/>
  <c r="D162" i="18"/>
  <c r="C162" i="18"/>
  <c r="E162" i="18"/>
  <c r="D161" i="18"/>
  <c r="E161" i="18" s="1"/>
  <c r="C161" i="18"/>
  <c r="E155" i="18"/>
  <c r="E154" i="18"/>
  <c r="E153" i="18"/>
  <c r="E152" i="18"/>
  <c r="D151" i="18"/>
  <c r="D156" i="18" s="1"/>
  <c r="C151" i="18"/>
  <c r="C156" i="18"/>
  <c r="C157" i="18" s="1"/>
  <c r="E150" i="18"/>
  <c r="E149" i="18"/>
  <c r="C144" i="18"/>
  <c r="E143" i="18"/>
  <c r="E142" i="18"/>
  <c r="E141" i="18"/>
  <c r="E140" i="18"/>
  <c r="D139" i="18"/>
  <c r="C139" i="18"/>
  <c r="C175" i="18" s="1"/>
  <c r="E175" i="18" s="1"/>
  <c r="E138" i="18"/>
  <c r="E137" i="18"/>
  <c r="D75" i="18"/>
  <c r="E75" i="18"/>
  <c r="C75" i="18"/>
  <c r="D74" i="18"/>
  <c r="C74" i="18"/>
  <c r="E74" i="18" s="1"/>
  <c r="D73" i="18"/>
  <c r="E73" i="18"/>
  <c r="C73" i="18"/>
  <c r="D72" i="18"/>
  <c r="E72" i="18" s="1"/>
  <c r="C72" i="18"/>
  <c r="D70" i="18"/>
  <c r="C70" i="18"/>
  <c r="D69" i="18"/>
  <c r="C69" i="18"/>
  <c r="E64" i="18"/>
  <c r="E63" i="18"/>
  <c r="E62" i="18"/>
  <c r="E61" i="18"/>
  <c r="D60" i="18"/>
  <c r="C60" i="18"/>
  <c r="C289" i="18"/>
  <c r="E59" i="18"/>
  <c r="E58" i="18"/>
  <c r="D55" i="18"/>
  <c r="D54" i="18"/>
  <c r="C54" i="18"/>
  <c r="C55" i="18" s="1"/>
  <c r="E55" i="18" s="1"/>
  <c r="E53" i="18"/>
  <c r="E52" i="18"/>
  <c r="E51" i="18"/>
  <c r="E50" i="18"/>
  <c r="E49" i="18"/>
  <c r="E48" i="18"/>
  <c r="E47" i="18"/>
  <c r="D42" i="18"/>
  <c r="C42" i="18"/>
  <c r="E42" i="18"/>
  <c r="D41" i="18"/>
  <c r="E41" i="18" s="1"/>
  <c r="C41" i="18"/>
  <c r="D40" i="18"/>
  <c r="C40" i="18"/>
  <c r="D39" i="18"/>
  <c r="E39" i="18"/>
  <c r="C39" i="18"/>
  <c r="D38" i="18"/>
  <c r="E38" i="18" s="1"/>
  <c r="C38" i="18"/>
  <c r="D37" i="18"/>
  <c r="C37" i="18"/>
  <c r="C43" i="18"/>
  <c r="D36" i="18"/>
  <c r="C36" i="18"/>
  <c r="D33" i="18"/>
  <c r="D32" i="18"/>
  <c r="C32" i="18"/>
  <c r="C33" i="18"/>
  <c r="E31" i="18"/>
  <c r="E30" i="18"/>
  <c r="E29" i="18"/>
  <c r="E28" i="18"/>
  <c r="E27" i="18"/>
  <c r="E26" i="18"/>
  <c r="E25" i="18"/>
  <c r="D21" i="18"/>
  <c r="D283" i="18"/>
  <c r="C21" i="18"/>
  <c r="C22" i="18" s="1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E332" i="17"/>
  <c r="F332" i="17" s="1"/>
  <c r="F331" i="17"/>
  <c r="E331" i="17"/>
  <c r="F330" i="17"/>
  <c r="E330" i="17"/>
  <c r="E329" i="17"/>
  <c r="F329" i="17" s="1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E296" i="17" s="1"/>
  <c r="F296" i="17" s="1"/>
  <c r="C296" i="17"/>
  <c r="D295" i="17"/>
  <c r="C295" i="17"/>
  <c r="D294" i="17"/>
  <c r="C294" i="17"/>
  <c r="D250" i="17"/>
  <c r="D306" i="17"/>
  <c r="E306" i="17"/>
  <c r="C250" i="17"/>
  <c r="C306" i="17"/>
  <c r="E249" i="17"/>
  <c r="F249" i="17" s="1"/>
  <c r="F248" i="17"/>
  <c r="E248" i="17"/>
  <c r="F245" i="17"/>
  <c r="E245" i="17"/>
  <c r="E244" i="17"/>
  <c r="F244" i="17" s="1"/>
  <c r="E243" i="17"/>
  <c r="F243" i="17" s="1"/>
  <c r="D238" i="17"/>
  <c r="C238" i="17"/>
  <c r="C239" i="17" s="1"/>
  <c r="D237" i="17"/>
  <c r="C237" i="17"/>
  <c r="E234" i="17"/>
  <c r="F234" i="17" s="1"/>
  <c r="E233" i="17"/>
  <c r="F233" i="17" s="1"/>
  <c r="D230" i="17"/>
  <c r="E230" i="17"/>
  <c r="C230" i="17"/>
  <c r="F230" i="17" s="1"/>
  <c r="D229" i="17"/>
  <c r="E229" i="17"/>
  <c r="F229" i="17"/>
  <c r="C229" i="17"/>
  <c r="E228" i="17"/>
  <c r="F228" i="17"/>
  <c r="D226" i="17"/>
  <c r="D227" i="17"/>
  <c r="C226" i="17"/>
  <c r="C227" i="17"/>
  <c r="E225" i="17"/>
  <c r="F225" i="17" s="1"/>
  <c r="E224" i="17"/>
  <c r="F224" i="17"/>
  <c r="D223" i="17"/>
  <c r="F223" i="17"/>
  <c r="C223" i="17"/>
  <c r="E223" i="17" s="1"/>
  <c r="E222" i="17"/>
  <c r="F222" i="17"/>
  <c r="E221" i="17"/>
  <c r="F221" i="17"/>
  <c r="D204" i="17"/>
  <c r="C204" i="17"/>
  <c r="C285" i="17"/>
  <c r="D203" i="17"/>
  <c r="C203" i="17"/>
  <c r="C283" i="17"/>
  <c r="D198" i="17"/>
  <c r="C198" i="17"/>
  <c r="D191" i="17"/>
  <c r="C191" i="17"/>
  <c r="C280" i="17"/>
  <c r="D189" i="17"/>
  <c r="C189" i="17"/>
  <c r="C278" i="17" s="1"/>
  <c r="D188" i="17"/>
  <c r="D206" i="17" s="1"/>
  <c r="C188" i="17"/>
  <c r="C277" i="17"/>
  <c r="C279" i="17" s="1"/>
  <c r="D180" i="17"/>
  <c r="E180" i="17"/>
  <c r="F180" i="17"/>
  <c r="C180" i="17"/>
  <c r="D179" i="17"/>
  <c r="C179" i="17"/>
  <c r="D171" i="17"/>
  <c r="E171" i="17" s="1"/>
  <c r="C171" i="17"/>
  <c r="D170" i="17"/>
  <c r="E170" i="17"/>
  <c r="F170" i="17"/>
  <c r="C170" i="17"/>
  <c r="E169" i="17"/>
  <c r="F169" i="17"/>
  <c r="E168" i="17"/>
  <c r="F168" i="17"/>
  <c r="D165" i="17"/>
  <c r="E165" i="17"/>
  <c r="F165" i="17"/>
  <c r="C165" i="17"/>
  <c r="D164" i="17"/>
  <c r="E164" i="17"/>
  <c r="C164" i="17"/>
  <c r="E163" i="17"/>
  <c r="F163" i="17"/>
  <c r="D158" i="17"/>
  <c r="E158" i="17"/>
  <c r="C158" i="17"/>
  <c r="E157" i="17"/>
  <c r="F157" i="17"/>
  <c r="E156" i="17"/>
  <c r="F156" i="17"/>
  <c r="D155" i="17"/>
  <c r="E155" i="17" s="1"/>
  <c r="F155" i="17"/>
  <c r="C155" i="17"/>
  <c r="E154" i="17"/>
  <c r="F154" i="17"/>
  <c r="E153" i="17"/>
  <c r="F153" i="17" s="1"/>
  <c r="D145" i="17"/>
  <c r="E145" i="17" s="1"/>
  <c r="F145" i="17"/>
  <c r="C145" i="17"/>
  <c r="D144" i="17"/>
  <c r="E144" i="17"/>
  <c r="C144" i="17"/>
  <c r="D136" i="17"/>
  <c r="E136" i="17"/>
  <c r="C136" i="17"/>
  <c r="F136" i="17" s="1"/>
  <c r="C137" i="17"/>
  <c r="E137" i="17" s="1"/>
  <c r="F137" i="17" s="1"/>
  <c r="D135" i="17"/>
  <c r="E135" i="17" s="1"/>
  <c r="F135" i="17"/>
  <c r="C135" i="17"/>
  <c r="E134" i="17"/>
  <c r="F134" i="17" s="1"/>
  <c r="E133" i="17"/>
  <c r="F133" i="17"/>
  <c r="D130" i="17"/>
  <c r="E130" i="17"/>
  <c r="F130" i="17" s="1"/>
  <c r="C130" i="17"/>
  <c r="D129" i="17"/>
  <c r="C129" i="17"/>
  <c r="E128" i="17"/>
  <c r="F128" i="17"/>
  <c r="D123" i="17"/>
  <c r="E123" i="17" s="1"/>
  <c r="F123" i="17"/>
  <c r="C123" i="17"/>
  <c r="E122" i="17"/>
  <c r="F122" i="17"/>
  <c r="E121" i="17"/>
  <c r="F121" i="17" s="1"/>
  <c r="D120" i="17"/>
  <c r="C120" i="17"/>
  <c r="E119" i="17"/>
  <c r="F119" i="17" s="1"/>
  <c r="E118" i="17"/>
  <c r="F118" i="17" s="1"/>
  <c r="D110" i="17"/>
  <c r="C110" i="17"/>
  <c r="D109" i="17"/>
  <c r="D111" i="17" s="1"/>
  <c r="C109" i="17"/>
  <c r="D101" i="17"/>
  <c r="D102" i="17" s="1"/>
  <c r="C101" i="17"/>
  <c r="C102" i="17"/>
  <c r="F100" i="17"/>
  <c r="D100" i="17"/>
  <c r="E100" i="17"/>
  <c r="C100" i="17"/>
  <c r="F99" i="17"/>
  <c r="E99" i="17"/>
  <c r="E98" i="17"/>
  <c r="F98" i="17"/>
  <c r="D95" i="17"/>
  <c r="E95" i="17"/>
  <c r="F95" i="17"/>
  <c r="C95" i="17"/>
  <c r="D94" i="17"/>
  <c r="C94" i="17"/>
  <c r="E93" i="17"/>
  <c r="F93" i="17"/>
  <c r="D88" i="17"/>
  <c r="D89" i="17" s="1"/>
  <c r="C88" i="17"/>
  <c r="E87" i="17"/>
  <c r="F87" i="17"/>
  <c r="E86" i="17"/>
  <c r="F86" i="17"/>
  <c r="D85" i="17"/>
  <c r="E85" i="17" s="1"/>
  <c r="C85" i="17"/>
  <c r="F85" i="17" s="1"/>
  <c r="F84" i="17"/>
  <c r="E84" i="17"/>
  <c r="E83" i="17"/>
  <c r="F83" i="17"/>
  <c r="D76" i="17"/>
  <c r="D77" i="17"/>
  <c r="E77" i="17" s="1"/>
  <c r="C76" i="17"/>
  <c r="C77" i="17"/>
  <c r="E74" i="17"/>
  <c r="F74" i="17" s="1"/>
  <c r="E73" i="17"/>
  <c r="F73" i="17" s="1"/>
  <c r="D67" i="17"/>
  <c r="D68" i="17" s="1"/>
  <c r="C67" i="17"/>
  <c r="D66" i="17"/>
  <c r="C66" i="17"/>
  <c r="C68" i="17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C47" i="17"/>
  <c r="C48" i="17" s="1"/>
  <c r="E46" i="17"/>
  <c r="F46" i="17"/>
  <c r="E45" i="17"/>
  <c r="F45" i="17" s="1"/>
  <c r="D44" i="17"/>
  <c r="C44" i="17"/>
  <c r="E43" i="17"/>
  <c r="F43" i="17"/>
  <c r="E42" i="17"/>
  <c r="F42" i="17" s="1"/>
  <c r="D36" i="17"/>
  <c r="C36" i="17"/>
  <c r="D35" i="17"/>
  <c r="C35" i="17"/>
  <c r="C31" i="17"/>
  <c r="D30" i="17"/>
  <c r="E30" i="17" s="1"/>
  <c r="F30" i="17" s="1"/>
  <c r="C30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7" i="17" s="1"/>
  <c r="E16" i="17"/>
  <c r="F16" i="17" s="1"/>
  <c r="E15" i="17"/>
  <c r="F15" i="17"/>
  <c r="D23" i="16"/>
  <c r="C23" i="16"/>
  <c r="E23" i="16" s="1"/>
  <c r="E22" i="16"/>
  <c r="F22" i="16" s="1"/>
  <c r="E21" i="16"/>
  <c r="F21" i="16" s="1"/>
  <c r="D18" i="16"/>
  <c r="C18" i="16"/>
  <c r="E18" i="16" s="1"/>
  <c r="F17" i="16"/>
  <c r="E17" i="16"/>
  <c r="D14" i="16"/>
  <c r="E14" i="16"/>
  <c r="C14" i="16"/>
  <c r="F13" i="16"/>
  <c r="E13" i="16"/>
  <c r="E12" i="16"/>
  <c r="F12" i="16" s="1"/>
  <c r="D107" i="15"/>
  <c r="E107" i="15"/>
  <c r="C107" i="15"/>
  <c r="F107" i="15" s="1"/>
  <c r="E106" i="15"/>
  <c r="F106" i="15" s="1"/>
  <c r="E105" i="15"/>
  <c r="F105" i="15" s="1"/>
  <c r="E104" i="15"/>
  <c r="F104" i="15" s="1"/>
  <c r="D100" i="15"/>
  <c r="C100" i="15"/>
  <c r="E100" i="15" s="1"/>
  <c r="E99" i="15"/>
  <c r="F99" i="15" s="1"/>
  <c r="E98" i="15"/>
  <c r="F98" i="15" s="1"/>
  <c r="E97" i="15"/>
  <c r="F97" i="15" s="1"/>
  <c r="E96" i="15"/>
  <c r="F96" i="15" s="1"/>
  <c r="F95" i="15"/>
  <c r="E95" i="15"/>
  <c r="D92" i="15"/>
  <c r="E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E73" i="15"/>
  <c r="F73" i="15" s="1"/>
  <c r="D70" i="15"/>
  <c r="C70" i="15"/>
  <c r="E69" i="15"/>
  <c r="F69" i="15" s="1"/>
  <c r="E68" i="15"/>
  <c r="F68" i="15" s="1"/>
  <c r="D65" i="15"/>
  <c r="E65" i="15"/>
  <c r="C65" i="15"/>
  <c r="E64" i="15"/>
  <c r="F64" i="15" s="1"/>
  <c r="F63" i="15"/>
  <c r="E63" i="15"/>
  <c r="F60" i="15"/>
  <c r="D60" i="15"/>
  <c r="C60" i="15"/>
  <c r="F59" i="15"/>
  <c r="E59" i="15"/>
  <c r="F58" i="15"/>
  <c r="E58" i="15"/>
  <c r="E60" i="15" s="1"/>
  <c r="D55" i="15"/>
  <c r="E55" i="15"/>
  <c r="C55" i="15"/>
  <c r="E54" i="15"/>
  <c r="F54" i="15" s="1"/>
  <c r="E53" i="15"/>
  <c r="F53" i="15" s="1"/>
  <c r="D50" i="15"/>
  <c r="E50" i="15"/>
  <c r="C50" i="15"/>
  <c r="E49" i="15"/>
  <c r="F49" i="15" s="1"/>
  <c r="E48" i="15"/>
  <c r="F48" i="15" s="1"/>
  <c r="D45" i="15"/>
  <c r="C45" i="15"/>
  <c r="E44" i="15"/>
  <c r="F44" i="15" s="1"/>
  <c r="E43" i="15"/>
  <c r="F43" i="15" s="1"/>
  <c r="D37" i="15"/>
  <c r="E37" i="15"/>
  <c r="C37" i="15"/>
  <c r="F36" i="15"/>
  <c r="E36" i="15"/>
  <c r="F35" i="15"/>
  <c r="E35" i="15"/>
  <c r="F34" i="15"/>
  <c r="E34" i="15"/>
  <c r="E33" i="15"/>
  <c r="F33" i="15" s="1"/>
  <c r="D30" i="15"/>
  <c r="C30" i="15"/>
  <c r="F29" i="15"/>
  <c r="E29" i="15"/>
  <c r="F28" i="15"/>
  <c r="E28" i="15"/>
  <c r="E27" i="15"/>
  <c r="F27" i="15" s="1"/>
  <c r="F26" i="15"/>
  <c r="E26" i="15"/>
  <c r="D23" i="15"/>
  <c r="C23" i="15"/>
  <c r="F22" i="15"/>
  <c r="E22" i="15"/>
  <c r="F21" i="15"/>
  <c r="E21" i="15"/>
  <c r="E20" i="15"/>
  <c r="F20" i="15" s="1"/>
  <c r="E19" i="15"/>
  <c r="F19" i="15" s="1"/>
  <c r="D16" i="15"/>
  <c r="F16" i="15"/>
  <c r="C16" i="15"/>
  <c r="E16" i="15" s="1"/>
  <c r="F15" i="15"/>
  <c r="E15" i="15"/>
  <c r="E14" i="15"/>
  <c r="F14" i="15" s="1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G33" i="14"/>
  <c r="G36" i="14" s="1"/>
  <c r="G38" i="14" s="1"/>
  <c r="G40" i="14" s="1"/>
  <c r="F17" i="14"/>
  <c r="F33" i="14"/>
  <c r="E17" i="14"/>
  <c r="E31" i="14" s="1"/>
  <c r="E33" i="14"/>
  <c r="E36" i="14"/>
  <c r="E38" i="14"/>
  <c r="E40" i="14" s="1"/>
  <c r="D17" i="14"/>
  <c r="C17" i="14"/>
  <c r="I16" i="14"/>
  <c r="H16" i="14"/>
  <c r="I15" i="14"/>
  <c r="H15" i="14"/>
  <c r="I13" i="14"/>
  <c r="H13" i="14"/>
  <c r="I11" i="14"/>
  <c r="H11" i="14"/>
  <c r="E79" i="13"/>
  <c r="D79" i="13"/>
  <c r="C79" i="13"/>
  <c r="C80" i="13" s="1"/>
  <c r="C77" i="13" s="1"/>
  <c r="E78" i="13"/>
  <c r="E80" i="13" s="1"/>
  <c r="E77" i="13" s="1"/>
  <c r="D78" i="13"/>
  <c r="D80" i="13" s="1"/>
  <c r="D77" i="13" s="1"/>
  <c r="C78" i="13"/>
  <c r="E73" i="13"/>
  <c r="E75" i="13" s="1"/>
  <c r="D73" i="13"/>
  <c r="D75" i="13" s="1"/>
  <c r="C73" i="13"/>
  <c r="C75" i="13"/>
  <c r="E71" i="13"/>
  <c r="D71" i="13"/>
  <c r="C71" i="13"/>
  <c r="E66" i="13"/>
  <c r="D66" i="13"/>
  <c r="D65" i="13" s="1"/>
  <c r="C66" i="13"/>
  <c r="E65" i="13"/>
  <c r="C65" i="13"/>
  <c r="E60" i="13"/>
  <c r="D60" i="13"/>
  <c r="C60" i="13"/>
  <c r="E58" i="13"/>
  <c r="D58" i="13"/>
  <c r="C58" i="13"/>
  <c r="E55" i="13"/>
  <c r="D55" i="13"/>
  <c r="D50" i="13" s="1"/>
  <c r="C55" i="13"/>
  <c r="E54" i="13"/>
  <c r="D54" i="13"/>
  <c r="C54" i="13"/>
  <c r="C50" i="13" s="1"/>
  <c r="E46" i="13"/>
  <c r="E59" i="13" s="1"/>
  <c r="E61" i="13" s="1"/>
  <c r="E57" i="13" s="1"/>
  <c r="D46" i="13"/>
  <c r="D59" i="13" s="1"/>
  <c r="C46" i="13"/>
  <c r="C48" i="13" s="1"/>
  <c r="C59" i="13"/>
  <c r="C61" i="13" s="1"/>
  <c r="C57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13" i="13"/>
  <c r="E25" i="13"/>
  <c r="E27" i="13" s="1"/>
  <c r="D13" i="13"/>
  <c r="C13" i="13"/>
  <c r="D47" i="12"/>
  <c r="C47" i="12"/>
  <c r="F47" i="12" s="1"/>
  <c r="F46" i="12"/>
  <c r="E46" i="12"/>
  <c r="F45" i="12"/>
  <c r="E45" i="12"/>
  <c r="D40" i="12"/>
  <c r="E40" i="12" s="1"/>
  <c r="F40" i="12"/>
  <c r="C40" i="12"/>
  <c r="F39" i="12"/>
  <c r="E39" i="12"/>
  <c r="F38" i="12"/>
  <c r="E38" i="12"/>
  <c r="F37" i="12"/>
  <c r="E37" i="12"/>
  <c r="D32" i="12"/>
  <c r="E32" i="12" s="1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E24" i="12"/>
  <c r="F24" i="12" s="1"/>
  <c r="E23" i="12"/>
  <c r="F23" i="12" s="1"/>
  <c r="F19" i="12"/>
  <c r="E19" i="12"/>
  <c r="F18" i="12"/>
  <c r="E18" i="12"/>
  <c r="E16" i="12"/>
  <c r="F16" i="12" s="1"/>
  <c r="D15" i="12"/>
  <c r="D17" i="12" s="1"/>
  <c r="C15" i="12"/>
  <c r="C17" i="12" s="1"/>
  <c r="F14" i="12"/>
  <c r="E14" i="12"/>
  <c r="E13" i="12"/>
  <c r="F13" i="12" s="1"/>
  <c r="E12" i="12"/>
  <c r="F12" i="12" s="1"/>
  <c r="F11" i="12"/>
  <c r="E11" i="12"/>
  <c r="D73" i="11"/>
  <c r="E73" i="11" s="1"/>
  <c r="C73" i="11"/>
  <c r="E72" i="11"/>
  <c r="F72" i="11" s="1"/>
  <c r="F71" i="11"/>
  <c r="E71" i="11"/>
  <c r="F70" i="11"/>
  <c r="E70" i="11"/>
  <c r="F67" i="11"/>
  <c r="E67" i="11"/>
  <c r="E64" i="11"/>
  <c r="F64" i="11" s="1"/>
  <c r="F63" i="11"/>
  <c r="E63" i="11"/>
  <c r="D61" i="11"/>
  <c r="C61" i="11"/>
  <c r="C65" i="11"/>
  <c r="F60" i="11"/>
  <c r="E60" i="11"/>
  <c r="E59" i="11"/>
  <c r="F59" i="11" s="1"/>
  <c r="D56" i="11"/>
  <c r="C56" i="11"/>
  <c r="F55" i="11"/>
  <c r="E55" i="11"/>
  <c r="F54" i="11"/>
  <c r="E54" i="11"/>
  <c r="E53" i="11"/>
  <c r="F53" i="11" s="1"/>
  <c r="F52" i="11"/>
  <c r="E52" i="11"/>
  <c r="F51" i="11"/>
  <c r="E51" i="11"/>
  <c r="A51" i="11"/>
  <c r="A52" i="11" s="1"/>
  <c r="A53" i="11" s="1"/>
  <c r="A54" i="11"/>
  <c r="A55" i="11"/>
  <c r="E50" i="11"/>
  <c r="F50" i="11"/>
  <c r="A50" i="11"/>
  <c r="F49" i="11"/>
  <c r="E49" i="11"/>
  <c r="E40" i="11"/>
  <c r="F40" i="11" s="1"/>
  <c r="D38" i="11"/>
  <c r="D41" i="11"/>
  <c r="C38" i="11"/>
  <c r="C41" i="11" s="1"/>
  <c r="F37" i="11"/>
  <c r="E37" i="11"/>
  <c r="E36" i="11"/>
  <c r="F36" i="11" s="1"/>
  <c r="F33" i="11"/>
  <c r="E33" i="11"/>
  <c r="F32" i="11"/>
  <c r="E32" i="11"/>
  <c r="F31" i="11"/>
  <c r="E31" i="11"/>
  <c r="D29" i="11"/>
  <c r="F29" i="11"/>
  <c r="C29" i="11"/>
  <c r="E29" i="11" s="1"/>
  <c r="F28" i="11"/>
  <c r="E28" i="11"/>
  <c r="F27" i="11"/>
  <c r="E27" i="11"/>
  <c r="F26" i="11"/>
  <c r="E26" i="11"/>
  <c r="F25" i="11"/>
  <c r="E25" i="11"/>
  <c r="D22" i="11"/>
  <c r="C22" i="11"/>
  <c r="C43" i="11" s="1"/>
  <c r="E21" i="11"/>
  <c r="F21" i="11" s="1"/>
  <c r="E20" i="11"/>
  <c r="F20" i="11" s="1"/>
  <c r="F19" i="11"/>
  <c r="E19" i="11"/>
  <c r="F18" i="11"/>
  <c r="E18" i="11"/>
  <c r="F17" i="11"/>
  <c r="E17" i="11"/>
  <c r="F16" i="11"/>
  <c r="E16" i="11"/>
  <c r="F15" i="11"/>
  <c r="E15" i="11"/>
  <c r="F14" i="11"/>
  <c r="E14" i="11"/>
  <c r="E13" i="11"/>
  <c r="F13" i="11" s="1"/>
  <c r="D120" i="10"/>
  <c r="E120" i="10" s="1"/>
  <c r="C120" i="10"/>
  <c r="F120" i="10"/>
  <c r="D119" i="10"/>
  <c r="C119" i="10"/>
  <c r="D118" i="10"/>
  <c r="C118" i="10"/>
  <c r="F118" i="10"/>
  <c r="D117" i="10"/>
  <c r="E117" i="10" s="1"/>
  <c r="C117" i="10"/>
  <c r="F117" i="10" s="1"/>
  <c r="D116" i="10"/>
  <c r="C116" i="10"/>
  <c r="F116" i="10"/>
  <c r="D115" i="10"/>
  <c r="D122" i="10" s="1"/>
  <c r="C115" i="10"/>
  <c r="F115" i="10"/>
  <c r="D114" i="10"/>
  <c r="D121" i="10" s="1"/>
  <c r="E121" i="10" s="1"/>
  <c r="C114" i="10"/>
  <c r="F114" i="10"/>
  <c r="D113" i="10"/>
  <c r="C113" i="10"/>
  <c r="D112" i="10"/>
  <c r="C112" i="10"/>
  <c r="F112" i="10"/>
  <c r="D108" i="10"/>
  <c r="C108" i="10"/>
  <c r="F108" i="10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/>
  <c r="D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/>
  <c r="D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F206" i="9"/>
  <c r="C206" i="9"/>
  <c r="E206" i="9" s="1"/>
  <c r="D205" i="9"/>
  <c r="E205" i="9"/>
  <c r="C205" i="9"/>
  <c r="D204" i="9"/>
  <c r="E204" i="9"/>
  <c r="C204" i="9"/>
  <c r="D203" i="9"/>
  <c r="C203" i="9"/>
  <c r="D202" i="9"/>
  <c r="E202" i="9"/>
  <c r="F202" i="9" s="1"/>
  <c r="C202" i="9"/>
  <c r="D201" i="9"/>
  <c r="E201" i="9" s="1"/>
  <c r="C201" i="9"/>
  <c r="D200" i="9"/>
  <c r="C200" i="9"/>
  <c r="D199" i="9"/>
  <c r="C199" i="9"/>
  <c r="C208" i="9"/>
  <c r="D198" i="9"/>
  <c r="D207" i="9" s="1"/>
  <c r="C198" i="9"/>
  <c r="D193" i="9"/>
  <c r="E193" i="9" s="1"/>
  <c r="C193" i="9"/>
  <c r="F193" i="9" s="1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/>
  <c r="C180" i="9"/>
  <c r="F180" i="9" s="1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C154" i="9"/>
  <c r="D153" i="9"/>
  <c r="E153" i="9" s="1"/>
  <c r="F153" i="9" s="1"/>
  <c r="C153" i="9"/>
  <c r="E152" i="9"/>
  <c r="F152" i="9" s="1"/>
  <c r="E151" i="9"/>
  <c r="F151" i="9" s="1"/>
  <c r="F150" i="9"/>
  <c r="E150" i="9"/>
  <c r="E149" i="9"/>
  <c r="F149" i="9" s="1"/>
  <c r="E148" i="9"/>
  <c r="F148" i="9" s="1"/>
  <c r="E147" i="9"/>
  <c r="F147" i="9" s="1"/>
  <c r="F146" i="9"/>
  <c r="E146" i="9"/>
  <c r="F145" i="9"/>
  <c r="E145" i="9"/>
  <c r="F144" i="9"/>
  <c r="E144" i="9"/>
  <c r="D141" i="9"/>
  <c r="C141" i="9"/>
  <c r="E141" i="9" s="1"/>
  <c r="F141" i="9" s="1"/>
  <c r="D140" i="9"/>
  <c r="E140" i="9" s="1"/>
  <c r="F140" i="9" s="1"/>
  <c r="C140" i="9"/>
  <c r="E139" i="9"/>
  <c r="F139" i="9" s="1"/>
  <c r="F138" i="9"/>
  <c r="E138" i="9"/>
  <c r="F137" i="9"/>
  <c r="E137" i="9"/>
  <c r="E136" i="9"/>
  <c r="F136" i="9" s="1"/>
  <c r="E135" i="9"/>
  <c r="F135" i="9" s="1"/>
  <c r="E134" i="9"/>
  <c r="F134" i="9" s="1"/>
  <c r="F133" i="9"/>
  <c r="E133" i="9"/>
  <c r="F132" i="9"/>
  <c r="E132" i="9"/>
  <c r="E131" i="9"/>
  <c r="F131" i="9" s="1"/>
  <c r="D128" i="9"/>
  <c r="F128" i="9"/>
  <c r="C128" i="9"/>
  <c r="E128" i="9" s="1"/>
  <c r="D127" i="9"/>
  <c r="E127" i="9" s="1"/>
  <c r="C127" i="9"/>
  <c r="F126" i="9"/>
  <c r="E126" i="9"/>
  <c r="E125" i="9"/>
  <c r="F125" i="9" s="1"/>
  <c r="F124" i="9"/>
  <c r="E124" i="9"/>
  <c r="E123" i="9"/>
  <c r="F123" i="9" s="1"/>
  <c r="E122" i="9"/>
  <c r="F122" i="9" s="1"/>
  <c r="E121" i="9"/>
  <c r="F121" i="9" s="1"/>
  <c r="F120" i="9"/>
  <c r="E120" i="9"/>
  <c r="E119" i="9"/>
  <c r="F119" i="9" s="1"/>
  <c r="F118" i="9"/>
  <c r="E118" i="9"/>
  <c r="F115" i="9"/>
  <c r="D115" i="9"/>
  <c r="C115" i="9"/>
  <c r="E115" i="9" s="1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C102" i="9"/>
  <c r="D101" i="9"/>
  <c r="E101" i="9"/>
  <c r="F101" i="9" s="1"/>
  <c r="C101" i="9"/>
  <c r="F100" i="9"/>
  <c r="E100" i="9"/>
  <c r="E99" i="9"/>
  <c r="F99" i="9" s="1"/>
  <c r="F98" i="9"/>
  <c r="E98" i="9"/>
  <c r="F97" i="9"/>
  <c r="E97" i="9"/>
  <c r="F96" i="9"/>
  <c r="E96" i="9"/>
  <c r="E95" i="9"/>
  <c r="F95" i="9" s="1"/>
  <c r="F94" i="9"/>
  <c r="E94" i="9"/>
  <c r="F93" i="9"/>
  <c r="E93" i="9"/>
  <c r="F92" i="9"/>
  <c r="E92" i="9"/>
  <c r="D89" i="9"/>
  <c r="E89" i="9"/>
  <c r="F89" i="9"/>
  <c r="C89" i="9"/>
  <c r="D88" i="9"/>
  <c r="E88" i="9" s="1"/>
  <c r="F88" i="9"/>
  <c r="C88" i="9"/>
  <c r="E87" i="9"/>
  <c r="F87" i="9" s="1"/>
  <c r="F86" i="9"/>
  <c r="E86" i="9"/>
  <c r="F85" i="9"/>
  <c r="E85" i="9"/>
  <c r="F84" i="9"/>
  <c r="E84" i="9"/>
  <c r="E83" i="9"/>
  <c r="F83" i="9" s="1"/>
  <c r="E82" i="9"/>
  <c r="F82" i="9" s="1"/>
  <c r="F81" i="9"/>
  <c r="E81" i="9"/>
  <c r="F80" i="9"/>
  <c r="E80" i="9"/>
  <c r="E79" i="9"/>
  <c r="F79" i="9" s="1"/>
  <c r="F76" i="9"/>
  <c r="D76" i="9"/>
  <c r="E76" i="9"/>
  <c r="C76" i="9"/>
  <c r="F75" i="9"/>
  <c r="D75" i="9"/>
  <c r="C75" i="9"/>
  <c r="E75" i="9" s="1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/>
  <c r="F49" i="9" s="1"/>
  <c r="C49" i="9"/>
  <c r="F48" i="9"/>
  <c r="E48" i="9"/>
  <c r="E47" i="9"/>
  <c r="F47" i="9" s="1"/>
  <c r="E46" i="9"/>
  <c r="F46" i="9" s="1"/>
  <c r="F45" i="9"/>
  <c r="E45" i="9"/>
  <c r="F44" i="9"/>
  <c r="E44" i="9"/>
  <c r="E43" i="9"/>
  <c r="F43" i="9" s="1"/>
  <c r="E42" i="9"/>
  <c r="F42" i="9" s="1"/>
  <c r="F41" i="9"/>
  <c r="E41" i="9"/>
  <c r="F40" i="9"/>
  <c r="E40" i="9"/>
  <c r="D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 s="1"/>
  <c r="C23" i="9"/>
  <c r="F22" i="9"/>
  <c r="E22" i="9"/>
  <c r="F21" i="9"/>
  <c r="E21" i="9"/>
  <c r="F20" i="9"/>
  <c r="E20" i="9"/>
  <c r="E19" i="9"/>
  <c r="F19" i="9" s="1"/>
  <c r="E18" i="9"/>
  <c r="F18" i="9" s="1"/>
  <c r="F17" i="9"/>
  <c r="E17" i="9"/>
  <c r="F16" i="9"/>
  <c r="E16" i="9"/>
  <c r="E15" i="9"/>
  <c r="F15" i="9" s="1"/>
  <c r="F14" i="9"/>
  <c r="E14" i="9"/>
  <c r="E191" i="8"/>
  <c r="D191" i="8"/>
  <c r="C191" i="8"/>
  <c r="E176" i="8"/>
  <c r="D176" i="8"/>
  <c r="C176" i="8"/>
  <c r="E164" i="8"/>
  <c r="E160" i="8" s="1"/>
  <c r="E166" i="8" s="1"/>
  <c r="E157" i="8" s="1"/>
  <c r="D164" i="8"/>
  <c r="D160" i="8"/>
  <c r="C164" i="8"/>
  <c r="C160" i="8" s="1"/>
  <c r="E162" i="8"/>
  <c r="D162" i="8"/>
  <c r="C162" i="8"/>
  <c r="E161" i="8"/>
  <c r="D161" i="8"/>
  <c r="C161" i="8"/>
  <c r="E147" i="8"/>
  <c r="D147" i="8"/>
  <c r="D143" i="8"/>
  <c r="D149" i="8" s="1"/>
  <c r="C147" i="8"/>
  <c r="E145" i="8"/>
  <c r="D145" i="8"/>
  <c r="C145" i="8"/>
  <c r="E144" i="8"/>
  <c r="D144" i="8"/>
  <c r="C144" i="8"/>
  <c r="E143" i="8"/>
  <c r="C143" i="8"/>
  <c r="C149" i="8" s="1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D109" i="8" s="1"/>
  <c r="D106" i="8"/>
  <c r="C107" i="8"/>
  <c r="C109" i="8"/>
  <c r="C106" i="8"/>
  <c r="E102" i="8"/>
  <c r="E104" i="8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/>
  <c r="E89" i="8"/>
  <c r="E90" i="8" s="1"/>
  <c r="E86" i="8" s="1"/>
  <c r="D89" i="8"/>
  <c r="C89" i="8"/>
  <c r="C90" i="8" s="1"/>
  <c r="C86" i="8" s="1"/>
  <c r="E87" i="8"/>
  <c r="D87" i="8"/>
  <c r="C87" i="8"/>
  <c r="E84" i="8"/>
  <c r="D84" i="8"/>
  <c r="C84" i="8"/>
  <c r="C79" i="8" s="1"/>
  <c r="E83" i="8"/>
  <c r="D83" i="8"/>
  <c r="D79" i="8" s="1"/>
  <c r="C83" i="8"/>
  <c r="E75" i="8"/>
  <c r="E88" i="8"/>
  <c r="D75" i="8"/>
  <c r="C75" i="8"/>
  <c r="C88" i="8"/>
  <c r="E74" i="8"/>
  <c r="D74" i="8"/>
  <c r="C74" i="8"/>
  <c r="E67" i="8"/>
  <c r="D67" i="8"/>
  <c r="C67" i="8"/>
  <c r="E38" i="8"/>
  <c r="E57" i="8" s="1"/>
  <c r="E62" i="8"/>
  <c r="D38" i="8"/>
  <c r="D53" i="8"/>
  <c r="C38" i="8"/>
  <c r="C57" i="8"/>
  <c r="C62" i="8"/>
  <c r="E33" i="8"/>
  <c r="E34" i="8" s="1"/>
  <c r="D33" i="8"/>
  <c r="D34" i="8" s="1"/>
  <c r="E26" i="8"/>
  <c r="D26" i="8"/>
  <c r="C26" i="8"/>
  <c r="E13" i="8"/>
  <c r="D13" i="8"/>
  <c r="D25" i="8" s="1"/>
  <c r="D27" i="8"/>
  <c r="C13" i="8"/>
  <c r="C25" i="8"/>
  <c r="C27" i="8"/>
  <c r="F186" i="7"/>
  <c r="E186" i="7"/>
  <c r="D183" i="7"/>
  <c r="C183" i="7"/>
  <c r="E182" i="7"/>
  <c r="F182" i="7" s="1"/>
  <c r="F181" i="7"/>
  <c r="E181" i="7"/>
  <c r="F180" i="7"/>
  <c r="E180" i="7"/>
  <c r="E179" i="7"/>
  <c r="F179" i="7" s="1"/>
  <c r="E178" i="7"/>
  <c r="F178" i="7" s="1"/>
  <c r="F177" i="7"/>
  <c r="E177" i="7"/>
  <c r="F176" i="7"/>
  <c r="E176" i="7"/>
  <c r="E175" i="7"/>
  <c r="F175" i="7" s="1"/>
  <c r="F174" i="7"/>
  <c r="E174" i="7"/>
  <c r="F173" i="7"/>
  <c r="E173" i="7"/>
  <c r="E172" i="7"/>
  <c r="F172" i="7" s="1"/>
  <c r="E171" i="7"/>
  <c r="F171" i="7" s="1"/>
  <c r="E170" i="7"/>
  <c r="F170" i="7" s="1"/>
  <c r="D167" i="7"/>
  <c r="C167" i="7"/>
  <c r="E166" i="7"/>
  <c r="F166" i="7" s="1"/>
  <c r="F165" i="7"/>
  <c r="E165" i="7"/>
  <c r="E164" i="7"/>
  <c r="F164" i="7" s="1"/>
  <c r="E163" i="7"/>
  <c r="F163" i="7" s="1"/>
  <c r="F162" i="7"/>
  <c r="E162" i="7"/>
  <c r="E161" i="7"/>
  <c r="F161" i="7" s="1"/>
  <c r="F160" i="7"/>
  <c r="E160" i="7"/>
  <c r="F159" i="7"/>
  <c r="E159" i="7"/>
  <c r="F158" i="7"/>
  <c r="E158" i="7"/>
  <c r="E157" i="7"/>
  <c r="F157" i="7" s="1"/>
  <c r="F156" i="7"/>
  <c r="E156" i="7"/>
  <c r="E155" i="7"/>
  <c r="F155" i="7" s="1"/>
  <c r="E154" i="7"/>
  <c r="F154" i="7" s="1"/>
  <c r="F153" i="7"/>
  <c r="E153" i="7"/>
  <c r="E152" i="7"/>
  <c r="F152" i="7" s="1"/>
  <c r="E151" i="7"/>
  <c r="F151" i="7" s="1"/>
  <c r="E150" i="7"/>
  <c r="F150" i="7" s="1"/>
  <c r="F149" i="7"/>
  <c r="E149" i="7"/>
  <c r="E148" i="7"/>
  <c r="F148" i="7" s="1"/>
  <c r="E147" i="7"/>
  <c r="F147" i="7" s="1"/>
  <c r="E146" i="7"/>
  <c r="F146" i="7" s="1"/>
  <c r="F145" i="7"/>
  <c r="E145" i="7"/>
  <c r="F144" i="7"/>
  <c r="E144" i="7"/>
  <c r="F143" i="7"/>
  <c r="E143" i="7"/>
  <c r="E142" i="7"/>
  <c r="F142" i="7" s="1"/>
  <c r="E141" i="7"/>
  <c r="F141" i="7" s="1"/>
  <c r="E140" i="7"/>
  <c r="F140" i="7" s="1"/>
  <c r="E139" i="7"/>
  <c r="F139" i="7" s="1"/>
  <c r="E138" i="7"/>
  <c r="F138" i="7" s="1"/>
  <c r="E137" i="7"/>
  <c r="F137" i="7" s="1"/>
  <c r="E136" i="7"/>
  <c r="F136" i="7" s="1"/>
  <c r="E135" i="7"/>
  <c r="F135" i="7" s="1"/>
  <c r="E134" i="7"/>
  <c r="F134" i="7" s="1"/>
  <c r="E133" i="7"/>
  <c r="F133" i="7" s="1"/>
  <c r="D130" i="7"/>
  <c r="C130" i="7"/>
  <c r="E130" i="7" s="1"/>
  <c r="E129" i="7"/>
  <c r="F129" i="7" s="1"/>
  <c r="E128" i="7"/>
  <c r="F128" i="7" s="1"/>
  <c r="E127" i="7"/>
  <c r="F127" i="7" s="1"/>
  <c r="E126" i="7"/>
  <c r="F126" i="7" s="1"/>
  <c r="E125" i="7"/>
  <c r="F125" i="7" s="1"/>
  <c r="E124" i="7"/>
  <c r="F124" i="7" s="1"/>
  <c r="D121" i="7"/>
  <c r="E121" i="7"/>
  <c r="C121" i="7"/>
  <c r="E120" i="7"/>
  <c r="F120" i="7" s="1"/>
  <c r="E119" i="7"/>
  <c r="F119" i="7" s="1"/>
  <c r="E118" i="7"/>
  <c r="F118" i="7" s="1"/>
  <c r="E117" i="7"/>
  <c r="F117" i="7" s="1"/>
  <c r="E116" i="7"/>
  <c r="F116" i="7" s="1"/>
  <c r="E115" i="7"/>
  <c r="F115" i="7" s="1"/>
  <c r="F114" i="7"/>
  <c r="E114" i="7"/>
  <c r="E113" i="7"/>
  <c r="F113" i="7" s="1"/>
  <c r="E112" i="7"/>
  <c r="F112" i="7" s="1"/>
  <c r="E111" i="7"/>
  <c r="F111" i="7" s="1"/>
  <c r="E110" i="7"/>
  <c r="F110" i="7" s="1"/>
  <c r="E109" i="7"/>
  <c r="F109" i="7" s="1"/>
  <c r="E108" i="7"/>
  <c r="F108" i="7" s="1"/>
  <c r="F107" i="7"/>
  <c r="E107" i="7"/>
  <c r="E106" i="7"/>
  <c r="F106" i="7" s="1"/>
  <c r="E105" i="7"/>
  <c r="F105" i="7" s="1"/>
  <c r="E104" i="7"/>
  <c r="F104" i="7" s="1"/>
  <c r="F103" i="7"/>
  <c r="E103" i="7"/>
  <c r="E93" i="7"/>
  <c r="F93" i="7" s="1"/>
  <c r="D90" i="7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E82" i="7"/>
  <c r="F82" i="7" s="1"/>
  <c r="E81" i="7"/>
  <c r="F81" i="7" s="1"/>
  <c r="F80" i="7"/>
  <c r="E80" i="7"/>
  <c r="F79" i="7"/>
  <c r="E79" i="7"/>
  <c r="E78" i="7"/>
  <c r="F78" i="7" s="1"/>
  <c r="F77" i="7"/>
  <c r="E77" i="7"/>
  <c r="F76" i="7"/>
  <c r="E76" i="7"/>
  <c r="F75" i="7"/>
  <c r="E75" i="7"/>
  <c r="E74" i="7"/>
  <c r="F74" i="7" s="1"/>
  <c r="E73" i="7"/>
  <c r="F73" i="7" s="1"/>
  <c r="F72" i="7"/>
  <c r="E72" i="7"/>
  <c r="F71" i="7"/>
  <c r="E71" i="7"/>
  <c r="E70" i="7"/>
  <c r="F70" i="7" s="1"/>
  <c r="F69" i="7"/>
  <c r="E69" i="7"/>
  <c r="F68" i="7"/>
  <c r="E68" i="7"/>
  <c r="F67" i="7"/>
  <c r="E67" i="7"/>
  <c r="E66" i="7"/>
  <c r="F66" i="7" s="1"/>
  <c r="E65" i="7"/>
  <c r="F65" i="7" s="1"/>
  <c r="F64" i="7"/>
  <c r="E64" i="7"/>
  <c r="F63" i="7"/>
  <c r="E63" i="7"/>
  <c r="E62" i="7"/>
  <c r="F62" i="7" s="1"/>
  <c r="D59" i="7"/>
  <c r="C59" i="7"/>
  <c r="F58" i="7"/>
  <c r="E58" i="7"/>
  <c r="E57" i="7"/>
  <c r="F57" i="7" s="1"/>
  <c r="E56" i="7"/>
  <c r="F56" i="7" s="1"/>
  <c r="F55" i="7"/>
  <c r="E55" i="7"/>
  <c r="F54" i="7"/>
  <c r="E54" i="7"/>
  <c r="E53" i="7"/>
  <c r="F53" i="7" s="1"/>
  <c r="E50" i="7"/>
  <c r="F50" i="7" s="1"/>
  <c r="F47" i="7"/>
  <c r="E47" i="7"/>
  <c r="F44" i="7"/>
  <c r="E44" i="7"/>
  <c r="D41" i="7"/>
  <c r="C41" i="7"/>
  <c r="F40" i="7"/>
  <c r="E40" i="7"/>
  <c r="F39" i="7"/>
  <c r="E39" i="7"/>
  <c r="E38" i="7"/>
  <c r="F38" i="7" s="1"/>
  <c r="D35" i="7"/>
  <c r="E35" i="7"/>
  <c r="F35" i="7"/>
  <c r="C35" i="7"/>
  <c r="F34" i="7"/>
  <c r="E34" i="7"/>
  <c r="E33" i="7"/>
  <c r="F33" i="7" s="1"/>
  <c r="D30" i="7"/>
  <c r="E30" i="7" s="1"/>
  <c r="F30" i="7"/>
  <c r="C30" i="7"/>
  <c r="F29" i="7"/>
  <c r="E29" i="7"/>
  <c r="F28" i="7"/>
  <c r="E28" i="7"/>
  <c r="F27" i="7"/>
  <c r="E27" i="7"/>
  <c r="D24" i="7"/>
  <c r="E24" i="7" s="1"/>
  <c r="F24" i="7"/>
  <c r="C24" i="7"/>
  <c r="F23" i="7"/>
  <c r="E23" i="7"/>
  <c r="E22" i="7"/>
  <c r="F22" i="7" s="1"/>
  <c r="F21" i="7"/>
  <c r="E21" i="7"/>
  <c r="D18" i="7"/>
  <c r="E18" i="7" s="1"/>
  <c r="C18" i="7"/>
  <c r="F18" i="7" s="1"/>
  <c r="E17" i="7"/>
  <c r="F17" i="7" s="1"/>
  <c r="F16" i="7"/>
  <c r="E16" i="7"/>
  <c r="F15" i="7"/>
  <c r="E15" i="7"/>
  <c r="D179" i="6"/>
  <c r="E179" i="6"/>
  <c r="C179" i="6"/>
  <c r="E178" i="6"/>
  <c r="F178" i="6" s="1"/>
  <c r="F177" i="6"/>
  <c r="E177" i="6"/>
  <c r="E176" i="6"/>
  <c r="F176" i="6" s="1"/>
  <c r="E175" i="6"/>
  <c r="F175" i="6" s="1"/>
  <c r="E174" i="6"/>
  <c r="F174" i="6" s="1"/>
  <c r="E173" i="6"/>
  <c r="F173" i="6" s="1"/>
  <c r="E172" i="6"/>
  <c r="F172" i="6" s="1"/>
  <c r="F171" i="6"/>
  <c r="E171" i="6"/>
  <c r="E170" i="6"/>
  <c r="F170" i="6" s="1"/>
  <c r="E169" i="6"/>
  <c r="F169" i="6" s="1"/>
  <c r="E168" i="6"/>
  <c r="F168" i="6" s="1"/>
  <c r="D166" i="6"/>
  <c r="C166" i="6"/>
  <c r="E165" i="6"/>
  <c r="F165" i="6" s="1"/>
  <c r="F164" i="6"/>
  <c r="E164" i="6"/>
  <c r="F163" i="6"/>
  <c r="E163" i="6"/>
  <c r="E162" i="6"/>
  <c r="F162" i="6" s="1"/>
  <c r="E161" i="6"/>
  <c r="F161" i="6" s="1"/>
  <c r="E160" i="6"/>
  <c r="F160" i="6" s="1"/>
  <c r="F159" i="6"/>
  <c r="E159" i="6"/>
  <c r="F158" i="6"/>
  <c r="E158" i="6"/>
  <c r="E157" i="6"/>
  <c r="F157" i="6" s="1"/>
  <c r="E156" i="6"/>
  <c r="F156" i="6" s="1"/>
  <c r="F155" i="6"/>
  <c r="E155" i="6"/>
  <c r="D153" i="6"/>
  <c r="E153" i="6" s="1"/>
  <c r="C153" i="6"/>
  <c r="E152" i="6"/>
  <c r="F152" i="6" s="1"/>
  <c r="F151" i="6"/>
  <c r="E151" i="6"/>
  <c r="F150" i="6"/>
  <c r="E150" i="6"/>
  <c r="E149" i="6"/>
  <c r="F149" i="6" s="1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E142" i="6"/>
  <c r="F142" i="6" s="1"/>
  <c r="D137" i="6"/>
  <c r="E137" i="6"/>
  <c r="C137" i="6"/>
  <c r="F136" i="6"/>
  <c r="E136" i="6"/>
  <c r="F135" i="6"/>
  <c r="E135" i="6"/>
  <c r="E134" i="6"/>
  <c r="F134" i="6" s="1"/>
  <c r="E133" i="6"/>
  <c r="F133" i="6" s="1"/>
  <c r="F132" i="6"/>
  <c r="E132" i="6"/>
  <c r="F131" i="6"/>
  <c r="E131" i="6"/>
  <c r="E130" i="6"/>
  <c r="F130" i="6" s="1"/>
  <c r="F129" i="6"/>
  <c r="E129" i="6"/>
  <c r="F128" i="6"/>
  <c r="E128" i="6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F120" i="6"/>
  <c r="E120" i="6"/>
  <c r="F119" i="6"/>
  <c r="E119" i="6"/>
  <c r="E118" i="6"/>
  <c r="F118" i="6" s="1"/>
  <c r="E117" i="6"/>
  <c r="F117" i="6" s="1"/>
  <c r="F116" i="6"/>
  <c r="E116" i="6"/>
  <c r="F115" i="6"/>
  <c r="E115" i="6"/>
  <c r="E114" i="6"/>
  <c r="F114" i="6" s="1"/>
  <c r="E113" i="6"/>
  <c r="F113" i="6" s="1"/>
  <c r="D111" i="6"/>
  <c r="C111" i="6"/>
  <c r="E110" i="6"/>
  <c r="F110" i="6" s="1"/>
  <c r="F109" i="6"/>
  <c r="E109" i="6"/>
  <c r="F108" i="6"/>
  <c r="E108" i="6"/>
  <c r="F107" i="6"/>
  <c r="E107" i="6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E94" i="6"/>
  <c r="C94" i="6"/>
  <c r="D93" i="6"/>
  <c r="E93" i="6"/>
  <c r="C93" i="6"/>
  <c r="F93" i="6" s="1"/>
  <c r="F92" i="6"/>
  <c r="D92" i="6"/>
  <c r="E92" i="6" s="1"/>
  <c r="C92" i="6"/>
  <c r="D91" i="6"/>
  <c r="E91" i="6"/>
  <c r="C91" i="6"/>
  <c r="F91" i="6" s="1"/>
  <c r="D90" i="6"/>
  <c r="E90" i="6"/>
  <c r="C90" i="6"/>
  <c r="D89" i="6"/>
  <c r="E89" i="6"/>
  <c r="F89" i="6"/>
  <c r="C89" i="6"/>
  <c r="D88" i="6"/>
  <c r="C88" i="6"/>
  <c r="D87" i="6"/>
  <c r="C87" i="6"/>
  <c r="F87" i="6" s="1"/>
  <c r="D86" i="6"/>
  <c r="E86" i="6" s="1"/>
  <c r="C86" i="6"/>
  <c r="D85" i="6"/>
  <c r="C85" i="6"/>
  <c r="D84" i="6"/>
  <c r="C84" i="6"/>
  <c r="D81" i="6"/>
  <c r="C81" i="6"/>
  <c r="E81" i="6" s="1"/>
  <c r="E80" i="6"/>
  <c r="F80" i="6" s="1"/>
  <c r="F79" i="6"/>
  <c r="E79" i="6"/>
  <c r="F78" i="6"/>
  <c r="E78" i="6"/>
  <c r="E77" i="6"/>
  <c r="F77" i="6" s="1"/>
  <c r="F76" i="6"/>
  <c r="E76" i="6"/>
  <c r="E75" i="6"/>
  <c r="F75" i="6" s="1"/>
  <c r="E74" i="6"/>
  <c r="F74" i="6" s="1"/>
  <c r="F73" i="6"/>
  <c r="E73" i="6"/>
  <c r="E72" i="6"/>
  <c r="F72" i="6" s="1"/>
  <c r="E71" i="6"/>
  <c r="F71" i="6" s="1"/>
  <c r="E70" i="6"/>
  <c r="F70" i="6" s="1"/>
  <c r="D68" i="6"/>
  <c r="C68" i="6"/>
  <c r="E67" i="6"/>
  <c r="F67" i="6" s="1"/>
  <c r="F66" i="6"/>
  <c r="E66" i="6"/>
  <c r="F65" i="6"/>
  <c r="E65" i="6"/>
  <c r="F64" i="6"/>
  <c r="E64" i="6"/>
  <c r="E63" i="6"/>
  <c r="F63" i="6" s="1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C51" i="6"/>
  <c r="D50" i="6"/>
  <c r="E50" i="6"/>
  <c r="C50" i="6"/>
  <c r="F50" i="6" s="1"/>
  <c r="D49" i="6"/>
  <c r="E49" i="6"/>
  <c r="C49" i="6"/>
  <c r="D48" i="6"/>
  <c r="E48" i="6"/>
  <c r="C48" i="6"/>
  <c r="F48" i="6" s="1"/>
  <c r="D47" i="6"/>
  <c r="E47" i="6"/>
  <c r="C47" i="6"/>
  <c r="D46" i="6"/>
  <c r="E46" i="6"/>
  <c r="F46" i="6"/>
  <c r="C46" i="6"/>
  <c r="D45" i="6"/>
  <c r="C45" i="6"/>
  <c r="D44" i="6"/>
  <c r="C44" i="6"/>
  <c r="F44" i="6" s="1"/>
  <c r="D43" i="6"/>
  <c r="E43" i="6" s="1"/>
  <c r="C43" i="6"/>
  <c r="D42" i="6"/>
  <c r="C42" i="6"/>
  <c r="C52" i="6" s="1"/>
  <c r="D41" i="6"/>
  <c r="C41" i="6"/>
  <c r="D38" i="6"/>
  <c r="E38" i="6"/>
  <c r="C38" i="6"/>
  <c r="F38" i="6" s="1"/>
  <c r="F37" i="6"/>
  <c r="E37" i="6"/>
  <c r="F36" i="6"/>
  <c r="E36" i="6"/>
  <c r="E35" i="6"/>
  <c r="F35" i="6" s="1"/>
  <c r="F34" i="6"/>
  <c r="E34" i="6"/>
  <c r="E33" i="6"/>
  <c r="F33" i="6" s="1"/>
  <c r="E32" i="6"/>
  <c r="F32" i="6" s="1"/>
  <c r="E31" i="6"/>
  <c r="F31" i="6" s="1"/>
  <c r="F30" i="6"/>
  <c r="E30" i="6"/>
  <c r="F29" i="6"/>
  <c r="E29" i="6"/>
  <c r="E28" i="6"/>
  <c r="F28" i="6" s="1"/>
  <c r="E27" i="6"/>
  <c r="F27" i="6" s="1"/>
  <c r="D25" i="6"/>
  <c r="E25" i="6" s="1"/>
  <c r="F25" i="6" s="1"/>
  <c r="C25" i="6"/>
  <c r="E24" i="6"/>
  <c r="F24" i="6" s="1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F15" i="6"/>
  <c r="E15" i="6"/>
  <c r="F14" i="6"/>
  <c r="E14" i="6"/>
  <c r="F51" i="5"/>
  <c r="E51" i="5"/>
  <c r="D48" i="5"/>
  <c r="E48" i="5" s="1"/>
  <c r="C48" i="5"/>
  <c r="F48" i="5" s="1"/>
  <c r="F47" i="5"/>
  <c r="E47" i="5"/>
  <c r="F46" i="5"/>
  <c r="E46" i="5"/>
  <c r="D41" i="5"/>
  <c r="E41" i="5"/>
  <c r="C41" i="5"/>
  <c r="F41" i="5" s="1"/>
  <c r="F40" i="5"/>
  <c r="E40" i="5"/>
  <c r="F39" i="5"/>
  <c r="E39" i="5"/>
  <c r="E38" i="5"/>
  <c r="F38" i="5" s="1"/>
  <c r="D33" i="5"/>
  <c r="C33" i="5"/>
  <c r="F32" i="5"/>
  <c r="E32" i="5"/>
  <c r="E31" i="5"/>
  <c r="F31" i="5" s="1"/>
  <c r="E30" i="5"/>
  <c r="F30" i="5" s="1"/>
  <c r="F29" i="5"/>
  <c r="E29" i="5"/>
  <c r="E28" i="5"/>
  <c r="F28" i="5" s="1"/>
  <c r="E27" i="5"/>
  <c r="F27" i="5" s="1"/>
  <c r="F26" i="5"/>
  <c r="E26" i="5"/>
  <c r="F25" i="5"/>
  <c r="E25" i="5"/>
  <c r="F24" i="5"/>
  <c r="E24" i="5"/>
  <c r="E20" i="5"/>
  <c r="F20" i="5" s="1"/>
  <c r="E19" i="5"/>
  <c r="F19" i="5" s="1"/>
  <c r="F17" i="5"/>
  <c r="E17" i="5"/>
  <c r="D16" i="5"/>
  <c r="E16" i="5"/>
  <c r="C16" i="5"/>
  <c r="C18" i="5"/>
  <c r="E15" i="5"/>
  <c r="F15" i="5" s="1"/>
  <c r="F14" i="5"/>
  <c r="E14" i="5"/>
  <c r="F13" i="5"/>
  <c r="E13" i="5"/>
  <c r="E12" i="5"/>
  <c r="F12" i="5" s="1"/>
  <c r="D73" i="4"/>
  <c r="D75" i="4" s="1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D65" i="4"/>
  <c r="C61" i="4"/>
  <c r="F60" i="4"/>
  <c r="E60" i="4"/>
  <c r="E59" i="4"/>
  <c r="F59" i="4" s="1"/>
  <c r="D56" i="4"/>
  <c r="C56" i="4"/>
  <c r="F55" i="4"/>
  <c r="E55" i="4"/>
  <c r="F54" i="4"/>
  <c r="E54" i="4"/>
  <c r="E53" i="4"/>
  <c r="F53" i="4" s="1"/>
  <c r="E52" i="4"/>
  <c r="F52" i="4" s="1"/>
  <c r="E51" i="4"/>
  <c r="F51" i="4"/>
  <c r="E50" i="4"/>
  <c r="F50" i="4" s="1"/>
  <c r="A50" i="4"/>
  <c r="A51" i="4"/>
  <c r="A52" i="4" s="1"/>
  <c r="A53" i="4"/>
  <c r="A54" i="4" s="1"/>
  <c r="A55" i="4" s="1"/>
  <c r="E49" i="4"/>
  <c r="F49" i="4" s="1"/>
  <c r="E40" i="4"/>
  <c r="F40" i="4" s="1"/>
  <c r="D38" i="4"/>
  <c r="D41" i="4"/>
  <c r="C38" i="4"/>
  <c r="C41" i="4" s="1"/>
  <c r="E41" i="4" s="1"/>
  <c r="E37" i="4"/>
  <c r="F37" i="4"/>
  <c r="E36" i="4"/>
  <c r="F36" i="4"/>
  <c r="E33" i="4"/>
  <c r="F33" i="4" s="1"/>
  <c r="F32" i="4"/>
  <c r="E32" i="4"/>
  <c r="F31" i="4"/>
  <c r="E31" i="4"/>
  <c r="D29" i="4"/>
  <c r="E29" i="4" s="1"/>
  <c r="F29" i="4" s="1"/>
  <c r="C29" i="4"/>
  <c r="E28" i="4"/>
  <c r="F28" i="4" s="1"/>
  <c r="F27" i="4"/>
  <c r="E27" i="4"/>
  <c r="E26" i="4"/>
  <c r="F26" i="4"/>
  <c r="E25" i="4"/>
  <c r="F25" i="4"/>
  <c r="D22" i="4"/>
  <c r="C22" i="4"/>
  <c r="E21" i="4"/>
  <c r="F21" i="4"/>
  <c r="E20" i="4"/>
  <c r="F20" i="4"/>
  <c r="E19" i="4"/>
  <c r="F19" i="4"/>
  <c r="F18" i="4"/>
  <c r="E18" i="4"/>
  <c r="E17" i="4"/>
  <c r="F17" i="4"/>
  <c r="F16" i="4"/>
  <c r="E16" i="4"/>
  <c r="E15" i="4"/>
  <c r="F15" i="4"/>
  <c r="E14" i="4"/>
  <c r="F14" i="4"/>
  <c r="E13" i="4"/>
  <c r="F13" i="4"/>
  <c r="E110" i="22"/>
  <c r="E53" i="22"/>
  <c r="E45" i="22"/>
  <c r="E39" i="22"/>
  <c r="D109" i="22"/>
  <c r="D108" i="22"/>
  <c r="E34" i="22"/>
  <c r="E23" i="22"/>
  <c r="C22" i="22"/>
  <c r="D111" i="22"/>
  <c r="E29" i="22"/>
  <c r="E35" i="22"/>
  <c r="E108" i="22"/>
  <c r="E109" i="22"/>
  <c r="C101" i="22"/>
  <c r="C103" i="22" s="1"/>
  <c r="D22" i="22"/>
  <c r="D39" i="22" s="1"/>
  <c r="F20" i="20"/>
  <c r="D41" i="20"/>
  <c r="E39" i="20"/>
  <c r="E19" i="20"/>
  <c r="F19" i="20" s="1"/>
  <c r="E43" i="20"/>
  <c r="C127" i="19"/>
  <c r="C129" i="19" s="1"/>
  <c r="C133" i="19" s="1"/>
  <c r="C22" i="19"/>
  <c r="E67" i="17"/>
  <c r="E21" i="18"/>
  <c r="D22" i="18"/>
  <c r="D284" i="18" s="1"/>
  <c r="E37" i="18"/>
  <c r="C65" i="18"/>
  <c r="C66" i="18"/>
  <c r="C295" i="18"/>
  <c r="E69" i="18"/>
  <c r="C71" i="18"/>
  <c r="D175" i="18"/>
  <c r="D144" i="18"/>
  <c r="E139" i="18"/>
  <c r="E151" i="18"/>
  <c r="D261" i="18"/>
  <c r="E261" i="18"/>
  <c r="D189" i="18"/>
  <c r="E188" i="18"/>
  <c r="C284" i="18"/>
  <c r="C294" i="18"/>
  <c r="E32" i="18"/>
  <c r="E36" i="18"/>
  <c r="E70" i="18"/>
  <c r="D157" i="18"/>
  <c r="E157" i="18" s="1"/>
  <c r="E156" i="18"/>
  <c r="C189" i="18"/>
  <c r="C211" i="18"/>
  <c r="E211" i="18" s="1"/>
  <c r="C235" i="18"/>
  <c r="E235" i="18" s="1"/>
  <c r="C234" i="18"/>
  <c r="E234" i="18" s="1"/>
  <c r="E219" i="18"/>
  <c r="D244" i="18"/>
  <c r="E245" i="18"/>
  <c r="E302" i="18"/>
  <c r="C303" i="18"/>
  <c r="C306" i="18"/>
  <c r="C310" i="18" s="1"/>
  <c r="D210" i="18"/>
  <c r="E205" i="18"/>
  <c r="D229" i="18"/>
  <c r="E229" i="18"/>
  <c r="C239" i="18"/>
  <c r="E239" i="18" s="1"/>
  <c r="E215" i="18"/>
  <c r="D240" i="18"/>
  <c r="E240" i="18" s="1"/>
  <c r="E218" i="18"/>
  <c r="D217" i="18"/>
  <c r="D242" i="18"/>
  <c r="D320" i="18"/>
  <c r="E320" i="18"/>
  <c r="E316" i="18"/>
  <c r="D253" i="18"/>
  <c r="E253" i="18"/>
  <c r="E265" i="18"/>
  <c r="E314" i="18"/>
  <c r="D326" i="18"/>
  <c r="C222" i="18"/>
  <c r="C246" i="18" s="1"/>
  <c r="E231" i="18"/>
  <c r="F17" i="17"/>
  <c r="E24" i="17"/>
  <c r="F24" i="17"/>
  <c r="E36" i="17"/>
  <c r="F36" i="17"/>
  <c r="E52" i="17"/>
  <c r="F52" i="17" s="1"/>
  <c r="E58" i="17"/>
  <c r="F58" i="17" s="1"/>
  <c r="C61" i="17"/>
  <c r="D103" i="17"/>
  <c r="E103" i="17" s="1"/>
  <c r="E102" i="17"/>
  <c r="E23" i="17"/>
  <c r="F23" i="17" s="1"/>
  <c r="E29" i="17"/>
  <c r="F29" i="17" s="1"/>
  <c r="C32" i="17"/>
  <c r="E35" i="17"/>
  <c r="F35" i="17"/>
  <c r="C37" i="17"/>
  <c r="E44" i="17"/>
  <c r="F44" i="17"/>
  <c r="F53" i="17"/>
  <c r="E53" i="17"/>
  <c r="E60" i="17"/>
  <c r="F60" i="17"/>
  <c r="D61" i="17"/>
  <c r="F102" i="17"/>
  <c r="C103" i="17"/>
  <c r="F103" i="17"/>
  <c r="F67" i="17"/>
  <c r="E88" i="17"/>
  <c r="E101" i="17"/>
  <c r="F101" i="17" s="1"/>
  <c r="E109" i="17"/>
  <c r="F109" i="17"/>
  <c r="D277" i="17"/>
  <c r="D261" i="17"/>
  <c r="D214" i="17"/>
  <c r="E188" i="17"/>
  <c r="F188" i="17"/>
  <c r="C288" i="17"/>
  <c r="D280" i="17"/>
  <c r="D264" i="17"/>
  <c r="E191" i="17"/>
  <c r="F191" i="17" s="1"/>
  <c r="D192" i="17"/>
  <c r="E192" i="17" s="1"/>
  <c r="D283" i="17"/>
  <c r="D267" i="17"/>
  <c r="E203" i="17"/>
  <c r="F203" i="17"/>
  <c r="E227" i="17"/>
  <c r="E59" i="17"/>
  <c r="F59" i="17" s="1"/>
  <c r="E66" i="17"/>
  <c r="F66" i="17" s="1"/>
  <c r="E76" i="17"/>
  <c r="F76" i="17" s="1"/>
  <c r="D124" i="17"/>
  <c r="E124" i="17" s="1"/>
  <c r="F124" i="17" s="1"/>
  <c r="D137" i="17"/>
  <c r="D146" i="17"/>
  <c r="D159" i="17"/>
  <c r="D172" i="17"/>
  <c r="D207" i="17" s="1"/>
  <c r="D208" i="17" s="1"/>
  <c r="D181" i="17"/>
  <c r="D278" i="17"/>
  <c r="D262" i="17"/>
  <c r="D263" i="17" s="1"/>
  <c r="E263" i="17" s="1"/>
  <c r="D215" i="17"/>
  <c r="E189" i="17"/>
  <c r="F189" i="17" s="1"/>
  <c r="D190" i="17"/>
  <c r="D290" i="17"/>
  <c r="D274" i="17"/>
  <c r="D199" i="17"/>
  <c r="D200" i="17"/>
  <c r="C286" i="17"/>
  <c r="D285" i="17"/>
  <c r="E285" i="17" s="1"/>
  <c r="F285" i="17"/>
  <c r="D269" i="17"/>
  <c r="E204" i="17"/>
  <c r="F204" i="17"/>
  <c r="D205" i="17"/>
  <c r="E205" i="17" s="1"/>
  <c r="F227" i="17"/>
  <c r="C124" i="17"/>
  <c r="C190" i="17"/>
  <c r="E190" i="17" s="1"/>
  <c r="C192" i="17"/>
  <c r="C205" i="17"/>
  <c r="F205" i="17" s="1"/>
  <c r="C206" i="17"/>
  <c r="E206" i="17" s="1"/>
  <c r="C214" i="17"/>
  <c r="C215" i="17"/>
  <c r="E226" i="17"/>
  <c r="F226" i="17" s="1"/>
  <c r="E237" i="17"/>
  <c r="F237" i="17" s="1"/>
  <c r="E250" i="17"/>
  <c r="F250" i="17"/>
  <c r="C254" i="17"/>
  <c r="C255" i="17"/>
  <c r="C261" i="17"/>
  <c r="C262" i="17"/>
  <c r="C264" i="17"/>
  <c r="C267" i="17"/>
  <c r="C269" i="17"/>
  <c r="C274" i="17"/>
  <c r="E294" i="17"/>
  <c r="F294" i="17" s="1"/>
  <c r="E298" i="17"/>
  <c r="F298" i="17"/>
  <c r="E295" i="17"/>
  <c r="F295" i="17"/>
  <c r="E297" i="17"/>
  <c r="F297" i="17" s="1"/>
  <c r="E299" i="17"/>
  <c r="F299" i="17" s="1"/>
  <c r="F36" i="14"/>
  <c r="F38" i="14"/>
  <c r="F40" i="14" s="1"/>
  <c r="I17" i="14"/>
  <c r="F31" i="14"/>
  <c r="H17" i="14"/>
  <c r="E21" i="13"/>
  <c r="D48" i="13"/>
  <c r="D42" i="13"/>
  <c r="E15" i="13"/>
  <c r="E24" i="13" s="1"/>
  <c r="E20" i="13" s="1"/>
  <c r="C42" i="13"/>
  <c r="E48" i="13"/>
  <c r="E42" i="13"/>
  <c r="C20" i="12"/>
  <c r="D20" i="12"/>
  <c r="D34" i="12" s="1"/>
  <c r="E17" i="12"/>
  <c r="E15" i="12"/>
  <c r="F15" i="12"/>
  <c r="E41" i="11"/>
  <c r="F41" i="11" s="1"/>
  <c r="E22" i="11"/>
  <c r="E38" i="11"/>
  <c r="F38" i="11"/>
  <c r="E23" i="10"/>
  <c r="E24" i="10"/>
  <c r="E35" i="10"/>
  <c r="E36" i="10"/>
  <c r="E47" i="10"/>
  <c r="E48" i="10"/>
  <c r="E59" i="10"/>
  <c r="E60" i="10"/>
  <c r="E71" i="10"/>
  <c r="E72" i="10"/>
  <c r="E83" i="10"/>
  <c r="E84" i="10"/>
  <c r="E95" i="10"/>
  <c r="E96" i="10"/>
  <c r="E107" i="10"/>
  <c r="E108" i="10"/>
  <c r="E112" i="10"/>
  <c r="E114" i="10"/>
  <c r="E115" i="10"/>
  <c r="E116" i="10"/>
  <c r="E118" i="10"/>
  <c r="C121" i="10"/>
  <c r="F121" i="10"/>
  <c r="C122" i="10"/>
  <c r="E122" i="10" s="1"/>
  <c r="F122" i="10"/>
  <c r="E198" i="9"/>
  <c r="F198" i="9"/>
  <c r="E199" i="9"/>
  <c r="F199" i="9"/>
  <c r="C140" i="8"/>
  <c r="C137" i="8"/>
  <c r="C21" i="8"/>
  <c r="D139" i="8"/>
  <c r="D137" i="8"/>
  <c r="D15" i="8"/>
  <c r="C43" i="8"/>
  <c r="E43" i="8"/>
  <c r="D49" i="8"/>
  <c r="C53" i="8"/>
  <c r="E53" i="8"/>
  <c r="D57" i="8"/>
  <c r="D62" i="8" s="1"/>
  <c r="C15" i="8"/>
  <c r="D43" i="8"/>
  <c r="C49" i="8"/>
  <c r="E49" i="8"/>
  <c r="C77" i="8"/>
  <c r="C71" i="8"/>
  <c r="E77" i="8"/>
  <c r="E71" i="8"/>
  <c r="E90" i="7"/>
  <c r="F90" i="7"/>
  <c r="E183" i="7"/>
  <c r="F183" i="7"/>
  <c r="F179" i="6"/>
  <c r="E41" i="6"/>
  <c r="F41" i="6" s="1"/>
  <c r="E84" i="6"/>
  <c r="F84" i="6" s="1"/>
  <c r="D18" i="5"/>
  <c r="E22" i="4"/>
  <c r="F22" i="4"/>
  <c r="E38" i="4"/>
  <c r="E56" i="4"/>
  <c r="F56" i="4"/>
  <c r="E61" i="4"/>
  <c r="F61" i="4"/>
  <c r="C65" i="4"/>
  <c r="E73" i="4"/>
  <c r="E112" i="22"/>
  <c r="E55" i="22"/>
  <c r="E47" i="22"/>
  <c r="E37" i="22"/>
  <c r="E54" i="22"/>
  <c r="E46" i="22"/>
  <c r="E40" i="22"/>
  <c r="E36" i="22"/>
  <c r="E30" i="22"/>
  <c r="E111" i="22"/>
  <c r="D53" i="22"/>
  <c r="D45" i="22"/>
  <c r="D35" i="22"/>
  <c r="D29" i="22"/>
  <c r="D110" i="22"/>
  <c r="F39" i="20"/>
  <c r="F43" i="20"/>
  <c r="E326" i="18"/>
  <c r="D330" i="18"/>
  <c r="E330" i="18"/>
  <c r="C223" i="18"/>
  <c r="C247" i="18"/>
  <c r="D234" i="18"/>
  <c r="D211" i="18"/>
  <c r="E22" i="18"/>
  <c r="C271" i="17"/>
  <c r="E271" i="17" s="1"/>
  <c r="C263" i="17"/>
  <c r="D255" i="17"/>
  <c r="E255" i="17"/>
  <c r="F255" i="17"/>
  <c r="E215" i="17"/>
  <c r="D173" i="17"/>
  <c r="C272" i="17"/>
  <c r="C216" i="17"/>
  <c r="F190" i="17"/>
  <c r="F206" i="17"/>
  <c r="E262" i="17"/>
  <c r="F262" i="17"/>
  <c r="D138" i="17"/>
  <c r="D286" i="17"/>
  <c r="E286" i="17" s="1"/>
  <c r="F286" i="17" s="1"/>
  <c r="E283" i="17"/>
  <c r="F283" i="17"/>
  <c r="D193" i="17"/>
  <c r="D194" i="17" s="1"/>
  <c r="E280" i="17"/>
  <c r="F280" i="17" s="1"/>
  <c r="D287" i="17"/>
  <c r="D284" i="17"/>
  <c r="C125" i="17"/>
  <c r="C304" i="17"/>
  <c r="C104" i="17"/>
  <c r="F215" i="17"/>
  <c r="F192" i="17"/>
  <c r="D270" i="17"/>
  <c r="E264" i="17"/>
  <c r="F264" i="17"/>
  <c r="D271" i="17"/>
  <c r="D268" i="17"/>
  <c r="E261" i="17"/>
  <c r="F261" i="17"/>
  <c r="C105" i="17"/>
  <c r="C106" i="17" s="1"/>
  <c r="E17" i="13"/>
  <c r="E28" i="13" s="1"/>
  <c r="E70" i="13" s="1"/>
  <c r="E72" i="13" s="1"/>
  <c r="E20" i="12"/>
  <c r="F20" i="12" s="1"/>
  <c r="C34" i="12"/>
  <c r="D24" i="8"/>
  <c r="D17" i="8"/>
  <c r="D112" i="8" s="1"/>
  <c r="D111" i="8" s="1"/>
  <c r="C24" i="8"/>
  <c r="C20" i="8"/>
  <c r="C17" i="8"/>
  <c r="C112" i="8" s="1"/>
  <c r="D21" i="5"/>
  <c r="F41" i="4"/>
  <c r="D37" i="22"/>
  <c r="D112" i="22"/>
  <c r="E56" i="22"/>
  <c r="E48" i="22"/>
  <c r="E38" i="22"/>
  <c r="E113" i="22"/>
  <c r="D235" i="18"/>
  <c r="D266" i="17"/>
  <c r="E69" i="13"/>
  <c r="E22" i="13"/>
  <c r="C42" i="12"/>
  <c r="C49" i="12" s="1"/>
  <c r="C111" i="8"/>
  <c r="C28" i="8"/>
  <c r="D265" i="17"/>
  <c r="E44" i="6" l="1"/>
  <c r="D52" i="6"/>
  <c r="E52" i="6" s="1"/>
  <c r="F279" i="17"/>
  <c r="C108" i="22"/>
  <c r="C109" i="22"/>
  <c r="E50" i="9"/>
  <c r="F50" i="9" s="1"/>
  <c r="E301" i="18"/>
  <c r="D303" i="18"/>
  <c r="C95" i="6"/>
  <c r="E85" i="6"/>
  <c r="E61" i="17"/>
  <c r="F61" i="17" s="1"/>
  <c r="D174" i="17"/>
  <c r="D209" i="17"/>
  <c r="D139" i="17"/>
  <c r="D104" i="17"/>
  <c r="E104" i="17" s="1"/>
  <c r="F104" i="17" s="1"/>
  <c r="E155" i="8"/>
  <c r="D42" i="12"/>
  <c r="E34" i="12"/>
  <c r="F34" i="12" s="1"/>
  <c r="F274" i="17"/>
  <c r="C35" i="22"/>
  <c r="C45" i="22"/>
  <c r="C39" i="22"/>
  <c r="C29" i="22"/>
  <c r="C110" i="22"/>
  <c r="C53" i="22"/>
  <c r="E166" i="6"/>
  <c r="F166" i="6"/>
  <c r="D95" i="7"/>
  <c r="E95" i="7" s="1"/>
  <c r="E59" i="7"/>
  <c r="F59" i="7" s="1"/>
  <c r="E200" i="9"/>
  <c r="F200" i="9"/>
  <c r="E144" i="18"/>
  <c r="D145" i="18"/>
  <c r="D168" i="18"/>
  <c r="E168" i="18" s="1"/>
  <c r="D180" i="18"/>
  <c r="E180" i="18" s="1"/>
  <c r="F154" i="9"/>
  <c r="E102" i="22"/>
  <c r="E101" i="22"/>
  <c r="E103" i="22" s="1"/>
  <c r="E154" i="8"/>
  <c r="E152" i="8"/>
  <c r="E153" i="8"/>
  <c r="E156" i="8"/>
  <c r="F85" i="6"/>
  <c r="D28" i="8"/>
  <c r="E33" i="5"/>
  <c r="F33" i="5" s="1"/>
  <c r="D35" i="5"/>
  <c r="D21" i="8"/>
  <c r="D20" i="8"/>
  <c r="D88" i="8"/>
  <c r="D90" i="8" s="1"/>
  <c r="D86" i="8" s="1"/>
  <c r="D77" i="8"/>
  <c r="D71" i="8" s="1"/>
  <c r="C25" i="13"/>
  <c r="C27" i="13" s="1"/>
  <c r="C15" i="13"/>
  <c r="E87" i="6"/>
  <c r="D95" i="6"/>
  <c r="E95" i="6" s="1"/>
  <c r="E124" i="6"/>
  <c r="F124" i="6"/>
  <c r="F74" i="15"/>
  <c r="E75" i="15"/>
  <c r="E114" i="9"/>
  <c r="F75" i="15"/>
  <c r="E207" i="17"/>
  <c r="C99" i="8"/>
  <c r="C101" i="8" s="1"/>
  <c r="C98" i="8" s="1"/>
  <c r="C22" i="8"/>
  <c r="C273" i="17"/>
  <c r="C21" i="5"/>
  <c r="D291" i="17"/>
  <c r="C75" i="4"/>
  <c r="E65" i="4"/>
  <c r="F65" i="4" s="1"/>
  <c r="F45" i="6"/>
  <c r="D25" i="13"/>
  <c r="D27" i="13" s="1"/>
  <c r="D15" i="13"/>
  <c r="E45" i="15"/>
  <c r="F45" i="15" s="1"/>
  <c r="C33" i="22"/>
  <c r="C23" i="22"/>
  <c r="C34" i="22"/>
  <c r="D288" i="17"/>
  <c r="D279" i="17"/>
  <c r="E279" i="17" s="1"/>
  <c r="E278" i="17"/>
  <c r="F278" i="17" s="1"/>
  <c r="C300" i="17"/>
  <c r="D254" i="17"/>
  <c r="D216" i="17"/>
  <c r="E216" i="17" s="1"/>
  <c r="F216" i="17" s="1"/>
  <c r="C62" i="17"/>
  <c r="C43" i="4"/>
  <c r="E111" i="6"/>
  <c r="F111" i="6" s="1"/>
  <c r="D208" i="9"/>
  <c r="E208" i="9" s="1"/>
  <c r="F208" i="9" s="1"/>
  <c r="C75" i="11"/>
  <c r="C21" i="17"/>
  <c r="C282" i="17"/>
  <c r="C266" i="17"/>
  <c r="F20" i="17"/>
  <c r="D260" i="18"/>
  <c r="E195" i="18"/>
  <c r="E216" i="18"/>
  <c r="D222" i="18"/>
  <c r="F271" i="17"/>
  <c r="D304" i="17"/>
  <c r="E277" i="17"/>
  <c r="F277" i="17" s="1"/>
  <c r="D55" i="22"/>
  <c r="D47" i="22"/>
  <c r="F38" i="4"/>
  <c r="F22" i="11"/>
  <c r="F73" i="4"/>
  <c r="F90" i="6"/>
  <c r="F113" i="10"/>
  <c r="E113" i="10"/>
  <c r="F119" i="10"/>
  <c r="E119" i="10"/>
  <c r="F100" i="15"/>
  <c r="E20" i="17"/>
  <c r="D21" i="17"/>
  <c r="D282" i="17"/>
  <c r="E94" i="17"/>
  <c r="F94" i="17"/>
  <c r="C95" i="7"/>
  <c r="E41" i="7"/>
  <c r="F41" i="7" s="1"/>
  <c r="C188" i="7"/>
  <c r="F167" i="7"/>
  <c r="D272" i="17"/>
  <c r="E272" i="17" s="1"/>
  <c r="F272" i="17" s="1"/>
  <c r="E284" i="18"/>
  <c r="E45" i="6"/>
  <c r="E23" i="15"/>
  <c r="F23" i="15" s="1"/>
  <c r="C290" i="17"/>
  <c r="E198" i="17"/>
  <c r="F198" i="17" s="1"/>
  <c r="C168" i="18"/>
  <c r="C180" i="18"/>
  <c r="C145" i="18"/>
  <c r="E172" i="17"/>
  <c r="E18" i="5"/>
  <c r="F18" i="5" s="1"/>
  <c r="E56" i="11"/>
  <c r="F56" i="11" s="1"/>
  <c r="E269" i="17"/>
  <c r="F269" i="17"/>
  <c r="C200" i="17"/>
  <c r="E274" i="17"/>
  <c r="D300" i="17"/>
  <c r="D252" i="18"/>
  <c r="E42" i="6"/>
  <c r="F42" i="6" s="1"/>
  <c r="F51" i="6"/>
  <c r="C135" i="8"/>
  <c r="C138" i="8"/>
  <c r="C136" i="8"/>
  <c r="C139" i="8"/>
  <c r="E33" i="18"/>
  <c r="C76" i="18"/>
  <c r="C163" i="18"/>
  <c r="C64" i="19"/>
  <c r="C65" i="19" s="1"/>
  <c r="C114" i="19" s="1"/>
  <c r="C116" i="19" s="1"/>
  <c r="C119" i="19" s="1"/>
  <c r="C123" i="19" s="1"/>
  <c r="C49" i="19"/>
  <c r="E199" i="17"/>
  <c r="F52" i="6"/>
  <c r="E88" i="6"/>
  <c r="F88" i="6" s="1"/>
  <c r="D36" i="22"/>
  <c r="D30" i="22"/>
  <c r="D46" i="22"/>
  <c r="D40" i="22"/>
  <c r="F81" i="6"/>
  <c r="F130" i="7"/>
  <c r="E167" i="7"/>
  <c r="E25" i="8"/>
  <c r="E27" i="8" s="1"/>
  <c r="E15" i="8"/>
  <c r="F37" i="9"/>
  <c r="E37" i="9"/>
  <c r="C207" i="17"/>
  <c r="C138" i="17"/>
  <c r="C287" i="17"/>
  <c r="C284" i="17"/>
  <c r="E287" i="18"/>
  <c r="E214" i="17"/>
  <c r="F214" i="17" s="1"/>
  <c r="F263" i="17"/>
  <c r="C268" i="17"/>
  <c r="E268" i="17" s="1"/>
  <c r="F267" i="17"/>
  <c r="C270" i="17"/>
  <c r="C199" i="17"/>
  <c r="E267" i="17"/>
  <c r="C283" i="18"/>
  <c r="E283" i="18" s="1"/>
  <c r="E51" i="6"/>
  <c r="D140" i="8"/>
  <c r="D135" i="8"/>
  <c r="D138" i="8"/>
  <c r="D136" i="8"/>
  <c r="F205" i="9"/>
  <c r="D65" i="11"/>
  <c r="E61" i="11"/>
  <c r="F61" i="11" s="1"/>
  <c r="D31" i="17"/>
  <c r="D48" i="17"/>
  <c r="E47" i="17"/>
  <c r="F47" i="17" s="1"/>
  <c r="D289" i="18"/>
  <c r="E289" i="18" s="1"/>
  <c r="D65" i="18"/>
  <c r="D71" i="18"/>
  <c r="E71" i="18" s="1"/>
  <c r="E60" i="18"/>
  <c r="D241" i="18"/>
  <c r="C244" i="18"/>
  <c r="E220" i="18"/>
  <c r="E244" i="18"/>
  <c r="F49" i="6"/>
  <c r="F94" i="6"/>
  <c r="F153" i="6"/>
  <c r="E149" i="8"/>
  <c r="C207" i="9"/>
  <c r="D33" i="14"/>
  <c r="D36" i="14" s="1"/>
  <c r="D38" i="14" s="1"/>
  <c r="D40" i="14" s="1"/>
  <c r="D31" i="14"/>
  <c r="I31" i="14"/>
  <c r="E30" i="15"/>
  <c r="F30" i="15"/>
  <c r="E54" i="18"/>
  <c r="E102" i="9"/>
  <c r="F102" i="9" s="1"/>
  <c r="F17" i="12"/>
  <c r="E110" i="17"/>
  <c r="F110" i="17"/>
  <c r="E238" i="17"/>
  <c r="F238" i="17" s="1"/>
  <c r="D239" i="17"/>
  <c r="E239" i="17" s="1"/>
  <c r="F239" i="17" s="1"/>
  <c r="E189" i="18"/>
  <c r="F47" i="6"/>
  <c r="E68" i="6"/>
  <c r="F68" i="6"/>
  <c r="C89" i="17"/>
  <c r="F88" i="17"/>
  <c r="F34" i="20"/>
  <c r="D43" i="4"/>
  <c r="F16" i="5"/>
  <c r="F121" i="7"/>
  <c r="E79" i="8"/>
  <c r="C166" i="8"/>
  <c r="E203" i="9"/>
  <c r="F203" i="9" s="1"/>
  <c r="F50" i="15"/>
  <c r="C181" i="17"/>
  <c r="E40" i="18"/>
  <c r="C242" i="18"/>
  <c r="E242" i="18" s="1"/>
  <c r="C217" i="18"/>
  <c r="E45" i="20"/>
  <c r="F45" i="20" s="1"/>
  <c r="F43" i="6"/>
  <c r="F86" i="6"/>
  <c r="D188" i="7"/>
  <c r="E188" i="7" s="1"/>
  <c r="D166" i="8"/>
  <c r="F70" i="15"/>
  <c r="E70" i="15"/>
  <c r="E68" i="17"/>
  <c r="F68" i="17" s="1"/>
  <c r="C111" i="17"/>
  <c r="E120" i="17"/>
  <c r="F120" i="17" s="1"/>
  <c r="E179" i="17"/>
  <c r="F179" i="17" s="1"/>
  <c r="E40" i="20"/>
  <c r="E41" i="20" s="1"/>
  <c r="F137" i="6"/>
  <c r="F23" i="9"/>
  <c r="E166" i="9"/>
  <c r="F204" i="9"/>
  <c r="C31" i="14"/>
  <c r="H31" i="14" s="1"/>
  <c r="C33" i="14"/>
  <c r="F23" i="16"/>
  <c r="C146" i="17"/>
  <c r="F144" i="17"/>
  <c r="C159" i="17"/>
  <c r="C193" i="17"/>
  <c r="F158" i="17"/>
  <c r="E167" i="18"/>
  <c r="C252" i="18"/>
  <c r="F127" i="9"/>
  <c r="F32" i="12"/>
  <c r="E47" i="12"/>
  <c r="E50" i="13"/>
  <c r="F55" i="15"/>
  <c r="F14" i="16"/>
  <c r="C44" i="18"/>
  <c r="E178" i="18"/>
  <c r="C254" i="18"/>
  <c r="F21" i="21"/>
  <c r="F201" i="9"/>
  <c r="D43" i="11"/>
  <c r="E43" i="11" s="1"/>
  <c r="F43" i="11" s="1"/>
  <c r="D37" i="17"/>
  <c r="E37" i="17" s="1"/>
  <c r="F37" i="17" s="1"/>
  <c r="C172" i="17"/>
  <c r="F171" i="17"/>
  <c r="D43" i="18"/>
  <c r="D163" i="18"/>
  <c r="E163" i="18" s="1"/>
  <c r="F16" i="20"/>
  <c r="E44" i="20"/>
  <c r="E46" i="20" s="1"/>
  <c r="F46" i="20" s="1"/>
  <c r="D102" i="22"/>
  <c r="D103" i="22" s="1"/>
  <c r="F73" i="11"/>
  <c r="D61" i="13"/>
  <c r="D57" i="13" s="1"/>
  <c r="F37" i="15"/>
  <c r="F65" i="15"/>
  <c r="F92" i="15"/>
  <c r="F18" i="16"/>
  <c r="E129" i="17"/>
  <c r="F129" i="17" s="1"/>
  <c r="F164" i="17"/>
  <c r="C40" i="20"/>
  <c r="F36" i="20"/>
  <c r="F159" i="17" l="1"/>
  <c r="E159" i="17"/>
  <c r="C152" i="8"/>
  <c r="C157" i="8"/>
  <c r="C154" i="8"/>
  <c r="C155" i="8"/>
  <c r="C153" i="8"/>
  <c r="C156" i="8"/>
  <c r="F270" i="17"/>
  <c r="E270" i="17"/>
  <c r="E17" i="8"/>
  <c r="E24" i="8"/>
  <c r="E20" i="8" s="1"/>
  <c r="E304" i="17"/>
  <c r="F304" i="17" s="1"/>
  <c r="C291" i="17"/>
  <c r="C289" i="17"/>
  <c r="D49" i="17"/>
  <c r="E21" i="17"/>
  <c r="F21" i="17" s="1"/>
  <c r="D196" i="17"/>
  <c r="D161" i="17"/>
  <c r="D126" i="17"/>
  <c r="D91" i="17"/>
  <c r="D141" i="8"/>
  <c r="F188" i="7"/>
  <c r="C63" i="17"/>
  <c r="E300" i="17"/>
  <c r="F300" i="17" s="1"/>
  <c r="C126" i="17"/>
  <c r="C161" i="17"/>
  <c r="C91" i="17"/>
  <c r="C49" i="17"/>
  <c r="E287" i="17"/>
  <c r="F287" i="17" s="1"/>
  <c r="E145" i="18"/>
  <c r="D169" i="18"/>
  <c r="D181" i="18"/>
  <c r="C36" i="14"/>
  <c r="C38" i="14" s="1"/>
  <c r="C40" i="14" s="1"/>
  <c r="H33" i="14"/>
  <c r="H36" i="14" s="1"/>
  <c r="H38" i="14" s="1"/>
  <c r="H40" i="14" s="1"/>
  <c r="I33" i="14"/>
  <c r="I36" i="14" s="1"/>
  <c r="I38" i="14" s="1"/>
  <c r="I40" i="14" s="1"/>
  <c r="E43" i="4"/>
  <c r="F43" i="4" s="1"/>
  <c r="D32" i="17"/>
  <c r="E31" i="17"/>
  <c r="F31" i="17" s="1"/>
  <c r="D43" i="5"/>
  <c r="C95" i="18"/>
  <c r="C100" i="18"/>
  <c r="C83" i="18"/>
  <c r="C96" i="18"/>
  <c r="C97" i="18"/>
  <c r="C87" i="18"/>
  <c r="C99" i="18"/>
  <c r="C88" i="18"/>
  <c r="C258" i="18"/>
  <c r="C98" i="18"/>
  <c r="C89" i="18"/>
  <c r="C85" i="18"/>
  <c r="C84" i="18"/>
  <c r="C90" i="18" s="1"/>
  <c r="C101" i="18"/>
  <c r="C86" i="18"/>
  <c r="E111" i="17"/>
  <c r="F111" i="17" s="1"/>
  <c r="F44" i="20"/>
  <c r="E207" i="9"/>
  <c r="F207" i="9" s="1"/>
  <c r="E241" i="18"/>
  <c r="E200" i="17"/>
  <c r="F200" i="17" s="1"/>
  <c r="C169" i="18"/>
  <c r="C181" i="18"/>
  <c r="E21" i="5"/>
  <c r="F21" i="5" s="1"/>
  <c r="C35" i="5"/>
  <c r="E35" i="5" s="1"/>
  <c r="F95" i="6"/>
  <c r="D113" i="22"/>
  <c r="D56" i="22"/>
  <c r="D48" i="22"/>
  <c r="D38" i="22"/>
  <c r="D99" i="8"/>
  <c r="D101" i="8" s="1"/>
  <c r="D98" i="8" s="1"/>
  <c r="D22" i="8"/>
  <c r="F266" i="17"/>
  <c r="F268" i="17"/>
  <c r="C281" i="17"/>
  <c r="E48" i="17"/>
  <c r="F48" i="17" s="1"/>
  <c r="D195" i="17"/>
  <c r="D90" i="17"/>
  <c r="D160" i="17"/>
  <c r="E160" i="17" s="1"/>
  <c r="D125" i="17"/>
  <c r="E125" i="17" s="1"/>
  <c r="F125" i="17" s="1"/>
  <c r="D223" i="18"/>
  <c r="D246" i="18"/>
  <c r="E246" i="18" s="1"/>
  <c r="E222" i="18"/>
  <c r="E42" i="12"/>
  <c r="F42" i="12" s="1"/>
  <c r="D49" i="12"/>
  <c r="E49" i="12" s="1"/>
  <c r="F49" i="12" s="1"/>
  <c r="E138" i="8"/>
  <c r="E140" i="8"/>
  <c r="E136" i="8"/>
  <c r="E137" i="8"/>
  <c r="E135" i="8"/>
  <c r="E139" i="8"/>
  <c r="E254" i="17"/>
  <c r="F254" i="17" s="1"/>
  <c r="E288" i="17"/>
  <c r="F288" i="17" s="1"/>
  <c r="D289" i="17"/>
  <c r="E289" i="17" s="1"/>
  <c r="D24" i="13"/>
  <c r="D17" i="13"/>
  <c r="D28" i="13" s="1"/>
  <c r="D70" i="13" s="1"/>
  <c r="D72" i="13" s="1"/>
  <c r="D69" i="13" s="1"/>
  <c r="D76" i="18"/>
  <c r="C24" i="13"/>
  <c r="C17" i="13"/>
  <c r="C28" i="13" s="1"/>
  <c r="C70" i="13" s="1"/>
  <c r="C72" i="13" s="1"/>
  <c r="C69" i="13" s="1"/>
  <c r="E290" i="17"/>
  <c r="F290" i="17" s="1"/>
  <c r="C37" i="22"/>
  <c r="C55" i="22"/>
  <c r="C47" i="22"/>
  <c r="C112" i="22"/>
  <c r="D306" i="18"/>
  <c r="E303" i="18"/>
  <c r="F89" i="17"/>
  <c r="C90" i="17"/>
  <c r="D66" i="18"/>
  <c r="E65" i="18"/>
  <c r="D294" i="18"/>
  <c r="E294" i="18" s="1"/>
  <c r="F284" i="17"/>
  <c r="C77" i="18"/>
  <c r="C259" i="18"/>
  <c r="C263" i="18" s="1"/>
  <c r="E282" i="17"/>
  <c r="F282" i="17" s="1"/>
  <c r="D281" i="17"/>
  <c r="E281" i="17" s="1"/>
  <c r="D154" i="8"/>
  <c r="D156" i="8"/>
  <c r="D152" i="8"/>
  <c r="D155" i="8"/>
  <c r="D157" i="8"/>
  <c r="D153" i="8"/>
  <c r="E21" i="8"/>
  <c r="C54" i="22"/>
  <c r="C111" i="22"/>
  <c r="C40" i="22"/>
  <c r="C36" i="22"/>
  <c r="C46" i="22"/>
  <c r="C30" i="22"/>
  <c r="E181" i="17"/>
  <c r="F181" i="17" s="1"/>
  <c r="C160" i="17"/>
  <c r="E138" i="17"/>
  <c r="F138" i="17"/>
  <c r="C139" i="17"/>
  <c r="E252" i="18"/>
  <c r="D254" i="18"/>
  <c r="E254" i="18" s="1"/>
  <c r="F75" i="4"/>
  <c r="D259" i="18"/>
  <c r="E43" i="18"/>
  <c r="D44" i="18"/>
  <c r="C208" i="17"/>
  <c r="F207" i="17"/>
  <c r="E89" i="17"/>
  <c r="C140" i="17"/>
  <c r="D305" i="17"/>
  <c r="E291" i="17"/>
  <c r="E75" i="4"/>
  <c r="F95" i="7"/>
  <c r="E158" i="8"/>
  <c r="C173" i="17"/>
  <c r="F172" i="17"/>
  <c r="F40" i="20"/>
  <c r="C41" i="20"/>
  <c r="F41" i="20" s="1"/>
  <c r="E146" i="17"/>
  <c r="F146" i="17" s="1"/>
  <c r="E65" i="11"/>
  <c r="F65" i="11" s="1"/>
  <c r="D75" i="11"/>
  <c r="E75" i="11" s="1"/>
  <c r="F75" i="11" s="1"/>
  <c r="C194" i="17"/>
  <c r="E193" i="17"/>
  <c r="F193" i="17" s="1"/>
  <c r="C241" i="18"/>
  <c r="E217" i="18"/>
  <c r="F199" i="17"/>
  <c r="C141" i="8"/>
  <c r="D273" i="17"/>
  <c r="E273" i="17" s="1"/>
  <c r="F273" i="17" s="1"/>
  <c r="E260" i="18"/>
  <c r="C265" i="17"/>
  <c r="E266" i="17"/>
  <c r="D21" i="13"/>
  <c r="D22" i="13"/>
  <c r="D20" i="13"/>
  <c r="C20" i="13"/>
  <c r="C21" i="13"/>
  <c r="E139" i="17"/>
  <c r="E284" i="17"/>
  <c r="E265" i="17" l="1"/>
  <c r="F265" i="17" s="1"/>
  <c r="F139" i="17"/>
  <c r="E90" i="17"/>
  <c r="E194" i="17"/>
  <c r="F194" i="17" s="1"/>
  <c r="C195" i="17"/>
  <c r="C209" i="17"/>
  <c r="C210" i="17"/>
  <c r="E208" i="17"/>
  <c r="F208" i="17" s="1"/>
  <c r="E49" i="17"/>
  <c r="F49" i="17" s="1"/>
  <c r="D50" i="17"/>
  <c r="C22" i="13"/>
  <c r="D309" i="17"/>
  <c r="D247" i="18"/>
  <c r="E247" i="18" s="1"/>
  <c r="E223" i="18"/>
  <c r="E181" i="18"/>
  <c r="C196" i="17"/>
  <c r="D127" i="17"/>
  <c r="E126" i="17"/>
  <c r="F126" i="17" s="1"/>
  <c r="C141" i="17"/>
  <c r="D50" i="5"/>
  <c r="E169" i="18"/>
  <c r="C127" i="17"/>
  <c r="D162" i="17"/>
  <c r="E161" i="17"/>
  <c r="C113" i="22"/>
  <c r="C56" i="22"/>
  <c r="C48" i="22"/>
  <c r="C38" i="22"/>
  <c r="D197" i="17"/>
  <c r="E196" i="17"/>
  <c r="D62" i="17"/>
  <c r="D175" i="17"/>
  <c r="D210" i="17"/>
  <c r="D140" i="17"/>
  <c r="D105" i="17"/>
  <c r="E32" i="17"/>
  <c r="F32" i="17" s="1"/>
  <c r="C91" i="18"/>
  <c r="C105" i="18" s="1"/>
  <c r="F91" i="17"/>
  <c r="C92" i="17"/>
  <c r="E112" i="8"/>
  <c r="E111" i="8" s="1"/>
  <c r="E28" i="8"/>
  <c r="C158" i="8"/>
  <c r="F160" i="17"/>
  <c r="C114" i="18"/>
  <c r="C115" i="18"/>
  <c r="C109" i="18"/>
  <c r="C127" i="18"/>
  <c r="C112" i="18"/>
  <c r="C111" i="18"/>
  <c r="C122" i="18"/>
  <c r="C123" i="18"/>
  <c r="C124" i="18"/>
  <c r="C126" i="18"/>
  <c r="C125" i="18"/>
  <c r="C113" i="18"/>
  <c r="C121" i="18"/>
  <c r="C110" i="18"/>
  <c r="D310" i="18"/>
  <c r="E310" i="18" s="1"/>
  <c r="E306" i="18"/>
  <c r="D77" i="18"/>
  <c r="E76" i="18"/>
  <c r="F289" i="17"/>
  <c r="E66" i="18"/>
  <c r="D295" i="18"/>
  <c r="E295" i="18" s="1"/>
  <c r="C174" i="17"/>
  <c r="E173" i="17"/>
  <c r="F173" i="17" s="1"/>
  <c r="C175" i="17"/>
  <c r="F90" i="17"/>
  <c r="C43" i="5"/>
  <c r="E43" i="5" s="1"/>
  <c r="F35" i="5"/>
  <c r="C102" i="18"/>
  <c r="C50" i="17"/>
  <c r="D88" i="18"/>
  <c r="E88" i="18" s="1"/>
  <c r="D83" i="18"/>
  <c r="D89" i="18"/>
  <c r="E89" i="18" s="1"/>
  <c r="E44" i="18"/>
  <c r="D85" i="18"/>
  <c r="E85" i="18" s="1"/>
  <c r="D258" i="18"/>
  <c r="D100" i="18"/>
  <c r="E100" i="18" s="1"/>
  <c r="D101" i="18"/>
  <c r="E101" i="18" s="1"/>
  <c r="D95" i="18"/>
  <c r="D84" i="18"/>
  <c r="D86" i="18"/>
  <c r="E86" i="18" s="1"/>
  <c r="D99" i="18"/>
  <c r="E99" i="18" s="1"/>
  <c r="D97" i="18"/>
  <c r="E97" i="18" s="1"/>
  <c r="D96" i="18"/>
  <c r="D98" i="18"/>
  <c r="E98" i="18" s="1"/>
  <c r="D87" i="18"/>
  <c r="E87" i="18" s="1"/>
  <c r="E259" i="18"/>
  <c r="D263" i="18"/>
  <c r="E263" i="18" s="1"/>
  <c r="D158" i="8"/>
  <c r="E141" i="8"/>
  <c r="F281" i="17"/>
  <c r="C267" i="18"/>
  <c r="C264" i="18"/>
  <c r="C266" i="18" s="1"/>
  <c r="C103" i="18"/>
  <c r="C162" i="17"/>
  <c r="F161" i="17"/>
  <c r="D92" i="17"/>
  <c r="E91" i="17"/>
  <c r="C305" i="17"/>
  <c r="F291" i="17"/>
  <c r="E92" i="17" l="1"/>
  <c r="F92" i="17" s="1"/>
  <c r="C117" i="18"/>
  <c r="C131" i="18" s="1"/>
  <c r="E162" i="17"/>
  <c r="D183" i="17"/>
  <c r="F195" i="17"/>
  <c r="E83" i="18"/>
  <c r="E127" i="17"/>
  <c r="F127" i="17" s="1"/>
  <c r="C176" i="17"/>
  <c r="F196" i="17"/>
  <c r="F305" i="17"/>
  <c r="C309" i="17"/>
  <c r="E195" i="17"/>
  <c r="C129" i="18"/>
  <c r="D211" i="17"/>
  <c r="E210" i="17"/>
  <c r="E309" i="17"/>
  <c r="D310" i="17"/>
  <c r="E209" i="17"/>
  <c r="F209" i="17" s="1"/>
  <c r="C324" i="17"/>
  <c r="C113" i="17"/>
  <c r="D176" i="17"/>
  <c r="D323" i="17" s="1"/>
  <c r="E175" i="17"/>
  <c r="F175" i="17" s="1"/>
  <c r="C322" i="17"/>
  <c r="E305" i="17"/>
  <c r="E84" i="18"/>
  <c r="D90" i="18"/>
  <c r="E90" i="18" s="1"/>
  <c r="E197" i="17"/>
  <c r="F50" i="17"/>
  <c r="C70" i="17"/>
  <c r="E174" i="17"/>
  <c r="F174" i="17" s="1"/>
  <c r="C128" i="18"/>
  <c r="D106" i="17"/>
  <c r="E106" i="17" s="1"/>
  <c r="F106" i="17" s="1"/>
  <c r="E105" i="17"/>
  <c r="F105" i="17" s="1"/>
  <c r="F210" i="17"/>
  <c r="C50" i="5"/>
  <c r="F43" i="5"/>
  <c r="E62" i="17"/>
  <c r="F62" i="17" s="1"/>
  <c r="D63" i="17"/>
  <c r="E63" i="17" s="1"/>
  <c r="F63" i="17" s="1"/>
  <c r="E50" i="17"/>
  <c r="F162" i="17"/>
  <c r="E95" i="18"/>
  <c r="D109" i="18"/>
  <c r="D122" i="18"/>
  <c r="D121" i="18"/>
  <c r="D113" i="18"/>
  <c r="E113" i="18" s="1"/>
  <c r="D110" i="18"/>
  <c r="D126" i="18"/>
  <c r="E126" i="18" s="1"/>
  <c r="D114" i="18"/>
  <c r="E114" i="18" s="1"/>
  <c r="E77" i="18"/>
  <c r="D124" i="18"/>
  <c r="E124" i="18" s="1"/>
  <c r="D115" i="18"/>
  <c r="E115" i="18" s="1"/>
  <c r="D111" i="18"/>
  <c r="E111" i="18" s="1"/>
  <c r="D127" i="18"/>
  <c r="E127" i="18" s="1"/>
  <c r="D123" i="18"/>
  <c r="E123" i="18" s="1"/>
  <c r="D112" i="18"/>
  <c r="E112" i="18" s="1"/>
  <c r="D125" i="18"/>
  <c r="E125" i="18" s="1"/>
  <c r="C148" i="17"/>
  <c r="C197" i="17"/>
  <c r="C269" i="18"/>
  <c r="C268" i="18"/>
  <c r="C271" i="18" s="1"/>
  <c r="D102" i="18"/>
  <c r="E102" i="18" s="1"/>
  <c r="E96" i="18"/>
  <c r="E258" i="18"/>
  <c r="D264" i="18"/>
  <c r="C116" i="18"/>
  <c r="E99" i="8"/>
  <c r="E101" i="8" s="1"/>
  <c r="E98" i="8" s="1"/>
  <c r="E22" i="8"/>
  <c r="E140" i="17"/>
  <c r="F140" i="17" s="1"/>
  <c r="D141" i="17"/>
  <c r="D322" i="17" l="1"/>
  <c r="E322" i="17" s="1"/>
  <c r="E141" i="17"/>
  <c r="F141" i="17" s="1"/>
  <c r="F176" i="17"/>
  <c r="C183" i="17"/>
  <c r="F322" i="17"/>
  <c r="F309" i="17"/>
  <c r="C310" i="17"/>
  <c r="E264" i="18"/>
  <c r="D266" i="18"/>
  <c r="F148" i="17"/>
  <c r="E50" i="5"/>
  <c r="F50" i="5" s="1"/>
  <c r="D103" i="18"/>
  <c r="E103" i="18" s="1"/>
  <c r="F70" i="17"/>
  <c r="C211" i="17"/>
  <c r="D312" i="17"/>
  <c r="E310" i="17"/>
  <c r="D116" i="18"/>
  <c r="E116" i="18" s="1"/>
  <c r="E110" i="18"/>
  <c r="D129" i="18"/>
  <c r="E129" i="18" s="1"/>
  <c r="E121" i="18"/>
  <c r="D148" i="17"/>
  <c r="E148" i="17" s="1"/>
  <c r="D324" i="17"/>
  <c r="F197" i="17"/>
  <c r="D128" i="18"/>
  <c r="E128" i="18" s="1"/>
  <c r="E122" i="18"/>
  <c r="D70" i="17"/>
  <c r="E70" i="17" s="1"/>
  <c r="D113" i="17"/>
  <c r="E113" i="17" s="1"/>
  <c r="F113" i="17" s="1"/>
  <c r="E176" i="17"/>
  <c r="C323" i="17"/>
  <c r="C325" i="17" s="1"/>
  <c r="E211" i="17"/>
  <c r="E109" i="18"/>
  <c r="D117" i="18"/>
  <c r="D91" i="18"/>
  <c r="E266" i="18" l="1"/>
  <c r="D267" i="18"/>
  <c r="E183" i="17"/>
  <c r="F183" i="17" s="1"/>
  <c r="F211" i="17"/>
  <c r="E323" i="17"/>
  <c r="D105" i="18"/>
  <c r="E105" i="18" s="1"/>
  <c r="E91" i="18"/>
  <c r="E117" i="18"/>
  <c r="D131" i="18"/>
  <c r="E131" i="18" s="1"/>
  <c r="F323" i="17"/>
  <c r="E324" i="17"/>
  <c r="F324" i="17" s="1"/>
  <c r="D325" i="17"/>
  <c r="E325" i="17" s="1"/>
  <c r="F325" i="17" s="1"/>
  <c r="D313" i="17"/>
  <c r="C312" i="17"/>
  <c r="F310" i="17"/>
  <c r="C313" i="17" l="1"/>
  <c r="D315" i="17"/>
  <c r="D314" i="17"/>
  <c r="E313" i="17"/>
  <c r="D251" i="17"/>
  <c r="D256" i="17"/>
  <c r="E312" i="17"/>
  <c r="F312" i="17" s="1"/>
  <c r="D269" i="18"/>
  <c r="E269" i="18" s="1"/>
  <c r="E267" i="18"/>
  <c r="D268" i="18"/>
  <c r="D257" i="17" l="1"/>
  <c r="C314" i="17"/>
  <c r="C251" i="17"/>
  <c r="C256" i="17"/>
  <c r="C315" i="17"/>
  <c r="F313" i="17"/>
  <c r="D318" i="17"/>
  <c r="D271" i="18"/>
  <c r="E271" i="18" s="1"/>
  <c r="E268" i="18"/>
  <c r="C257" i="17" l="1"/>
  <c r="C318" i="17"/>
  <c r="E314" i="17"/>
  <c r="F314" i="17" s="1"/>
  <c r="E315" i="17"/>
  <c r="F315" i="17" s="1"/>
  <c r="E251" i="17"/>
  <c r="F251" i="17" s="1"/>
  <c r="E256" i="17"/>
  <c r="F256" i="17" s="1"/>
  <c r="E257" i="17" l="1"/>
  <c r="F257" i="17" s="1"/>
  <c r="E318" i="17"/>
  <c r="F318" i="17" s="1"/>
</calcChain>
</file>

<file path=xl/sharedStrings.xml><?xml version="1.0" encoding="utf-8"?>
<sst xmlns="http://schemas.openxmlformats.org/spreadsheetml/2006/main" count="2335" uniqueCount="1010">
  <si>
    <t>LAWRENCE AND MEMORIAL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</si>
  <si>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</si>
  <si>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</si>
  <si>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</si>
  <si>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</si>
  <si>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</si>
  <si>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</si>
  <si>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</si>
  <si>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</si>
  <si>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</si>
  <si>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</si>
  <si>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</si>
  <si>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</si>
  <si>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</si>
  <si>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</si>
  <si>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</si>
  <si>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</si>
  <si>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</si>
  <si>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</si>
  <si>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</si>
  <si>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</si>
  <si>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</si>
  <si>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</si>
  <si>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</si>
  <si>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</si>
  <si>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</si>
  <si>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</si>
  <si>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</si>
  <si>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</si>
  <si>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</si>
  <si>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</si>
  <si>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</si>
  <si>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</si>
  <si>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</si>
  <si>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</si>
  <si>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</si>
  <si>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</si>
  <si>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</si>
  <si>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</si>
  <si>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</si>
  <si>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</si>
  <si>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</si>
  <si>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</si>
  <si>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</si>
  <si>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</si>
  <si>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</si>
  <si>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</si>
  <si>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</si>
  <si>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</si>
  <si>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</si>
  <si>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</si>
  <si>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</si>
  <si>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</si>
  <si>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</si>
  <si>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</si>
  <si>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</si>
  <si>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</si>
  <si>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</si>
  <si>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</si>
  <si>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</si>
  <si>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</si>
  <si>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</si>
  <si>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</si>
  <si>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</si>
  <si>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</si>
  <si>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</si>
  <si>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</si>
  <si>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</si>
  <si>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</si>
  <si>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</si>
  <si>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</si>
  <si>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</si>
  <si>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</si>
  <si>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</si>
  <si>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</si>
  <si>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</si>
  <si>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</si>
  <si>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</si>
  <si>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</si>
  <si>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</si>
  <si>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</si>
  <si>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</si>
  <si>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</si>
  <si>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</si>
  <si>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</si>
  <si>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</si>
  <si>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</si>
  <si>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</si>
  <si>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</si>
  <si>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</si>
  <si>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</si>
  <si>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</si>
  <si>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</si>
  <si>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</si>
  <si>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</si>
  <si>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</si>
  <si>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</si>
  <si>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</si>
  <si>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</si>
  <si>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</si>
  <si>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</si>
  <si>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</si>
  <si>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</si>
  <si>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</si>
  <si>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</si>
  <si>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</si>
  <si>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</si>
  <si>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</si>
  <si>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</si>
  <si>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</si>
  <si>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</si>
  <si>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</si>
  <si>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</si>
  <si>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</si>
  <si>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</si>
  <si>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</si>
  <si>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</si>
  <si>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</si>
  <si>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</si>
  <si>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</si>
  <si>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</si>
  <si>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</si>
  <si>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</si>
  <si>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</si>
  <si>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</si>
  <si>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</si>
  <si>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</si>
  <si>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</si>
  <si>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</si>
  <si>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</si>
  <si>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</si>
  <si>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</si>
  <si>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</si>
  <si>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</si>
  <si>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</si>
  <si>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</si>
  <si>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</si>
  <si>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</si>
  <si>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</si>
  <si>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</si>
  <si>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</si>
  <si>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</si>
  <si>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</si>
  <si>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</si>
  <si>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</si>
  <si>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</si>
  <si>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</si>
  <si>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</si>
  <si>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</si>
  <si>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</si>
  <si>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</si>
  <si>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</si>
  <si>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</si>
  <si>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</si>
  <si>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</si>
  <si>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</si>
  <si>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</si>
  <si>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</si>
  <si>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</si>
  <si>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</si>
  <si>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</si>
  <si>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</si>
  <si>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</si>
  <si>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</si>
  <si>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</si>
  <si>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</si>
  <si>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</si>
  <si>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</si>
  <si>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</si>
  <si>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</si>
  <si>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</si>
  <si>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</si>
  <si>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</si>
  <si>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</si>
  <si>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</si>
  <si>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</si>
  <si>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</si>
  <si>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</si>
  <si>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</si>
  <si>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</si>
  <si>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</si>
  <si>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</si>
  <si>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</si>
  <si>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</si>
  <si>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</si>
  <si>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</si>
  <si>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</si>
  <si>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</si>
  <si>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</si>
  <si>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</si>
  <si>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</si>
  <si>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</si>
  <si>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</si>
  <si>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</si>
  <si>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</si>
  <si>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</si>
  <si>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</si>
  <si>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</si>
  <si>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</si>
  <si>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</si>
  <si>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</si>
  <si>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</si>
  <si>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</si>
  <si>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</si>
  <si>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</si>
  <si>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</si>
  <si>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</si>
  <si>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</si>
  <si>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</si>
  <si>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</si>
  <si>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</si>
  <si>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</si>
  <si>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</si>
  <si>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</si>
  <si>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</si>
  <si>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</si>
  <si>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</si>
  <si>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</si>
  <si>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</si>
  <si>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</si>
  <si>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</si>
  <si>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</si>
  <si>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</si>
  <si>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</si>
  <si>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</si>
  <si>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</si>
  <si>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</si>
  <si>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</si>
  <si>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</si>
  <si>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</si>
  <si>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</si>
  <si>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</si>
  <si>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</si>
  <si>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</si>
  <si>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</si>
  <si>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</si>
  <si>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</si>
  <si>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</si>
  <si>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</si>
  <si>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</si>
  <si>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</si>
  <si>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</si>
  <si>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</si>
  <si>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</si>
  <si>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</si>
  <si>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</si>
  <si>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</si>
  <si>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</si>
  <si>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</si>
  <si>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</si>
  <si>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</si>
  <si>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</si>
  <si>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</si>
  <si>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</si>
  <si>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</si>
  <si>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</si>
  <si>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</si>
  <si>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</si>
  <si>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</si>
  <si>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</si>
  <si>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</si>
  <si>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</si>
  <si>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</si>
  <si>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</si>
  <si>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</si>
  <si>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</si>
  <si>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</si>
  <si>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</si>
  <si>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</si>
  <si>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</si>
  <si>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</si>
  <si>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</si>
  <si>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</si>
  <si>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</si>
  <si>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</si>
  <si>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</si>
  <si>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</si>
  <si>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</si>
  <si>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</si>
  <si>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</si>
  <si>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</si>
  <si>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</si>
  <si>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</si>
  <si>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</si>
  <si>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</si>
  <si>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</si>
  <si>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</si>
  <si>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</si>
  <si>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</si>
  <si>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</si>
  <si>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</si>
  <si>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</si>
  <si>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</si>
  <si>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</si>
  <si>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</si>
  <si>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</si>
  <si>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</si>
  <si>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</si>
  <si>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</si>
  <si>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</si>
  <si>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</si>
  <si>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</si>
  <si>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</si>
  <si>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</si>
  <si>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</si>
  <si>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</si>
  <si>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</si>
  <si>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</si>
  <si>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</si>
  <si>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</si>
  <si>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</si>
  <si>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</si>
  <si>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</si>
  <si>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</si>
  <si>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</si>
  <si>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</si>
  <si>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</si>
  <si>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</si>
  <si>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</si>
  <si>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</si>
  <si>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</si>
  <si>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</si>
  <si>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</si>
  <si>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</si>
  <si>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</si>
  <si>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</si>
  <si>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</si>
  <si>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</si>
  <si>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</si>
  <si>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</si>
  <si>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</si>
  <si>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</si>
  <si>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</si>
  <si>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</si>
  <si>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</si>
  <si>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</si>
  <si>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</si>
  <si>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</si>
  <si>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</si>
  <si>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</si>
  <si>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</si>
  <si>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</si>
  <si>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</si>
  <si>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</si>
  <si>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</si>
  <si>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</si>
  <si>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</si>
  <si>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</si>
  <si>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</si>
  <si>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</si>
  <si>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</si>
  <si>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</si>
  <si>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</si>
  <si>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</si>
  <si>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</si>
  <si>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</si>
  <si>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</si>
  <si>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</si>
  <si>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</si>
  <si>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</si>
  <si>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</si>
  <si>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</si>
  <si>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</si>
  <si>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</si>
  <si>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</si>
  <si>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</si>
  <si>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</si>
  <si>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</si>
  <si>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</si>
  <si>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</si>
  <si>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</si>
  <si>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</si>
  <si>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</si>
  <si>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</si>
  <si>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</si>
  <si>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</si>
  <si>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</si>
  <si>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</si>
  <si>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</si>
  <si>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</si>
  <si>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</si>
  <si>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</si>
  <si>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</si>
  <si>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</si>
  <si>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</si>
  <si>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</si>
  <si>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</si>
  <si>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</si>
  <si>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</si>
  <si>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</si>
  <si>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</si>
  <si>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</si>
  <si>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</si>
  <si>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</si>
  <si>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</si>
  <si>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</si>
  <si>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</si>
  <si>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</si>
  <si>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</si>
  <si>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</si>
  <si>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</si>
  <si>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</si>
  <si>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</si>
  <si>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</si>
  <si>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</si>
  <si>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</si>
  <si>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</si>
  <si>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</si>
  <si>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</si>
  <si>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</si>
  <si>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</si>
  <si>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</si>
  <si>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</si>
  <si>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</si>
  <si>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</si>
  <si>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</si>
  <si>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</si>
  <si>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</si>
  <si>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</si>
  <si>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</si>
  <si>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</si>
  <si>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</si>
  <si>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</si>
  <si>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</si>
  <si>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</si>
  <si>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</si>
  <si>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</si>
  <si>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</si>
  <si>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</si>
  <si>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</si>
  <si>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</si>
  <si>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</si>
  <si>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</si>
  <si>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</si>
  <si>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</si>
  <si>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</si>
  <si>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</si>
  <si>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</si>
  <si>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</si>
  <si>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</si>
  <si>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</si>
  <si>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</si>
  <si>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</si>
  <si>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</si>
  <si>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</si>
  <si>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</si>
  <si>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</si>
  <si>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</si>
  <si>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</si>
  <si>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</si>
  <si>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</si>
  <si>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</si>
  <si>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</si>
  <si>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</si>
  <si>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</si>
  <si>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</si>
  <si>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</si>
  <si>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</si>
  <si>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</si>
  <si>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</si>
  <si>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</si>
  <si>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</si>
  <si>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</si>
  <si>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</si>
  <si>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</si>
  <si>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</si>
  <si>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</si>
  <si>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</si>
  <si>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</si>
  <si>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</si>
  <si>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</si>
  <si>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</si>
  <si>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</si>
  <si>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</si>
  <si>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</si>
  <si>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</si>
  <si>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</si>
  <si>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</si>
  <si>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</si>
  <si>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</si>
  <si>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</si>
  <si>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</si>
  <si>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</si>
  <si>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</si>
  <si>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</si>
  <si>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</si>
  <si>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</si>
  <si>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</si>
  <si>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</si>
  <si>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</si>
  <si>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</si>
  <si>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</si>
  <si>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</si>
  <si>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</si>
  <si>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</si>
  <si>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</si>
  <si>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</si>
  <si>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</si>
  <si>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</si>
  <si>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</si>
  <si>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LAWRENCE +MEMORIAL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</si>
  <si>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</si>
  <si>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</si>
  <si>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</si>
  <si>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</si>
  <si>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</si>
  <si>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</si>
  <si>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</si>
  <si>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</si>
  <si>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</si>
  <si>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</si>
  <si>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</si>
  <si>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</si>
  <si>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</si>
  <si>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</si>
  <si>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</si>
  <si>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</si>
  <si>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</si>
  <si>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</si>
  <si>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</si>
  <si>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</si>
  <si>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</si>
  <si>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</si>
  <si>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</si>
  <si>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</si>
  <si>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</si>
  <si>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</si>
  <si>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</si>
  <si>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</si>
  <si>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</si>
  <si>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</si>
  <si>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</si>
  <si>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</si>
  <si>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</si>
  <si>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</si>
  <si>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</si>
  <si>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</si>
  <si>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</si>
  <si>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</si>
  <si>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</si>
  <si>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</si>
  <si>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</si>
  <si>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</si>
  <si>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</si>
  <si>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</si>
  <si>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</si>
  <si>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</si>
  <si>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</si>
  <si>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</si>
  <si>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</si>
  <si>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</si>
  <si>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</si>
  <si>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</si>
  <si>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</si>
  <si>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</si>
  <si>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</si>
  <si>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</si>
  <si>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</si>
  <si>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</si>
  <si>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</si>
  <si>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</si>
  <si>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</si>
  <si>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</si>
  <si>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</si>
  <si>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</si>
  <si>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</si>
  <si>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</si>
  <si>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</si>
  <si>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</si>
  <si>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</si>
  <si>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</si>
  <si>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</si>
  <si>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</si>
  <si>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</si>
  <si>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</si>
  <si>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</si>
  <si>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</si>
  <si>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</si>
  <si>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</si>
  <si>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</si>
  <si>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</si>
  <si>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</si>
  <si>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</si>
  <si>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</si>
  <si>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</si>
  <si>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</si>
  <si>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</si>
  <si>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</si>
  <si>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</si>
  <si>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</si>
  <si>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</si>
  <si>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</si>
  <si>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</si>
  <si>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</si>
  <si>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</si>
  <si>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</si>
  <si>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</si>
  <si>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</si>
  <si>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</si>
  <si>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</si>
  <si>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</si>
  <si>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</si>
  <si>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</si>
  <si>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</si>
  <si>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</si>
  <si>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</si>
  <si>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</si>
  <si>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</si>
  <si>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</si>
  <si>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</si>
  <si>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</si>
  <si>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</si>
  <si>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</si>
  <si>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</si>
  <si>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</si>
  <si>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</si>
  <si>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</si>
  <si>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</si>
  <si>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</si>
  <si>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</si>
  <si>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</si>
  <si>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L&amp;M 365 Montauk Hospital</t>
  </si>
  <si>
    <t>Pequot Health Center Groton</t>
  </si>
  <si>
    <t>Total Outpatient Surgical Procedures(A)</t>
  </si>
  <si>
    <t>L&amp;M 365 Montauk Ave Hospital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</si>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</sst>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6917676</v>
      </c>
      <c r="D13" s="22">
        <v>13348901</v>
      </c>
      <c r="E13" s="22">
        <f t="shared" ref="E13:E22" si="0">D13-C13</f>
        <v>6431225</v>
      </c>
      <c r="F13" s="23">
        <f t="shared" ref="F13:F22" si="1">IF(C13=0,0,E13/C13)</f>
        <v>0.92967999657688505</v>
      </c>
    </row>
    <row r="14" spans="1:8" ht="24" customHeight="1" x14ac:dyDescent="0.2">
      <c r="A14" s="20">
        <v>2</v>
      </c>
      <c r="B14" s="21" t="s">
        <v>17</v>
      </c>
      <c r="C14" s="22">
        <v>128450331</v>
      </c>
      <c r="D14" s="22">
        <v>107365636</v>
      </c>
      <c r="E14" s="22">
        <f t="shared" si="0"/>
        <v>-21084695</v>
      </c>
      <c r="F14" s="23">
        <f t="shared" si="1"/>
        <v>-0.16414667705293806</v>
      </c>
    </row>
    <row r="15" spans="1:8" ht="24" customHeight="1" x14ac:dyDescent="0.2">
      <c r="A15" s="20">
        <v>3</v>
      </c>
      <c r="B15" s="21" t="s">
        <v>18</v>
      </c>
      <c r="C15" s="22">
        <v>36289187</v>
      </c>
      <c r="D15" s="22">
        <v>37925784</v>
      </c>
      <c r="E15" s="22">
        <f t="shared" si="0"/>
        <v>1636597</v>
      </c>
      <c r="F15" s="23">
        <f t="shared" si="1"/>
        <v>4.5098750765620622E-2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2064619</v>
      </c>
      <c r="D17" s="22">
        <v>2065142</v>
      </c>
      <c r="E17" s="22">
        <f t="shared" si="0"/>
        <v>523</v>
      </c>
      <c r="F17" s="23">
        <f t="shared" si="1"/>
        <v>2.5331550276346389E-4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6580753</v>
      </c>
      <c r="D19" s="22">
        <v>6194355</v>
      </c>
      <c r="E19" s="22">
        <f t="shared" si="0"/>
        <v>-386398</v>
      </c>
      <c r="F19" s="23">
        <f t="shared" si="1"/>
        <v>-5.8716380936953569E-2</v>
      </c>
    </row>
    <row r="20" spans="1:11" ht="24" customHeight="1" x14ac:dyDescent="0.2">
      <c r="A20" s="20">
        <v>8</v>
      </c>
      <c r="B20" s="21" t="s">
        <v>23</v>
      </c>
      <c r="C20" s="22">
        <v>2689506</v>
      </c>
      <c r="D20" s="22">
        <v>3125348</v>
      </c>
      <c r="E20" s="22">
        <f t="shared" si="0"/>
        <v>435842</v>
      </c>
      <c r="F20" s="23">
        <f t="shared" si="1"/>
        <v>0.16205280821087589</v>
      </c>
    </row>
    <row r="21" spans="1:11" ht="24" customHeight="1" x14ac:dyDescent="0.2">
      <c r="A21" s="20">
        <v>9</v>
      </c>
      <c r="B21" s="21" t="s">
        <v>24</v>
      </c>
      <c r="C21" s="22">
        <v>5460822</v>
      </c>
      <c r="D21" s="22">
        <v>5435867</v>
      </c>
      <c r="E21" s="22">
        <f t="shared" si="0"/>
        <v>-24955</v>
      </c>
      <c r="F21" s="23">
        <f t="shared" si="1"/>
        <v>-4.5698248358946696E-3</v>
      </c>
    </row>
    <row r="22" spans="1:11" ht="24" customHeight="1" x14ac:dyDescent="0.25">
      <c r="A22" s="24"/>
      <c r="B22" s="25" t="s">
        <v>25</v>
      </c>
      <c r="C22" s="26">
        <f>SUM(C13:C21)</f>
        <v>188452894</v>
      </c>
      <c r="D22" s="26">
        <f>SUM(D13:D21)</f>
        <v>175461033</v>
      </c>
      <c r="E22" s="26">
        <f t="shared" si="0"/>
        <v>-12991861</v>
      </c>
      <c r="F22" s="27">
        <f t="shared" si="1"/>
        <v>-6.8939567465596999E-2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925227</v>
      </c>
      <c r="D25" s="22">
        <v>926080</v>
      </c>
      <c r="E25" s="22">
        <f>D25-C25</f>
        <v>853</v>
      </c>
      <c r="F25" s="23">
        <f>IF(C25=0,0,E25/C25)</f>
        <v>9.2193591410540327E-4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561676</v>
      </c>
      <c r="D26" s="22">
        <v>0</v>
      </c>
      <c r="E26" s="22">
        <f>D26-C26</f>
        <v>-561676</v>
      </c>
      <c r="F26" s="23">
        <f>IF(C26=0,0,E26/C26)</f>
        <v>-1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26176209</v>
      </c>
      <c r="D28" s="22">
        <v>21590850</v>
      </c>
      <c r="E28" s="22">
        <f>D28-C28</f>
        <v>-4585359</v>
      </c>
      <c r="F28" s="23">
        <f>IF(C28=0,0,E28/C28)</f>
        <v>-0.17517276852427333</v>
      </c>
    </row>
    <row r="29" spans="1:11" ht="24" customHeight="1" x14ac:dyDescent="0.25">
      <c r="A29" s="24"/>
      <c r="B29" s="25" t="s">
        <v>32</v>
      </c>
      <c r="C29" s="26">
        <f>SUM(C25:C28)</f>
        <v>27663112</v>
      </c>
      <c r="D29" s="26">
        <f>SUM(D25:D28)</f>
        <v>22516930</v>
      </c>
      <c r="E29" s="26">
        <f>D29-C29</f>
        <v>-5146182</v>
      </c>
      <c r="F29" s="27">
        <f>IF(C29=0,0,E29/C29)</f>
        <v>-0.18603047986791943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18852471</v>
      </c>
      <c r="D33" s="22">
        <v>21783378</v>
      </c>
      <c r="E33" s="22">
        <f>D33-C33</f>
        <v>2930907</v>
      </c>
      <c r="F33" s="23">
        <f>IF(C33=0,0,E33/C33)</f>
        <v>0.15546540291720909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424781064</v>
      </c>
      <c r="D36" s="22">
        <v>432048550</v>
      </c>
      <c r="E36" s="22">
        <f>D36-C36</f>
        <v>7267486</v>
      </c>
      <c r="F36" s="23">
        <f>IF(C36=0,0,E36/C36)</f>
        <v>1.7108780536412987E-2</v>
      </c>
    </row>
    <row r="37" spans="1:8" ht="24" customHeight="1" x14ac:dyDescent="0.2">
      <c r="A37" s="20">
        <v>2</v>
      </c>
      <c r="B37" s="21" t="s">
        <v>39</v>
      </c>
      <c r="C37" s="22">
        <v>265615131</v>
      </c>
      <c r="D37" s="22">
        <v>283857350</v>
      </c>
      <c r="E37" s="22">
        <f>D37-C37</f>
        <v>18242219</v>
      </c>
      <c r="F37" s="23">
        <f>IF(C37=0,0,E37/C37)</f>
        <v>6.8679140873190686E-2</v>
      </c>
    </row>
    <row r="38" spans="1:8" ht="24" customHeight="1" x14ac:dyDescent="0.25">
      <c r="A38" s="24"/>
      <c r="B38" s="25" t="s">
        <v>40</v>
      </c>
      <c r="C38" s="26">
        <f>C36-C37</f>
        <v>159165933</v>
      </c>
      <c r="D38" s="26">
        <f>D36-D37</f>
        <v>148191200</v>
      </c>
      <c r="E38" s="26">
        <f>D38-C38</f>
        <v>-10974733</v>
      </c>
      <c r="F38" s="27">
        <f>IF(C38=0,0,E38/C38)</f>
        <v>-6.8951519921037374E-2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1691863</v>
      </c>
      <c r="D40" s="22">
        <v>2785773</v>
      </c>
      <c r="E40" s="22">
        <f>D40-C40</f>
        <v>1093910</v>
      </c>
      <c r="F40" s="23">
        <f>IF(C40=0,0,E40/C40)</f>
        <v>0.64657126493102579</v>
      </c>
    </row>
    <row r="41" spans="1:8" ht="24" customHeight="1" x14ac:dyDescent="0.25">
      <c r="A41" s="24"/>
      <c r="B41" s="25" t="s">
        <v>42</v>
      </c>
      <c r="C41" s="26">
        <f>+C38+C40</f>
        <v>160857796</v>
      </c>
      <c r="D41" s="26">
        <f>+D38+D40</f>
        <v>150976973</v>
      </c>
      <c r="E41" s="26">
        <f>D41-C41</f>
        <v>-9880823</v>
      </c>
      <c r="F41" s="27">
        <f>IF(C41=0,0,E41/C41)</f>
        <v>-6.142582607559785E-2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395826273</v>
      </c>
      <c r="D43" s="26">
        <f>D22+D29+D31+D32+D33+D41</f>
        <v>370738314</v>
      </c>
      <c r="E43" s="26">
        <f>D43-C43</f>
        <v>-25087959</v>
      </c>
      <c r="F43" s="27">
        <f>IF(C43=0,0,E43/C43)</f>
        <v>-6.3381237455149925E-2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36760174</v>
      </c>
      <c r="D49" s="22">
        <v>43009002</v>
      </c>
      <c r="E49" s="22">
        <f t="shared" ref="E49:E56" si="2">D49-C49</f>
        <v>6248828</v>
      </c>
      <c r="F49" s="23">
        <f t="shared" ref="F49:F56" si="3">IF(C49=0,0,E49/C49)</f>
        <v>0.16998907567738933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5728350</v>
      </c>
      <c r="D50" s="22">
        <v>4908525</v>
      </c>
      <c r="E50" s="22">
        <f t="shared" si="2"/>
        <v>-819825</v>
      </c>
      <c r="F50" s="23">
        <f t="shared" si="3"/>
        <v>-0.14311712796878681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5165225</v>
      </c>
      <c r="D51" s="22">
        <v>6711203</v>
      </c>
      <c r="E51" s="22">
        <f t="shared" si="2"/>
        <v>1545978</v>
      </c>
      <c r="F51" s="23">
        <f t="shared" si="3"/>
        <v>0.29930506415499808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2215430</v>
      </c>
      <c r="D52" s="22">
        <v>2512703</v>
      </c>
      <c r="E52" s="22">
        <f t="shared" si="2"/>
        <v>297273</v>
      </c>
      <c r="F52" s="23">
        <f t="shared" si="3"/>
        <v>0.13418298027922346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5342305</v>
      </c>
      <c r="D53" s="22">
        <v>5495740</v>
      </c>
      <c r="E53" s="22">
        <f t="shared" si="2"/>
        <v>153435</v>
      </c>
      <c r="F53" s="23">
        <f t="shared" si="3"/>
        <v>2.8720748815352175E-2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55211484</v>
      </c>
      <c r="D56" s="26">
        <f>SUM(D49:D55)</f>
        <v>62637173</v>
      </c>
      <c r="E56" s="26">
        <f t="shared" si="2"/>
        <v>7425689</v>
      </c>
      <c r="F56" s="27">
        <f t="shared" si="3"/>
        <v>0.13449537056457311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108587802</v>
      </c>
      <c r="D59" s="22">
        <v>102938747</v>
      </c>
      <c r="E59" s="22">
        <f>D59-C59</f>
        <v>-5649055</v>
      </c>
      <c r="F59" s="23">
        <f>IF(C59=0,0,E59/C59)</f>
        <v>-5.2022924269155023E-2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108587802</v>
      </c>
      <c r="D61" s="26">
        <f>SUM(D59:D60)</f>
        <v>102938747</v>
      </c>
      <c r="E61" s="26">
        <f>D61-C61</f>
        <v>-5649055</v>
      </c>
      <c r="F61" s="27">
        <f>IF(C61=0,0,E61/C61)</f>
        <v>-5.2022924269155023E-2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43216010</v>
      </c>
      <c r="D63" s="22">
        <v>52989394</v>
      </c>
      <c r="E63" s="22">
        <f>D63-C63</f>
        <v>9773384</v>
      </c>
      <c r="F63" s="23">
        <f>IF(C63=0,0,E63/C63)</f>
        <v>0.22615192841726944</v>
      </c>
    </row>
    <row r="64" spans="1:6" ht="24" customHeight="1" x14ac:dyDescent="0.2">
      <c r="A64" s="20">
        <v>4</v>
      </c>
      <c r="B64" s="21" t="s">
        <v>60</v>
      </c>
      <c r="C64" s="22">
        <v>20601530</v>
      </c>
      <c r="D64" s="22">
        <v>23691278</v>
      </c>
      <c r="E64" s="22">
        <f>D64-C64</f>
        <v>3089748</v>
      </c>
      <c r="F64" s="23">
        <f>IF(C64=0,0,E64/C64)</f>
        <v>0.14997662794947753</v>
      </c>
    </row>
    <row r="65" spans="1:6" ht="24" customHeight="1" x14ac:dyDescent="0.25">
      <c r="A65" s="24"/>
      <c r="B65" s="25" t="s">
        <v>61</v>
      </c>
      <c r="C65" s="26">
        <f>SUM(C61:C64)</f>
        <v>172405342</v>
      </c>
      <c r="D65" s="26">
        <f>SUM(D61:D64)</f>
        <v>179619419</v>
      </c>
      <c r="E65" s="26">
        <f>D65-C65</f>
        <v>7214077</v>
      </c>
      <c r="F65" s="27">
        <f>IF(C65=0,0,E65/C65)</f>
        <v>4.1843697627420386E-2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138729444</v>
      </c>
      <c r="D70" s="22">
        <v>103558083</v>
      </c>
      <c r="E70" s="22">
        <f>D70-C70</f>
        <v>-35171361</v>
      </c>
      <c r="F70" s="23">
        <f>IF(C70=0,0,E70/C70)</f>
        <v>-0.25352484653510182</v>
      </c>
    </row>
    <row r="71" spans="1:6" ht="24" customHeight="1" x14ac:dyDescent="0.2">
      <c r="A71" s="20">
        <v>2</v>
      </c>
      <c r="B71" s="21" t="s">
        <v>65</v>
      </c>
      <c r="C71" s="22">
        <v>23432028</v>
      </c>
      <c r="D71" s="22">
        <v>18960042</v>
      </c>
      <c r="E71" s="22">
        <f>D71-C71</f>
        <v>-4471986</v>
      </c>
      <c r="F71" s="23">
        <f>IF(C71=0,0,E71/C71)</f>
        <v>-0.19084929396636091</v>
      </c>
    </row>
    <row r="72" spans="1:6" ht="24" customHeight="1" x14ac:dyDescent="0.2">
      <c r="A72" s="20">
        <v>3</v>
      </c>
      <c r="B72" s="21" t="s">
        <v>66</v>
      </c>
      <c r="C72" s="22">
        <v>6047975</v>
      </c>
      <c r="D72" s="22">
        <v>5963597</v>
      </c>
      <c r="E72" s="22">
        <f>D72-C72</f>
        <v>-84378</v>
      </c>
      <c r="F72" s="23">
        <f>IF(C72=0,0,E72/C72)</f>
        <v>-1.3951446558558856E-2</v>
      </c>
    </row>
    <row r="73" spans="1:6" ht="24" customHeight="1" x14ac:dyDescent="0.25">
      <c r="A73" s="20"/>
      <c r="B73" s="25" t="s">
        <v>67</v>
      </c>
      <c r="C73" s="26">
        <f>SUM(C70:C72)</f>
        <v>168209447</v>
      </c>
      <c r="D73" s="26">
        <f>SUM(D70:D72)</f>
        <v>128481722</v>
      </c>
      <c r="E73" s="26">
        <f>D73-C73</f>
        <v>-39727725</v>
      </c>
      <c r="F73" s="27">
        <f>IF(C73=0,0,E73/C73)</f>
        <v>-0.23618010586527877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395826273</v>
      </c>
      <c r="D75" s="26">
        <f>D56+D65+D67+D73</f>
        <v>370738314</v>
      </c>
      <c r="E75" s="26">
        <f>D75-C75</f>
        <v>-25087959</v>
      </c>
      <c r="F75" s="27">
        <f>IF(C75=0,0,E75/C75)</f>
        <v>-6.3381237455149925E-2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358189769</v>
      </c>
      <c r="D11" s="76">
        <v>433230714</v>
      </c>
      <c r="E11" s="76">
        <v>438782073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22197644</v>
      </c>
      <c r="D12" s="185">
        <v>21671490</v>
      </c>
      <c r="E12" s="185">
        <v>21207462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380387413</v>
      </c>
      <c r="D13" s="76">
        <f>+D11+D12</f>
        <v>454902204</v>
      </c>
      <c r="E13" s="76">
        <f>+E11+E12</f>
        <v>459989535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387805077</v>
      </c>
      <c r="D14" s="185">
        <v>473587676</v>
      </c>
      <c r="E14" s="185">
        <v>470286422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-7417664</v>
      </c>
      <c r="D15" s="76">
        <f>+D13-D14</f>
        <v>-18685472</v>
      </c>
      <c r="E15" s="76">
        <f>+E13-E14</f>
        <v>-10296887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9671018</v>
      </c>
      <c r="D16" s="185">
        <v>15297404</v>
      </c>
      <c r="E16" s="185">
        <v>11832973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2253354</v>
      </c>
      <c r="D17" s="76">
        <f>D15+D16</f>
        <v>-3388068</v>
      </c>
      <c r="E17" s="76">
        <f>E15+E16</f>
        <v>1536086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-1.9016802126243491E-2</v>
      </c>
      <c r="D20" s="189">
        <f>IF(+D27=0,0,+D24/+D27)</f>
        <v>-3.9739446146029117E-2</v>
      </c>
      <c r="E20" s="189">
        <f>IF(+E27=0,0,+E24/+E27)</f>
        <v>-2.1823645174638424E-2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2.479376737276575E-2</v>
      </c>
      <c r="D21" s="189">
        <f>IF(+D27=0,0,+D26/+D27)</f>
        <v>3.2533851027795838E-2</v>
      </c>
      <c r="E21" s="189">
        <f>IF(+E27=0,0,+E26/+E27)</f>
        <v>2.5079288926165431E-2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5.7769652465222577E-3</v>
      </c>
      <c r="D22" s="189">
        <f>IF(+D27=0,0,+D28/+D27)</f>
        <v>-7.205595118233276E-3</v>
      </c>
      <c r="E22" s="189">
        <f>IF(+E27=0,0,+E28/+E27)</f>
        <v>3.2556437515270042E-3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-7417664</v>
      </c>
      <c r="D24" s="76">
        <f>+D15</f>
        <v>-18685472</v>
      </c>
      <c r="E24" s="76">
        <f>+E15</f>
        <v>-10296887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380387413</v>
      </c>
      <c r="D25" s="76">
        <f>+D13</f>
        <v>454902204</v>
      </c>
      <c r="E25" s="76">
        <f>+E13</f>
        <v>459989535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9671018</v>
      </c>
      <c r="D26" s="76">
        <f>+D16</f>
        <v>15297404</v>
      </c>
      <c r="E26" s="76">
        <f>+E16</f>
        <v>11832973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390058431</v>
      </c>
      <c r="D27" s="76">
        <f>SUM(D25:D26)</f>
        <v>470199608</v>
      </c>
      <c r="E27" s="76">
        <f>SUM(E25:E26)</f>
        <v>471822508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2253354</v>
      </c>
      <c r="D28" s="76">
        <f>+D17</f>
        <v>-3388068</v>
      </c>
      <c r="E28" s="76">
        <f>+E17</f>
        <v>1536086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246531146</v>
      </c>
      <c r="D31" s="76">
        <v>241902500</v>
      </c>
      <c r="E31" s="76">
        <v>208910764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285975606</v>
      </c>
      <c r="D32" s="76">
        <v>282377005</v>
      </c>
      <c r="E32" s="76">
        <v>244531317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32866192</v>
      </c>
      <c r="D33" s="76">
        <f>+D32-C32</f>
        <v>-3598601</v>
      </c>
      <c r="E33" s="76">
        <f>+E32-D32</f>
        <v>-37845688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1.1297999999999999</v>
      </c>
      <c r="D34" s="193">
        <f>IF(C32=0,0,+D33/C32)</f>
        <v>-1.2583594280415653E-2</v>
      </c>
      <c r="E34" s="193">
        <f>IF(D32=0,0,+E33/D32)</f>
        <v>-0.13402538921326118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3.1619866162266455</v>
      </c>
      <c r="D38" s="338">
        <f>IF(+D40=0,0,+D39/+D40)</f>
        <v>3.5333922495585575</v>
      </c>
      <c r="E38" s="338">
        <f>IF(+E40=0,0,+E39/+E40)</f>
        <v>3.4268680182797122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254969020</v>
      </c>
      <c r="D39" s="341">
        <v>267628231</v>
      </c>
      <c r="E39" s="341">
        <v>256360011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80635705</v>
      </c>
      <c r="D40" s="341">
        <v>75742576</v>
      </c>
      <c r="E40" s="341">
        <v>74808837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192.98768510676484</v>
      </c>
      <c r="D42" s="343">
        <f>IF((D48/365)=0,0,+D45/(D48/365))</f>
        <v>164.37904331240418</v>
      </c>
      <c r="E42" s="343">
        <f>IF((E48/365)=0,0,+E45/(E48/365))</f>
        <v>154.27881346200127</v>
      </c>
    </row>
    <row r="43" spans="1:14" ht="24" customHeight="1" x14ac:dyDescent="0.2">
      <c r="A43" s="339">
        <v>5</v>
      </c>
      <c r="B43" s="344" t="s">
        <v>16</v>
      </c>
      <c r="C43" s="345">
        <v>11532247</v>
      </c>
      <c r="D43" s="345">
        <v>16480529</v>
      </c>
      <c r="E43" s="345">
        <v>24264612</v>
      </c>
    </row>
    <row r="44" spans="1:14" ht="24" customHeight="1" x14ac:dyDescent="0.2">
      <c r="A44" s="339">
        <v>6</v>
      </c>
      <c r="B44" s="346" t="s">
        <v>17</v>
      </c>
      <c r="C44" s="345">
        <v>181339986</v>
      </c>
      <c r="D44" s="345">
        <v>184426039</v>
      </c>
      <c r="E44" s="345">
        <v>162278643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192872233</v>
      </c>
      <c r="D45" s="341">
        <f>+D43+D44</f>
        <v>200906568</v>
      </c>
      <c r="E45" s="341">
        <f>+E43+E44</f>
        <v>186543255</v>
      </c>
    </row>
    <row r="46" spans="1:14" ht="24" customHeight="1" x14ac:dyDescent="0.2">
      <c r="A46" s="339">
        <v>8</v>
      </c>
      <c r="B46" s="340" t="s">
        <v>334</v>
      </c>
      <c r="C46" s="341">
        <f>+C14</f>
        <v>387805077</v>
      </c>
      <c r="D46" s="341">
        <f>+D14</f>
        <v>473587676</v>
      </c>
      <c r="E46" s="341">
        <f>+E14</f>
        <v>470286422</v>
      </c>
    </row>
    <row r="47" spans="1:14" ht="24" customHeight="1" x14ac:dyDescent="0.2">
      <c r="A47" s="339">
        <v>9</v>
      </c>
      <c r="B47" s="340" t="s">
        <v>356</v>
      </c>
      <c r="C47" s="341">
        <v>23023433</v>
      </c>
      <c r="D47" s="341">
        <v>27479122</v>
      </c>
      <c r="E47" s="341">
        <v>28953704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364781644</v>
      </c>
      <c r="D48" s="341">
        <f>+D46-D47</f>
        <v>446108554</v>
      </c>
      <c r="E48" s="341">
        <f>+E46-E47</f>
        <v>441332718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39.272220656308029</v>
      </c>
      <c r="D50" s="350">
        <f>IF((D55/365)=0,0,+D54/(D55/365))</f>
        <v>33.889856721931309</v>
      </c>
      <c r="E50" s="350">
        <f>IF((E55/365)=0,0,+E54/(E55/365))</f>
        <v>35.183634359647144</v>
      </c>
    </row>
    <row r="51" spans="1:5" ht="24" customHeight="1" x14ac:dyDescent="0.2">
      <c r="A51" s="339">
        <v>12</v>
      </c>
      <c r="B51" s="344" t="s">
        <v>359</v>
      </c>
      <c r="C51" s="351">
        <v>44410454</v>
      </c>
      <c r="D51" s="351">
        <v>47482954</v>
      </c>
      <c r="E51" s="351">
        <v>50471594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5870981</v>
      </c>
      <c r="D53" s="341">
        <v>7257949</v>
      </c>
      <c r="E53" s="341">
        <v>8175846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38539473</v>
      </c>
      <c r="D54" s="352">
        <f>+D51+D52-D53</f>
        <v>40225005</v>
      </c>
      <c r="E54" s="352">
        <f>+E51+E52-E53</f>
        <v>42295748</v>
      </c>
    </row>
    <row r="55" spans="1:5" ht="24" customHeight="1" x14ac:dyDescent="0.2">
      <c r="A55" s="339">
        <v>16</v>
      </c>
      <c r="B55" s="340" t="s">
        <v>75</v>
      </c>
      <c r="C55" s="341">
        <f>+C11</f>
        <v>358189769</v>
      </c>
      <c r="D55" s="341">
        <f>+D11</f>
        <v>433230714</v>
      </c>
      <c r="E55" s="341">
        <f>+E11</f>
        <v>438782073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80.683973026340112</v>
      </c>
      <c r="D57" s="355">
        <f>IF((D61/365)=0,0,+D58/(D61/365))</f>
        <v>61.971553766709441</v>
      </c>
      <c r="E57" s="355">
        <f>IF((E61/365)=0,0,+E58/(E61/365))</f>
        <v>61.869932573183938</v>
      </c>
    </row>
    <row r="58" spans="1:5" ht="24" customHeight="1" x14ac:dyDescent="0.2">
      <c r="A58" s="339">
        <v>18</v>
      </c>
      <c r="B58" s="340" t="s">
        <v>54</v>
      </c>
      <c r="C58" s="353">
        <f>+C40</f>
        <v>80635705</v>
      </c>
      <c r="D58" s="353">
        <f>+D40</f>
        <v>75742576</v>
      </c>
      <c r="E58" s="353">
        <f>+E40</f>
        <v>74808837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387805077</v>
      </c>
      <c r="D59" s="353">
        <f t="shared" si="0"/>
        <v>473587676</v>
      </c>
      <c r="E59" s="353">
        <f t="shared" si="0"/>
        <v>470286422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23023433</v>
      </c>
      <c r="D60" s="356">
        <f t="shared" si="0"/>
        <v>27479122</v>
      </c>
      <c r="E60" s="356">
        <f t="shared" si="0"/>
        <v>28953704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364781644</v>
      </c>
      <c r="D61" s="353">
        <f>+D59-D60</f>
        <v>446108554</v>
      </c>
      <c r="E61" s="353">
        <f>+E59-E60</f>
        <v>441332718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53.795348762139618</v>
      </c>
      <c r="D65" s="357">
        <f>IF(D67=0,0,(D66/D67)*100)</f>
        <v>52.728091172456274</v>
      </c>
      <c r="E65" s="357">
        <f>IF(E67=0,0,(E66/E67)*100)</f>
        <v>48.195184609770493</v>
      </c>
    </row>
    <row r="66" spans="1:5" ht="24" customHeight="1" x14ac:dyDescent="0.2">
      <c r="A66" s="339">
        <v>2</v>
      </c>
      <c r="B66" s="340" t="s">
        <v>67</v>
      </c>
      <c r="C66" s="353">
        <f>+C32</f>
        <v>285975606</v>
      </c>
      <c r="D66" s="353">
        <f>+D32</f>
        <v>282377005</v>
      </c>
      <c r="E66" s="353">
        <f>+E32</f>
        <v>244531317</v>
      </c>
    </row>
    <row r="67" spans="1:5" ht="24" customHeight="1" x14ac:dyDescent="0.2">
      <c r="A67" s="339">
        <v>3</v>
      </c>
      <c r="B67" s="340" t="s">
        <v>43</v>
      </c>
      <c r="C67" s="353">
        <v>531599130</v>
      </c>
      <c r="D67" s="353">
        <v>535534283</v>
      </c>
      <c r="E67" s="353">
        <v>507377073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13.916061783320496</v>
      </c>
      <c r="D69" s="357">
        <f>IF(D75=0,0,(D72/D75)*100)</f>
        <v>13.069497421634974</v>
      </c>
      <c r="E69" s="357">
        <f>IF(E75=0,0,(E72/E75)*100)</f>
        <v>17.153420211888786</v>
      </c>
    </row>
    <row r="70" spans="1:5" ht="24" customHeight="1" x14ac:dyDescent="0.2">
      <c r="A70" s="339">
        <v>5</v>
      </c>
      <c r="B70" s="340" t="s">
        <v>366</v>
      </c>
      <c r="C70" s="353">
        <f>+C28</f>
        <v>2253354</v>
      </c>
      <c r="D70" s="353">
        <f>+D28</f>
        <v>-3388068</v>
      </c>
      <c r="E70" s="353">
        <f>+E28</f>
        <v>1536086</v>
      </c>
    </row>
    <row r="71" spans="1:5" ht="24" customHeight="1" x14ac:dyDescent="0.2">
      <c r="A71" s="339">
        <v>6</v>
      </c>
      <c r="B71" s="340" t="s">
        <v>356</v>
      </c>
      <c r="C71" s="356">
        <f>+C47</f>
        <v>23023433</v>
      </c>
      <c r="D71" s="356">
        <f>+D47</f>
        <v>27479122</v>
      </c>
      <c r="E71" s="356">
        <f>+E47</f>
        <v>28953704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25276787</v>
      </c>
      <c r="D72" s="353">
        <f>+D70+D71</f>
        <v>24091054</v>
      </c>
      <c r="E72" s="353">
        <f>+E70+E71</f>
        <v>30489790</v>
      </c>
    </row>
    <row r="73" spans="1:5" ht="24" customHeight="1" x14ac:dyDescent="0.2">
      <c r="A73" s="339">
        <v>8</v>
      </c>
      <c r="B73" s="340" t="s">
        <v>54</v>
      </c>
      <c r="C73" s="341">
        <f>+C40</f>
        <v>80635705</v>
      </c>
      <c r="D73" s="341">
        <f>+D40</f>
        <v>75742576</v>
      </c>
      <c r="E73" s="341">
        <f>+E40</f>
        <v>74808837</v>
      </c>
    </row>
    <row r="74" spans="1:5" ht="24" customHeight="1" x14ac:dyDescent="0.2">
      <c r="A74" s="339">
        <v>9</v>
      </c>
      <c r="B74" s="340" t="s">
        <v>58</v>
      </c>
      <c r="C74" s="353">
        <v>101001797</v>
      </c>
      <c r="D74" s="353">
        <v>108587802</v>
      </c>
      <c r="E74" s="353">
        <v>102938747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181637502</v>
      </c>
      <c r="D75" s="341">
        <f>+D73+D74</f>
        <v>184330378</v>
      </c>
      <c r="E75" s="341">
        <f>+E73+E74</f>
        <v>177747584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26.100179549760426</v>
      </c>
      <c r="D77" s="359">
        <f>IF(D80=0,0,(D78/D80)*100)</f>
        <v>27.7743162698529</v>
      </c>
      <c r="E77" s="359">
        <f>IF(E80=0,0,(E78/E80)*100)</f>
        <v>29.625213123395859</v>
      </c>
    </row>
    <row r="78" spans="1:5" ht="24" customHeight="1" x14ac:dyDescent="0.2">
      <c r="A78" s="339">
        <v>12</v>
      </c>
      <c r="B78" s="340" t="s">
        <v>58</v>
      </c>
      <c r="C78" s="341">
        <f>+C74</f>
        <v>101001797</v>
      </c>
      <c r="D78" s="341">
        <f>+D74</f>
        <v>108587802</v>
      </c>
      <c r="E78" s="341">
        <f>+E74</f>
        <v>102938747</v>
      </c>
    </row>
    <row r="79" spans="1:5" ht="24" customHeight="1" x14ac:dyDescent="0.2">
      <c r="A79" s="339">
        <v>13</v>
      </c>
      <c r="B79" s="340" t="s">
        <v>67</v>
      </c>
      <c r="C79" s="341">
        <f>+C32</f>
        <v>285975606</v>
      </c>
      <c r="D79" s="341">
        <f>+D32</f>
        <v>282377005</v>
      </c>
      <c r="E79" s="341">
        <f>+E32</f>
        <v>244531317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386977403</v>
      </c>
      <c r="D80" s="341">
        <f>+D78+D79</f>
        <v>390964807</v>
      </c>
      <c r="E80" s="341">
        <f>+E78+E79</f>
        <v>347470064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FILING&amp;R&amp;8LAWRENCE +MEMORIAL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37339</v>
      </c>
      <c r="D11" s="376">
        <v>10014</v>
      </c>
      <c r="E11" s="376">
        <v>9624</v>
      </c>
      <c r="F11" s="377">
        <v>140</v>
      </c>
      <c r="G11" s="377">
        <v>140</v>
      </c>
      <c r="H11" s="378">
        <f>IF(F11=0,0,$C11/(F11*365))</f>
        <v>0.73070450097847361</v>
      </c>
      <c r="I11" s="378">
        <f>IF(G11=0,0,$C11/(G11*365))</f>
        <v>0.73070450097847361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5268</v>
      </c>
      <c r="D13" s="376">
        <v>390</v>
      </c>
      <c r="E13" s="376">
        <v>0</v>
      </c>
      <c r="F13" s="377">
        <v>20</v>
      </c>
      <c r="G13" s="377">
        <v>20</v>
      </c>
      <c r="H13" s="378">
        <f>IF(F13=0,0,$C13/(F13*365))</f>
        <v>0.72164383561643841</v>
      </c>
      <c r="I13" s="378">
        <f>IF(G13=0,0,$C13/(G13*365))</f>
        <v>0.72164383561643841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5343</v>
      </c>
      <c r="D16" s="376">
        <v>631</v>
      </c>
      <c r="E16" s="376">
        <v>631</v>
      </c>
      <c r="F16" s="377">
        <v>18</v>
      </c>
      <c r="G16" s="377">
        <v>18</v>
      </c>
      <c r="H16" s="378">
        <f t="shared" si="0"/>
        <v>0.81324200913242006</v>
      </c>
      <c r="I16" s="378">
        <f t="shared" si="0"/>
        <v>0.81324200913242006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5343</v>
      </c>
      <c r="D17" s="381">
        <f>SUM(D15:D16)</f>
        <v>631</v>
      </c>
      <c r="E17" s="381">
        <f>SUM(E15:E16)</f>
        <v>631</v>
      </c>
      <c r="F17" s="381">
        <f>SUM(F15:F16)</f>
        <v>18</v>
      </c>
      <c r="G17" s="381">
        <f>SUM(G15:G16)</f>
        <v>18</v>
      </c>
      <c r="H17" s="382">
        <f t="shared" si="0"/>
        <v>0.81324200913242006</v>
      </c>
      <c r="I17" s="382">
        <f t="shared" si="0"/>
        <v>0.81324200913242006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4491</v>
      </c>
      <c r="D19" s="376">
        <v>313</v>
      </c>
      <c r="E19" s="376">
        <v>313</v>
      </c>
      <c r="F19" s="377">
        <v>16</v>
      </c>
      <c r="G19" s="377">
        <v>16</v>
      </c>
      <c r="H19" s="378">
        <f>IF(F19=0,0,$C19/(F19*365))</f>
        <v>0.76900684931506846</v>
      </c>
      <c r="I19" s="378">
        <f>IF(G19=0,0,$C19/(G19*365))</f>
        <v>0.76900684931506846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4293</v>
      </c>
      <c r="D21" s="376">
        <v>1549</v>
      </c>
      <c r="E21" s="376">
        <v>1549</v>
      </c>
      <c r="F21" s="377">
        <v>24</v>
      </c>
      <c r="G21" s="377">
        <v>24</v>
      </c>
      <c r="H21" s="378">
        <f>IF(F21=0,0,$C21/(F21*365))</f>
        <v>0.49006849315068496</v>
      </c>
      <c r="I21" s="378">
        <f>IF(G21=0,0,$C21/(G21*365))</f>
        <v>0.49006849315068496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3311</v>
      </c>
      <c r="D23" s="376">
        <v>1398</v>
      </c>
      <c r="E23" s="376">
        <v>1398</v>
      </c>
      <c r="F23" s="377">
        <v>14</v>
      </c>
      <c r="G23" s="377">
        <v>14</v>
      </c>
      <c r="H23" s="378">
        <f>IF(F23=0,0,$C23/(F23*365))</f>
        <v>0.647945205479452</v>
      </c>
      <c r="I23" s="378">
        <f>IF(G23=0,0,$C23/(G23*365))</f>
        <v>0.647945205479452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2150</v>
      </c>
      <c r="D25" s="376">
        <v>159</v>
      </c>
      <c r="E25" s="376">
        <v>0</v>
      </c>
      <c r="F25" s="377">
        <v>10</v>
      </c>
      <c r="G25" s="377">
        <v>10</v>
      </c>
      <c r="H25" s="378">
        <f>IF(F25=0,0,$C25/(F25*365))</f>
        <v>0.58904109589041098</v>
      </c>
      <c r="I25" s="378">
        <f>IF(G25=0,0,$C25/(G25*365))</f>
        <v>0.58904109589041098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24</v>
      </c>
      <c r="D27" s="376">
        <v>6</v>
      </c>
      <c r="E27" s="376">
        <v>6</v>
      </c>
      <c r="F27" s="377">
        <v>6</v>
      </c>
      <c r="G27" s="377">
        <v>6</v>
      </c>
      <c r="H27" s="378">
        <f>IF(F27=0,0,$C27/(F27*365))</f>
        <v>1.0958904109589041E-2</v>
      </c>
      <c r="I27" s="378">
        <f>IF(G27=0,0,$C27/(G27*365))</f>
        <v>1.0958904109589041E-2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58908</v>
      </c>
      <c r="D31" s="384">
        <f>SUM(D10:D29)-D13-D17-D23</f>
        <v>12672</v>
      </c>
      <c r="E31" s="384">
        <f>SUM(E10:E29)-E17-E23</f>
        <v>12123</v>
      </c>
      <c r="F31" s="384">
        <f>SUM(F10:F29)-F17-F23</f>
        <v>234</v>
      </c>
      <c r="G31" s="384">
        <f>SUM(G10:G29)-G17-G23</f>
        <v>234</v>
      </c>
      <c r="H31" s="385">
        <f>IF(F31=0,0,$C31/(F31*365))</f>
        <v>0.68970846505093075</v>
      </c>
      <c r="I31" s="385">
        <f>IF(G31=0,0,$C31/(G31*365))</f>
        <v>0.68970846505093075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62219</v>
      </c>
      <c r="D33" s="384">
        <f>SUM(D10:D29)-D13-D17</f>
        <v>14070</v>
      </c>
      <c r="E33" s="384">
        <f>SUM(E10:E29)-E17</f>
        <v>13521</v>
      </c>
      <c r="F33" s="384">
        <f>SUM(F10:F29)-F17</f>
        <v>248</v>
      </c>
      <c r="G33" s="384">
        <f>SUM(G10:G29)-G17</f>
        <v>248</v>
      </c>
      <c r="H33" s="385">
        <f>IF(F33=0,0,$C33/(F33*365))</f>
        <v>0.68735086168802473</v>
      </c>
      <c r="I33" s="385">
        <f>IF(G33=0,0,$C33/(G33*365))</f>
        <v>0.68735086168802473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62219</v>
      </c>
      <c r="D36" s="384">
        <f t="shared" si="1"/>
        <v>14070</v>
      </c>
      <c r="E36" s="384">
        <f t="shared" si="1"/>
        <v>13521</v>
      </c>
      <c r="F36" s="384">
        <f t="shared" si="1"/>
        <v>248</v>
      </c>
      <c r="G36" s="384">
        <f t="shared" si="1"/>
        <v>248</v>
      </c>
      <c r="H36" s="387">
        <f t="shared" si="1"/>
        <v>0.68735086168802473</v>
      </c>
      <c r="I36" s="387">
        <f t="shared" si="1"/>
        <v>0.68735086168802473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66332</v>
      </c>
      <c r="D37" s="384">
        <v>14150</v>
      </c>
      <c r="E37" s="384">
        <v>13546</v>
      </c>
      <c r="F37" s="386">
        <v>256</v>
      </c>
      <c r="G37" s="386">
        <v>256</v>
      </c>
      <c r="H37" s="385">
        <f>IF(F37=0,0,$C37/(F37*365))</f>
        <v>0.70988869863013704</v>
      </c>
      <c r="I37" s="385">
        <f>IF(G37=0,0,$C37/(G37*365))</f>
        <v>0.70988869863013704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-4113</v>
      </c>
      <c r="D38" s="384">
        <f t="shared" si="2"/>
        <v>-80</v>
      </c>
      <c r="E38" s="384">
        <f t="shared" si="2"/>
        <v>-25</v>
      </c>
      <c r="F38" s="384">
        <f t="shared" si="2"/>
        <v>-8</v>
      </c>
      <c r="G38" s="384">
        <f t="shared" si="2"/>
        <v>-8</v>
      </c>
      <c r="H38" s="387">
        <f t="shared" si="2"/>
        <v>-2.253783694211231E-2</v>
      </c>
      <c r="I38" s="387">
        <f t="shared" si="2"/>
        <v>-2.253783694211231E-2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-6.2006271482843878E-2</v>
      </c>
      <c r="D40" s="389">
        <f t="shared" si="3"/>
        <v>-5.6537102473498231E-3</v>
      </c>
      <c r="E40" s="389">
        <f t="shared" si="3"/>
        <v>-1.8455632659087555E-3</v>
      </c>
      <c r="F40" s="389">
        <f t="shared" si="3"/>
        <v>-3.125E-2</v>
      </c>
      <c r="G40" s="389">
        <f t="shared" si="3"/>
        <v>-3.125E-2</v>
      </c>
      <c r="H40" s="389">
        <f t="shared" si="3"/>
        <v>-3.1748409272613132E-2</v>
      </c>
      <c r="I40" s="389">
        <f t="shared" si="3"/>
        <v>-3.1748409272613132E-2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308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FILING&amp;RLAWRENCE AND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6520</v>
      </c>
      <c r="D12" s="409">
        <v>6348</v>
      </c>
      <c r="E12" s="409">
        <f>+D12-C12</f>
        <v>-172</v>
      </c>
      <c r="F12" s="410">
        <f>IF(C12=0,0,+E12/C12)</f>
        <v>-2.638036809815951E-2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9978</v>
      </c>
      <c r="D13" s="409">
        <v>9757</v>
      </c>
      <c r="E13" s="409">
        <f>+D13-C13</f>
        <v>-221</v>
      </c>
      <c r="F13" s="410">
        <f>IF(C13=0,0,+E13/C13)</f>
        <v>-2.2148727199839648E-2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7596</v>
      </c>
      <c r="D14" s="409">
        <v>7784</v>
      </c>
      <c r="E14" s="409">
        <f>+D14-C14</f>
        <v>188</v>
      </c>
      <c r="F14" s="410">
        <f>IF(C14=0,0,+E14/C14)</f>
        <v>2.4749868351764088E-2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24094</v>
      </c>
      <c r="D16" s="401">
        <f>SUM(D12:D15)</f>
        <v>23889</v>
      </c>
      <c r="E16" s="401">
        <f>+D16-C16</f>
        <v>-205</v>
      </c>
      <c r="F16" s="402">
        <f>IF(C16=0,0,+E16/C16)</f>
        <v>-8.508342325890263E-3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1308</v>
      </c>
      <c r="D19" s="409">
        <v>1311</v>
      </c>
      <c r="E19" s="409">
        <f>+D19-C19</f>
        <v>3</v>
      </c>
      <c r="F19" s="410">
        <f>IF(C19=0,0,+E19/C19)</f>
        <v>2.2935779816513763E-3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10062</v>
      </c>
      <c r="D20" s="409">
        <v>10545</v>
      </c>
      <c r="E20" s="409">
        <f>+D20-C20</f>
        <v>483</v>
      </c>
      <c r="F20" s="410">
        <f>IF(C20=0,0,+E20/C20)</f>
        <v>4.8002385211687537E-2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100</v>
      </c>
      <c r="D21" s="409">
        <v>146</v>
      </c>
      <c r="E21" s="409">
        <f>+D21-C21</f>
        <v>46</v>
      </c>
      <c r="F21" s="410">
        <f>IF(C21=0,0,+E21/C21)</f>
        <v>0.46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11470</v>
      </c>
      <c r="D23" s="401">
        <f>SUM(D19:D22)</f>
        <v>12002</v>
      </c>
      <c r="E23" s="401">
        <f>+D23-C23</f>
        <v>532</v>
      </c>
      <c r="F23" s="402">
        <f>IF(C23=0,0,+E23/C23)</f>
        <v>4.6381865736704449E-2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6</v>
      </c>
      <c r="D27" s="409">
        <v>5</v>
      </c>
      <c r="E27" s="409">
        <f>+D27-C27</f>
        <v>-1</v>
      </c>
      <c r="F27" s="410">
        <f>IF(C27=0,0,+E27/C27)</f>
        <v>-0.16666666666666666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6</v>
      </c>
      <c r="D30" s="401">
        <f>SUM(D26:D29)</f>
        <v>5</v>
      </c>
      <c r="E30" s="401">
        <f>+D30-C30</f>
        <v>-1</v>
      </c>
      <c r="F30" s="402">
        <f>IF(C30=0,0,+E30/C30)</f>
        <v>-0.16666666666666666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2</v>
      </c>
      <c r="D33" s="409">
        <v>1</v>
      </c>
      <c r="E33" s="409">
        <f>+D33-C33</f>
        <v>-1</v>
      </c>
      <c r="F33" s="410">
        <f>IF(C33=0,0,+E33/C33)</f>
        <v>-0.5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392</v>
      </c>
      <c r="D34" s="409">
        <v>549</v>
      </c>
      <c r="E34" s="409">
        <f>+D34-C34</f>
        <v>157</v>
      </c>
      <c r="F34" s="410">
        <f>IF(C34=0,0,+E34/C34)</f>
        <v>0.40051020408163263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394</v>
      </c>
      <c r="D37" s="401">
        <f>SUM(D33:D36)</f>
        <v>550</v>
      </c>
      <c r="E37" s="401">
        <f>+D37-C37</f>
        <v>156</v>
      </c>
      <c r="F37" s="402">
        <f>IF(C37=0,0,+E37/C37)</f>
        <v>0.39593908629441626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125</v>
      </c>
      <c r="D43" s="409">
        <v>83</v>
      </c>
      <c r="E43" s="409">
        <f>+D43-C43</f>
        <v>-42</v>
      </c>
      <c r="F43" s="410">
        <f>IF(C43=0,0,+E43/C43)</f>
        <v>-0.33600000000000002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11696</v>
      </c>
      <c r="D44" s="409">
        <v>7723</v>
      </c>
      <c r="E44" s="409">
        <f>+D44-C44</f>
        <v>-3973</v>
      </c>
      <c r="F44" s="410">
        <f>IF(C44=0,0,+E44/C44)</f>
        <v>-0.3396887824897401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11821</v>
      </c>
      <c r="D45" s="401">
        <f>SUM(D43:D44)</f>
        <v>7806</v>
      </c>
      <c r="E45" s="401">
        <f>+D45-C45</f>
        <v>-4015</v>
      </c>
      <c r="F45" s="402">
        <f>IF(C45=0,0,+E45/C45)</f>
        <v>-0.33964977582268846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344</v>
      </c>
      <c r="D48" s="409">
        <v>314</v>
      </c>
      <c r="E48" s="409">
        <f>+D48-C48</f>
        <v>-30</v>
      </c>
      <c r="F48" s="410">
        <f>IF(C48=0,0,+E48/C48)</f>
        <v>-8.7209302325581398E-2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341</v>
      </c>
      <c r="D49" s="409">
        <v>331</v>
      </c>
      <c r="E49" s="409">
        <f>+D49-C49</f>
        <v>-10</v>
      </c>
      <c r="F49" s="410">
        <f>IF(C49=0,0,+E49/C49)</f>
        <v>-2.932551319648094E-2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685</v>
      </c>
      <c r="D50" s="401">
        <f>SUM(D48:D49)</f>
        <v>645</v>
      </c>
      <c r="E50" s="401">
        <f>+D50-C50</f>
        <v>-40</v>
      </c>
      <c r="F50" s="402">
        <f>IF(C50=0,0,+E50/C50)</f>
        <v>-5.8394160583941604E-2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97</v>
      </c>
      <c r="D53" s="409">
        <v>121</v>
      </c>
      <c r="E53" s="409">
        <f>+D53-C53</f>
        <v>24</v>
      </c>
      <c r="F53" s="410">
        <f>IF(C53=0,0,+E53/C53)</f>
        <v>0.24742268041237114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68</v>
      </c>
      <c r="D54" s="409">
        <v>63</v>
      </c>
      <c r="E54" s="409">
        <f>+D54-C54</f>
        <v>-5</v>
      </c>
      <c r="F54" s="410">
        <f>IF(C54=0,0,+E54/C54)</f>
        <v>-7.3529411764705885E-2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165</v>
      </c>
      <c r="D55" s="401">
        <f>SUM(D53:D54)</f>
        <v>184</v>
      </c>
      <c r="E55" s="401">
        <f>+D55-C55</f>
        <v>19</v>
      </c>
      <c r="F55" s="402">
        <f>IF(C55=0,0,+E55/C55)</f>
        <v>0.11515151515151516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2495</v>
      </c>
      <c r="D63" s="409">
        <v>2474</v>
      </c>
      <c r="E63" s="409">
        <f>+D63-C63</f>
        <v>-21</v>
      </c>
      <c r="F63" s="410">
        <f>IF(C63=0,0,+E63/C63)</f>
        <v>-8.4168336673346687E-3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9710</v>
      </c>
      <c r="D64" s="409">
        <v>9870</v>
      </c>
      <c r="E64" s="409">
        <f>+D64-C64</f>
        <v>160</v>
      </c>
      <c r="F64" s="410">
        <f>IF(C64=0,0,+E64/C64)</f>
        <v>1.6477857878475798E-2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12205</v>
      </c>
      <c r="D65" s="401">
        <f>SUM(D63:D64)</f>
        <v>12344</v>
      </c>
      <c r="E65" s="401">
        <f>+D65-C65</f>
        <v>139</v>
      </c>
      <c r="F65" s="402">
        <f>IF(C65=0,0,+E65/C65)</f>
        <v>1.1388775092175339E-2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835</v>
      </c>
      <c r="D68" s="409">
        <v>772</v>
      </c>
      <c r="E68" s="409">
        <f>+D68-C68</f>
        <v>-63</v>
      </c>
      <c r="F68" s="410">
        <f>IF(C68=0,0,+E68/C68)</f>
        <v>-7.5449101796407181E-2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2096</v>
      </c>
      <c r="D69" s="409">
        <v>1951</v>
      </c>
      <c r="E69" s="409">
        <f>+D69-C69</f>
        <v>-145</v>
      </c>
      <c r="F69" s="412">
        <f>IF(C69=0,0,+E69/C69)</f>
        <v>-6.9179389312977096E-2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2931</v>
      </c>
      <c r="D70" s="401">
        <f>SUM(D68:D69)</f>
        <v>2723</v>
      </c>
      <c r="E70" s="401">
        <f>+D70-C70</f>
        <v>-208</v>
      </c>
      <c r="F70" s="402">
        <f>IF(C70=0,0,+E70/C70)</f>
        <v>-7.0965540771067898E-2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6903</v>
      </c>
      <c r="D73" s="376">
        <v>6573</v>
      </c>
      <c r="E73" s="409">
        <f>+D73-C73</f>
        <v>-330</v>
      </c>
      <c r="F73" s="410">
        <f>IF(C73=0,0,+E73/C73)</f>
        <v>-4.7805302042590175E-2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75467</v>
      </c>
      <c r="D74" s="376">
        <v>75641</v>
      </c>
      <c r="E74" s="409">
        <f>+D74-C74</f>
        <v>174</v>
      </c>
      <c r="F74" s="410">
        <f>IF(C74=0,0,+E74/C74)</f>
        <v>2.3056435263095129E-3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82370</v>
      </c>
      <c r="D75" s="401">
        <f>SUM(D73:D74)</f>
        <v>82214</v>
      </c>
      <c r="E75" s="401">
        <f>SUM(E73:E74)</f>
        <v>-156</v>
      </c>
      <c r="F75" s="402">
        <f>IF(C75=0,0,+E75/C75)</f>
        <v>-1.8938934077940997E-3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19789</v>
      </c>
      <c r="D81" s="376">
        <v>17342</v>
      </c>
      <c r="E81" s="409">
        <f t="shared" si="0"/>
        <v>-2447</v>
      </c>
      <c r="F81" s="410">
        <f t="shared" si="1"/>
        <v>-0.12365455556117035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19789</v>
      </c>
      <c r="D92" s="381">
        <f>SUM(D79:D91)</f>
        <v>17342</v>
      </c>
      <c r="E92" s="401">
        <f t="shared" si="0"/>
        <v>-2447</v>
      </c>
      <c r="F92" s="402">
        <f t="shared" si="1"/>
        <v>-0.12365455556117035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76408</v>
      </c>
      <c r="D95" s="414">
        <v>74977</v>
      </c>
      <c r="E95" s="415">
        <f t="shared" ref="E95:E100" si="2">+D95-C95</f>
        <v>-1431</v>
      </c>
      <c r="F95" s="412">
        <f t="shared" ref="F95:F100" si="3">IF(C95=0,0,+E95/C95)</f>
        <v>-1.8728405402575646E-2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4278</v>
      </c>
      <c r="D96" s="414">
        <v>5723</v>
      </c>
      <c r="E96" s="409">
        <f t="shared" si="2"/>
        <v>1445</v>
      </c>
      <c r="F96" s="410">
        <f t="shared" si="3"/>
        <v>0.3377746610565685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6069</v>
      </c>
      <c r="D97" s="414">
        <v>6961</v>
      </c>
      <c r="E97" s="409">
        <f t="shared" si="2"/>
        <v>892</v>
      </c>
      <c r="F97" s="410">
        <f t="shared" si="3"/>
        <v>0.14697643763387708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3240</v>
      </c>
      <c r="D98" s="414">
        <v>3018</v>
      </c>
      <c r="E98" s="409">
        <f t="shared" si="2"/>
        <v>-222</v>
      </c>
      <c r="F98" s="410">
        <f t="shared" si="3"/>
        <v>-6.851851851851852E-2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264932</v>
      </c>
      <c r="D99" s="414">
        <v>257499</v>
      </c>
      <c r="E99" s="409">
        <f t="shared" si="2"/>
        <v>-7433</v>
      </c>
      <c r="F99" s="410">
        <f t="shared" si="3"/>
        <v>-2.8056255944921716E-2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354927</v>
      </c>
      <c r="D100" s="381">
        <f>SUM(D95:D99)</f>
        <v>348178</v>
      </c>
      <c r="E100" s="401">
        <f t="shared" si="2"/>
        <v>-6749</v>
      </c>
      <c r="F100" s="402">
        <f t="shared" si="3"/>
        <v>-1.9015177768949672E-2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407.3</v>
      </c>
      <c r="D104" s="416">
        <v>417.1</v>
      </c>
      <c r="E104" s="417">
        <f>+D104-C104</f>
        <v>9.8000000000000114</v>
      </c>
      <c r="F104" s="410">
        <f>IF(C104=0,0,+E104/C104)</f>
        <v>2.4060888779769238E-2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1.6</v>
      </c>
      <c r="D105" s="416">
        <v>1.6</v>
      </c>
      <c r="E105" s="417">
        <f>+D105-C105</f>
        <v>0</v>
      </c>
      <c r="F105" s="410">
        <f>IF(C105=0,0,+E105/C105)</f>
        <v>0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1440.2</v>
      </c>
      <c r="D106" s="416">
        <v>1407</v>
      </c>
      <c r="E106" s="417">
        <f>+D106-C106</f>
        <v>-33.200000000000045</v>
      </c>
      <c r="F106" s="410">
        <f>IF(C106=0,0,+E106/C106)</f>
        <v>-2.3052353839744511E-2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1849.1000000000001</v>
      </c>
      <c r="D107" s="418">
        <f>SUM(D104:D106)</f>
        <v>1825.7</v>
      </c>
      <c r="E107" s="418">
        <f>+D107-C107</f>
        <v>-23.400000000000091</v>
      </c>
      <c r="F107" s="402">
        <f>IF(C107=0,0,+E107/C107)</f>
        <v>-1.2654805040289919E-2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FILING&amp;RLAWRENCE AND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7455</v>
      </c>
      <c r="D12" s="409">
        <v>7532</v>
      </c>
      <c r="E12" s="409">
        <f>+D12-C12</f>
        <v>77</v>
      </c>
      <c r="F12" s="410">
        <f>IF(C12=0,0,+E12/C12)</f>
        <v>1.0328638497652582E-2</v>
      </c>
    </row>
    <row r="13" spans="1:6" ht="15.75" customHeight="1" x14ac:dyDescent="0.2">
      <c r="A13" s="374">
        <v>2</v>
      </c>
      <c r="B13" s="408" t="s">
        <v>622</v>
      </c>
      <c r="C13" s="409">
        <v>2255</v>
      </c>
      <c r="D13" s="409">
        <v>2338</v>
      </c>
      <c r="E13" s="409">
        <f>+D13-C13</f>
        <v>83</v>
      </c>
      <c r="F13" s="410">
        <f>IF(C13=0,0,+E13/C13)</f>
        <v>3.6807095343680707E-2</v>
      </c>
    </row>
    <row r="14" spans="1:6" ht="15.75" customHeight="1" x14ac:dyDescent="0.25">
      <c r="A14" s="374"/>
      <c r="B14" s="399" t="s">
        <v>623</v>
      </c>
      <c r="C14" s="401">
        <f>SUM(C11:C13)</f>
        <v>9710</v>
      </c>
      <c r="D14" s="401">
        <f>SUM(D11:D13)</f>
        <v>9870</v>
      </c>
      <c r="E14" s="401">
        <f>+D14-C14</f>
        <v>160</v>
      </c>
      <c r="F14" s="402">
        <f>IF(C14=0,0,+E14/C14)</f>
        <v>1.6477857878475798E-2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2096</v>
      </c>
      <c r="D17" s="409">
        <v>1951</v>
      </c>
      <c r="E17" s="409">
        <f>+D17-C17</f>
        <v>-145</v>
      </c>
      <c r="F17" s="410">
        <f>IF(C17=0,0,+E17/C17)</f>
        <v>-6.9179389312977096E-2</v>
      </c>
    </row>
    <row r="18" spans="1:6" ht="15.75" customHeight="1" x14ac:dyDescent="0.25">
      <c r="A18" s="374"/>
      <c r="B18" s="399" t="s">
        <v>625</v>
      </c>
      <c r="C18" s="401">
        <f>SUM(C16:C17)</f>
        <v>2096</v>
      </c>
      <c r="D18" s="401">
        <f>SUM(D16:D17)</f>
        <v>1951</v>
      </c>
      <c r="E18" s="401">
        <f>+D18-C18</f>
        <v>-145</v>
      </c>
      <c r="F18" s="402">
        <f>IF(C18=0,0,+E18/C18)</f>
        <v>-6.9179389312977096E-2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626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624</v>
      </c>
      <c r="C21" s="409">
        <v>42035</v>
      </c>
      <c r="D21" s="409">
        <v>43083</v>
      </c>
      <c r="E21" s="409">
        <f>+D21-C21</f>
        <v>1048</v>
      </c>
      <c r="F21" s="410">
        <f>IF(C21=0,0,+E21/C21)</f>
        <v>2.4931604615201618E-2</v>
      </c>
    </row>
    <row r="22" spans="1:6" ht="15.75" customHeight="1" x14ac:dyDescent="0.2">
      <c r="A22" s="374">
        <v>2</v>
      </c>
      <c r="B22" s="408" t="s">
        <v>622</v>
      </c>
      <c r="C22" s="409">
        <v>33432</v>
      </c>
      <c r="D22" s="409">
        <v>32558</v>
      </c>
      <c r="E22" s="409">
        <f>+D22-C22</f>
        <v>-874</v>
      </c>
      <c r="F22" s="410">
        <f>IF(C22=0,0,+E22/C22)</f>
        <v>-2.6142617851160566E-2</v>
      </c>
    </row>
    <row r="23" spans="1:6" ht="15.75" customHeight="1" x14ac:dyDescent="0.25">
      <c r="A23" s="374"/>
      <c r="B23" s="399" t="s">
        <v>627</v>
      </c>
      <c r="C23" s="401">
        <f>SUM(C20:C22)</f>
        <v>75467</v>
      </c>
      <c r="D23" s="401">
        <f>SUM(D20:D22)</f>
        <v>75641</v>
      </c>
      <c r="E23" s="401">
        <f>+D23-C23</f>
        <v>174</v>
      </c>
      <c r="F23" s="402">
        <f>IF(C23=0,0,+E23/C23)</f>
        <v>2.3056435263095129E-3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630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FILING&amp;RLAWRENCE AND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165812566</v>
      </c>
      <c r="D15" s="448">
        <v>168649538</v>
      </c>
      <c r="E15" s="448">
        <f t="shared" ref="E15:E24" si="0">D15-C15</f>
        <v>2836972</v>
      </c>
      <c r="F15" s="449">
        <f t="shared" ref="F15:F24" si="1">IF(C15=0,0,E15/C15)</f>
        <v>1.7109511470921931E-2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74387490</v>
      </c>
      <c r="D16" s="448">
        <v>70353365</v>
      </c>
      <c r="E16" s="448">
        <f t="shared" si="0"/>
        <v>-4034125</v>
      </c>
      <c r="F16" s="449">
        <f t="shared" si="1"/>
        <v>-5.4231228933789809E-2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0.44862396014063255</v>
      </c>
      <c r="D17" s="453">
        <f>IF(LN_IA1=0,0,LN_IA2/LN_IA1)</f>
        <v>0.41715717596569996</v>
      </c>
      <c r="E17" s="454">
        <f t="shared" si="0"/>
        <v>-3.1466784174932594E-2</v>
      </c>
      <c r="F17" s="449">
        <f t="shared" si="1"/>
        <v>-7.0140667843662505E-2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6362</v>
      </c>
      <c r="D18" s="456">
        <v>6527</v>
      </c>
      <c r="E18" s="456">
        <f t="shared" si="0"/>
        <v>165</v>
      </c>
      <c r="F18" s="449">
        <f t="shared" si="1"/>
        <v>2.5935240490411821E-2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1.4456</v>
      </c>
      <c r="D19" s="459">
        <v>1.4419999999999999</v>
      </c>
      <c r="E19" s="460">
        <f t="shared" si="0"/>
        <v>-3.6000000000000476E-3</v>
      </c>
      <c r="F19" s="449">
        <f t="shared" si="1"/>
        <v>-2.4903154399557605E-3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9196.9071999999996</v>
      </c>
      <c r="D20" s="463">
        <f>LN_IA4*LN_IA5</f>
        <v>9411.9339999999993</v>
      </c>
      <c r="E20" s="463">
        <f t="shared" si="0"/>
        <v>215.02679999999964</v>
      </c>
      <c r="F20" s="449">
        <f t="shared" si="1"/>
        <v>2.3380338120623817E-2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8088.315819909546</v>
      </c>
      <c r="D21" s="465">
        <f>IF(LN_IA6=0,0,LN_IA2/LN_IA6)</f>
        <v>7474.9105762960098</v>
      </c>
      <c r="E21" s="465">
        <f t="shared" si="0"/>
        <v>-613.40524361353619</v>
      </c>
      <c r="F21" s="449">
        <f t="shared" si="1"/>
        <v>-7.5838438714723191E-2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35103</v>
      </c>
      <c r="D22" s="456">
        <v>32565</v>
      </c>
      <c r="E22" s="456">
        <f t="shared" si="0"/>
        <v>-2538</v>
      </c>
      <c r="F22" s="449">
        <f t="shared" si="1"/>
        <v>-7.2301512691222966E-2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2119.1205879839331</v>
      </c>
      <c r="D23" s="465">
        <f>IF(LN_IA8=0,0,LN_IA2/LN_IA8)</f>
        <v>2160.3981268232765</v>
      </c>
      <c r="E23" s="465">
        <f t="shared" si="0"/>
        <v>41.277538839343379</v>
      </c>
      <c r="F23" s="449">
        <f t="shared" si="1"/>
        <v>1.9478617249721299E-2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5.5176045268783405</v>
      </c>
      <c r="D24" s="466">
        <f>IF(LN_IA4=0,0,LN_IA8/LN_IA4)</f>
        <v>4.9892753179102192</v>
      </c>
      <c r="E24" s="466">
        <f t="shared" si="0"/>
        <v>-0.5283292089681213</v>
      </c>
      <c r="F24" s="449">
        <f t="shared" si="1"/>
        <v>-9.5753366591322317E-2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173051967</v>
      </c>
      <c r="D27" s="448">
        <v>198079775</v>
      </c>
      <c r="E27" s="448">
        <f t="shared" ref="E27:E32" si="2">D27-C27</f>
        <v>25027808</v>
      </c>
      <c r="F27" s="449">
        <f t="shared" ref="F27:F32" si="3">IF(C27=0,0,E27/C27)</f>
        <v>0.14462596660343074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41714082</v>
      </c>
      <c r="D28" s="448">
        <v>51831965</v>
      </c>
      <c r="E28" s="448">
        <f t="shared" si="2"/>
        <v>10117883</v>
      </c>
      <c r="F28" s="449">
        <f t="shared" si="3"/>
        <v>0.24255317424940576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0.24104945308133943</v>
      </c>
      <c r="D29" s="453">
        <f>IF(LN_IA11=0,0,LN_IA12/LN_IA11)</f>
        <v>0.26167217223464639</v>
      </c>
      <c r="E29" s="454">
        <f t="shared" si="2"/>
        <v>2.0622719153306962E-2</v>
      </c>
      <c r="F29" s="449">
        <f t="shared" si="3"/>
        <v>8.5553893152157695E-2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1.0436601469637712</v>
      </c>
      <c r="D30" s="453">
        <f>IF(LN_IA1=0,0,LN_IA11/LN_IA1)</f>
        <v>1.1745052927450059</v>
      </c>
      <c r="E30" s="454">
        <f t="shared" si="2"/>
        <v>0.13084514578123474</v>
      </c>
      <c r="F30" s="449">
        <f t="shared" si="3"/>
        <v>0.12537141152883055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6639.7658549835123</v>
      </c>
      <c r="D31" s="463">
        <f>LN_IA14*LN_IA4</f>
        <v>7665.9960457466541</v>
      </c>
      <c r="E31" s="463">
        <f t="shared" si="2"/>
        <v>1026.2301907631418</v>
      </c>
      <c r="F31" s="449">
        <f t="shared" si="3"/>
        <v>0.15455818972786506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6282.4628023127152</v>
      </c>
      <c r="D32" s="465">
        <f>IF(LN_IA15=0,0,LN_IA12/LN_IA15)</f>
        <v>6761.2825118476385</v>
      </c>
      <c r="E32" s="465">
        <f t="shared" si="2"/>
        <v>478.81970953492328</v>
      </c>
      <c r="F32" s="449">
        <f t="shared" si="3"/>
        <v>7.6215287635075055E-2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338864533</v>
      </c>
      <c r="D35" s="448">
        <f>LN_IA1+LN_IA11</f>
        <v>366729313</v>
      </c>
      <c r="E35" s="448">
        <f>D35-C35</f>
        <v>27864780</v>
      </c>
      <c r="F35" s="449">
        <f>IF(C35=0,0,E35/C35)</f>
        <v>8.2229850829505374E-2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116101572</v>
      </c>
      <c r="D36" s="448">
        <f>LN_IA2+LN_IA12</f>
        <v>122185330</v>
      </c>
      <c r="E36" s="448">
        <f>D36-C36</f>
        <v>6083758</v>
      </c>
      <c r="F36" s="449">
        <f>IF(C36=0,0,E36/C36)</f>
        <v>5.2400306862339471E-2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222762961</v>
      </c>
      <c r="D37" s="448">
        <f>LN_IA17-LN_IA18</f>
        <v>244543983</v>
      </c>
      <c r="E37" s="448">
        <f>D37-C37</f>
        <v>21781022</v>
      </c>
      <c r="F37" s="449">
        <f>IF(C37=0,0,E37/C37)</f>
        <v>9.7776676617258654E-2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72646940</v>
      </c>
      <c r="D42" s="448">
        <v>70270602</v>
      </c>
      <c r="E42" s="448">
        <f t="shared" ref="E42:E53" si="4">D42-C42</f>
        <v>-2376338</v>
      </c>
      <c r="F42" s="449">
        <f t="shared" ref="F42:F53" si="5">IF(C42=0,0,E42/C42)</f>
        <v>-3.2710779008723559E-2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51017386</v>
      </c>
      <c r="D43" s="448">
        <v>48458517</v>
      </c>
      <c r="E43" s="448">
        <f t="shared" si="4"/>
        <v>-2558869</v>
      </c>
      <c r="F43" s="449">
        <f t="shared" si="5"/>
        <v>-5.0156803408155801E-2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0.70226476159904327</v>
      </c>
      <c r="D44" s="453">
        <f>IF(LN_IB1=0,0,LN_IB2/LN_IB1)</f>
        <v>0.68959871725590172</v>
      </c>
      <c r="E44" s="454">
        <f t="shared" si="4"/>
        <v>-1.2666044343141558E-2</v>
      </c>
      <c r="F44" s="449">
        <f t="shared" si="5"/>
        <v>-1.8035995874691506E-2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3795</v>
      </c>
      <c r="D45" s="456">
        <v>3521</v>
      </c>
      <c r="E45" s="456">
        <f t="shared" si="4"/>
        <v>-274</v>
      </c>
      <c r="F45" s="449">
        <f t="shared" si="5"/>
        <v>-7.2200263504611326E-2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1.1585000000000001</v>
      </c>
      <c r="D46" s="459">
        <v>1.1632</v>
      </c>
      <c r="E46" s="460">
        <f t="shared" si="4"/>
        <v>4.6999999999999265E-3</v>
      </c>
      <c r="F46" s="449">
        <f t="shared" si="5"/>
        <v>4.0569702201121499E-3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4396.5075000000006</v>
      </c>
      <c r="D47" s="463">
        <f>LN_IB4*LN_IB5</f>
        <v>4095.6271999999999</v>
      </c>
      <c r="E47" s="463">
        <f t="shared" si="4"/>
        <v>-300.88030000000072</v>
      </c>
      <c r="F47" s="449">
        <f t="shared" si="5"/>
        <v>-6.8436207603421728E-2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11604.071186049379</v>
      </c>
      <c r="D48" s="465">
        <f>IF(LN_IB6=0,0,LN_IB2/LN_IB6)</f>
        <v>11831.769502849284</v>
      </c>
      <c r="E48" s="465">
        <f t="shared" si="4"/>
        <v>227.69831679990421</v>
      </c>
      <c r="F48" s="449">
        <f t="shared" si="5"/>
        <v>1.9622278521838711E-2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-3515.7553661398333</v>
      </c>
      <c r="D49" s="465">
        <f>LN_IA7-LN_IB7</f>
        <v>-4356.8589265532737</v>
      </c>
      <c r="E49" s="465">
        <f t="shared" si="4"/>
        <v>-841.10356041344039</v>
      </c>
      <c r="F49" s="449">
        <f t="shared" si="5"/>
        <v>0.23923836354317801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-15457044.835399026</v>
      </c>
      <c r="D50" s="479">
        <f>LN_IB8*LN_IB6</f>
        <v>-17844069.92615439</v>
      </c>
      <c r="E50" s="479">
        <f t="shared" si="4"/>
        <v>-2387025.0907553639</v>
      </c>
      <c r="F50" s="449">
        <f t="shared" si="5"/>
        <v>0.15442958962561246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14569</v>
      </c>
      <c r="D51" s="456">
        <v>12808</v>
      </c>
      <c r="E51" s="456">
        <f t="shared" si="4"/>
        <v>-1761</v>
      </c>
      <c r="F51" s="449">
        <f t="shared" si="5"/>
        <v>-0.12087308669091908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3501.7767863271329</v>
      </c>
      <c r="D52" s="465">
        <f>IF(LN_IB10=0,0,LN_IB2/LN_IB10)</f>
        <v>3783.4569800124923</v>
      </c>
      <c r="E52" s="465">
        <f t="shared" si="4"/>
        <v>281.68019368535943</v>
      </c>
      <c r="F52" s="449">
        <f t="shared" si="5"/>
        <v>8.043922010825881E-2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3.8389986824769435</v>
      </c>
      <c r="D53" s="466">
        <f>IF(LN_IB4=0,0,LN_IB10/LN_IB4)</f>
        <v>3.6376029537063332</v>
      </c>
      <c r="E53" s="466">
        <f t="shared" si="4"/>
        <v>-0.20139572877061029</v>
      </c>
      <c r="F53" s="449">
        <f t="shared" si="5"/>
        <v>-5.2460483951161097E-2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204619360</v>
      </c>
      <c r="D56" s="448">
        <v>211350912</v>
      </c>
      <c r="E56" s="448">
        <f t="shared" ref="E56:E63" si="6">D56-C56</f>
        <v>6731552</v>
      </c>
      <c r="F56" s="449">
        <f t="shared" ref="F56:F63" si="7">IF(C56=0,0,E56/C56)</f>
        <v>3.2897923246363391E-2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111905973</v>
      </c>
      <c r="D57" s="448">
        <v>115542619</v>
      </c>
      <c r="E57" s="448">
        <f t="shared" si="6"/>
        <v>3636646</v>
      </c>
      <c r="F57" s="449">
        <f t="shared" si="7"/>
        <v>3.249733595542751E-2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0.54689826514949513</v>
      </c>
      <c r="D58" s="453">
        <f>IF(LN_IB13=0,0,LN_IB14/LN_IB13)</f>
        <v>0.54668616239517343</v>
      </c>
      <c r="E58" s="454">
        <f t="shared" si="6"/>
        <v>-2.12102754321708E-4</v>
      </c>
      <c r="F58" s="449">
        <f t="shared" si="7"/>
        <v>-3.8782853747712937E-4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2.8166273761840483</v>
      </c>
      <c r="D59" s="453">
        <f>IF(LN_IB1=0,0,LN_IB13/LN_IB1)</f>
        <v>3.0076718568598571</v>
      </c>
      <c r="E59" s="454">
        <f t="shared" si="6"/>
        <v>0.1910444806758087</v>
      </c>
      <c r="F59" s="449">
        <f t="shared" si="7"/>
        <v>6.7827388986978723E-2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10689.100892618464</v>
      </c>
      <c r="D60" s="463">
        <f>LN_IB16*LN_IB4</f>
        <v>10590.012608003557</v>
      </c>
      <c r="E60" s="463">
        <f t="shared" si="6"/>
        <v>-99.088284614907025</v>
      </c>
      <c r="F60" s="449">
        <f t="shared" si="7"/>
        <v>-9.2700298753222617E-3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10469.166127646762</v>
      </c>
      <c r="D61" s="465">
        <f>IF(LN_IB17=0,0,LN_IB14/LN_IB17)</f>
        <v>10910.527048162056</v>
      </c>
      <c r="E61" s="465">
        <f t="shared" si="6"/>
        <v>441.3609205152934</v>
      </c>
      <c r="F61" s="449">
        <f t="shared" si="7"/>
        <v>4.2158173357260652E-2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-4186.7033253340469</v>
      </c>
      <c r="D62" s="465">
        <f>LN_IA16-LN_IB18</f>
        <v>-4149.244536314417</v>
      </c>
      <c r="E62" s="465">
        <f t="shared" si="6"/>
        <v>37.458789019629876</v>
      </c>
      <c r="F62" s="449">
        <f t="shared" si="7"/>
        <v>-8.9470846412651253E-3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-44752094.25195685</v>
      </c>
      <c r="D63" s="448">
        <f>LN_IB19*LN_IB17</f>
        <v>-43940551.95325955</v>
      </c>
      <c r="E63" s="448">
        <f t="shared" si="6"/>
        <v>811542.29869730026</v>
      </c>
      <c r="F63" s="449">
        <f t="shared" si="7"/>
        <v>-1.8134174774665755E-2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277266300</v>
      </c>
      <c r="D66" s="448">
        <f>LN_IB1+LN_IB13</f>
        <v>281621514</v>
      </c>
      <c r="E66" s="448">
        <f>D66-C66</f>
        <v>4355214</v>
      </c>
      <c r="F66" s="449">
        <f>IF(C66=0,0,E66/C66)</f>
        <v>1.5707693289808391E-2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162923359</v>
      </c>
      <c r="D67" s="448">
        <f>LN_IB2+LN_IB14</f>
        <v>164001136</v>
      </c>
      <c r="E67" s="448">
        <f>D67-C67</f>
        <v>1077777</v>
      </c>
      <c r="F67" s="449">
        <f>IF(C67=0,0,E67/C67)</f>
        <v>6.6152392549186272E-3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114342941</v>
      </c>
      <c r="D68" s="448">
        <f>LN_IB21-LN_IB22</f>
        <v>117620378</v>
      </c>
      <c r="E68" s="448">
        <f>D68-C68</f>
        <v>3277437</v>
      </c>
      <c r="F68" s="449">
        <f>IF(C68=0,0,E68/C68)</f>
        <v>2.8663221107807609E-2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-60209139.087355874</v>
      </c>
      <c r="D70" s="441">
        <f>LN_IB9+LN_IB20</f>
        <v>-61784621.87941394</v>
      </c>
      <c r="E70" s="448">
        <f>D70-C70</f>
        <v>-1575482.7920580655</v>
      </c>
      <c r="F70" s="449">
        <f>IF(C70=0,0,E70/C70)</f>
        <v>2.6166838057130139E-2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250404746</v>
      </c>
      <c r="D73" s="488">
        <v>257118682</v>
      </c>
      <c r="E73" s="488">
        <f>D73-C73</f>
        <v>6713936</v>
      </c>
      <c r="F73" s="489">
        <f>IF(C73=0,0,E73/C73)</f>
        <v>2.6812335258214314E-2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161193549</v>
      </c>
      <c r="D74" s="488">
        <v>160242760</v>
      </c>
      <c r="E74" s="488">
        <f>D74-C74</f>
        <v>-950789</v>
      </c>
      <c r="F74" s="489">
        <f>IF(C74=0,0,E74/C74)</f>
        <v>-5.8984308360876155E-3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89211197</v>
      </c>
      <c r="D76" s="441">
        <f>LN_IB32-LN_IB33</f>
        <v>96875922</v>
      </c>
      <c r="E76" s="488">
        <f>D76-C76</f>
        <v>7664725</v>
      </c>
      <c r="F76" s="489">
        <f>IF(E76=0,0,E76/C76)</f>
        <v>8.5916625465747312E-2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0.35626799581506335</v>
      </c>
      <c r="D77" s="453">
        <f>IF(LN_IB32=0,0,LN_IB34/LN_IB32)</f>
        <v>0.37677511897015714</v>
      </c>
      <c r="E77" s="493">
        <f>D77-C77</f>
        <v>2.0507123155093787E-2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1312711</v>
      </c>
      <c r="D83" s="448">
        <v>1054326</v>
      </c>
      <c r="E83" s="448">
        <f t="shared" ref="E83:E95" si="8">D83-C83</f>
        <v>-258385</v>
      </c>
      <c r="F83" s="449">
        <f t="shared" ref="F83:F95" si="9">IF(C83=0,0,E83/C83)</f>
        <v>-0.19683311863768949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0</v>
      </c>
      <c r="D84" s="448">
        <v>0</v>
      </c>
      <c r="E84" s="448">
        <f t="shared" si="8"/>
        <v>0</v>
      </c>
      <c r="F84" s="449">
        <f t="shared" si="9"/>
        <v>0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0</v>
      </c>
      <c r="D85" s="453">
        <f>IF(LN_IC1=0,0,LN_IC2/LN_IC1)</f>
        <v>0</v>
      </c>
      <c r="E85" s="454">
        <f t="shared" si="8"/>
        <v>0</v>
      </c>
      <c r="F85" s="449">
        <f t="shared" si="9"/>
        <v>0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89</v>
      </c>
      <c r="D86" s="456">
        <v>59</v>
      </c>
      <c r="E86" s="456">
        <f t="shared" si="8"/>
        <v>-30</v>
      </c>
      <c r="F86" s="449">
        <f t="shared" si="9"/>
        <v>-0.33707865168539325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1.0591999999999999</v>
      </c>
      <c r="D87" s="459">
        <v>1.0829</v>
      </c>
      <c r="E87" s="460">
        <f t="shared" si="8"/>
        <v>2.3700000000000054E-2</v>
      </c>
      <c r="F87" s="449">
        <f t="shared" si="9"/>
        <v>2.2375377643504585E-2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94.268799999999999</v>
      </c>
      <c r="D88" s="463">
        <f>LN_IC4*LN_IC5</f>
        <v>63.891100000000002</v>
      </c>
      <c r="E88" s="463">
        <f t="shared" si="8"/>
        <v>-30.377699999999997</v>
      </c>
      <c r="F88" s="449">
        <f t="shared" si="9"/>
        <v>-0.32224553616891272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0</v>
      </c>
      <c r="D89" s="465">
        <f>IF(LN_IC6=0,0,LN_IC2/LN_IC6)</f>
        <v>0</v>
      </c>
      <c r="E89" s="465">
        <f t="shared" si="8"/>
        <v>0</v>
      </c>
      <c r="F89" s="449">
        <f t="shared" si="9"/>
        <v>0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11604.071186049379</v>
      </c>
      <c r="D90" s="465">
        <f>LN_IB7-LN_IC7</f>
        <v>11831.769502849284</v>
      </c>
      <c r="E90" s="465">
        <f t="shared" si="8"/>
        <v>227.69831679990421</v>
      </c>
      <c r="F90" s="449">
        <f t="shared" si="9"/>
        <v>1.9622278521838711E-2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8088.315819909546</v>
      </c>
      <c r="D91" s="465">
        <f>LN_IA7-LN_IC7</f>
        <v>7474.9105762960098</v>
      </c>
      <c r="E91" s="465">
        <f t="shared" si="8"/>
        <v>-613.40524361353619</v>
      </c>
      <c r="F91" s="449">
        <f t="shared" si="9"/>
        <v>-7.5838438714723191E-2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762475.82636388903</v>
      </c>
      <c r="D92" s="441">
        <f>LN_IC9*LN_IC6</f>
        <v>477580.25912118598</v>
      </c>
      <c r="E92" s="441">
        <f t="shared" si="8"/>
        <v>-284895.56724270305</v>
      </c>
      <c r="F92" s="449">
        <f t="shared" si="9"/>
        <v>-0.37364537653779673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259</v>
      </c>
      <c r="D93" s="456">
        <v>166</v>
      </c>
      <c r="E93" s="456">
        <f t="shared" si="8"/>
        <v>-93</v>
      </c>
      <c r="F93" s="449">
        <f t="shared" si="9"/>
        <v>-0.35907335907335908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0</v>
      </c>
      <c r="D94" s="499">
        <f>IF(LN_IC11=0,0,LN_IC2/LN_IC11)</f>
        <v>0</v>
      </c>
      <c r="E94" s="499">
        <f t="shared" si="8"/>
        <v>0</v>
      </c>
      <c r="F94" s="449">
        <f t="shared" si="9"/>
        <v>0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2.9101123595505616</v>
      </c>
      <c r="D95" s="466">
        <f>IF(LN_IC4=0,0,LN_IC11/LN_IC4)</f>
        <v>2.8135593220338984</v>
      </c>
      <c r="E95" s="466">
        <f t="shared" si="8"/>
        <v>-9.655303751666322E-2</v>
      </c>
      <c r="F95" s="449">
        <f t="shared" si="9"/>
        <v>-3.3178456907270379E-2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10088487</v>
      </c>
      <c r="D98" s="448">
        <v>8932325</v>
      </c>
      <c r="E98" s="448">
        <f t="shared" ref="E98:E106" si="10">D98-C98</f>
        <v>-1156162</v>
      </c>
      <c r="F98" s="449">
        <f t="shared" ref="F98:F106" si="11">IF(C98=0,0,E98/C98)</f>
        <v>-0.11460212021881973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0</v>
      </c>
      <c r="D99" s="448">
        <v>0</v>
      </c>
      <c r="E99" s="448">
        <f t="shared" si="10"/>
        <v>0</v>
      </c>
      <c r="F99" s="449">
        <f t="shared" si="11"/>
        <v>0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</v>
      </c>
      <c r="D100" s="453">
        <f>IF(LN_IC14=0,0,LN_IC15/LN_IC14)</f>
        <v>0</v>
      </c>
      <c r="E100" s="454">
        <f t="shared" si="10"/>
        <v>0</v>
      </c>
      <c r="F100" s="449">
        <f t="shared" si="11"/>
        <v>0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7.6852307933734085</v>
      </c>
      <c r="D101" s="453">
        <f>IF(LN_IC1=0,0,LN_IC14/LN_IC1)</f>
        <v>8.4720712568977721</v>
      </c>
      <c r="E101" s="454">
        <f t="shared" si="10"/>
        <v>0.78684046352436354</v>
      </c>
      <c r="F101" s="449">
        <f t="shared" si="11"/>
        <v>0.10238345271332865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683.98554061023333</v>
      </c>
      <c r="D102" s="463">
        <f>LN_IC17*LN_IC4</f>
        <v>499.85220415696853</v>
      </c>
      <c r="E102" s="463">
        <f t="shared" si="10"/>
        <v>-184.1333364532648</v>
      </c>
      <c r="F102" s="449">
        <f t="shared" si="11"/>
        <v>-0.26920647516756868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0</v>
      </c>
      <c r="D103" s="465">
        <f>IF(LN_IC18=0,0,LN_IC15/LN_IC18)</f>
        <v>0</v>
      </c>
      <c r="E103" s="465">
        <f t="shared" si="10"/>
        <v>0</v>
      </c>
      <c r="F103" s="449">
        <f t="shared" si="11"/>
        <v>0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10469.166127646762</v>
      </c>
      <c r="D104" s="465">
        <f>LN_IB18-LN_IC19</f>
        <v>10910.527048162056</v>
      </c>
      <c r="E104" s="465">
        <f t="shared" si="10"/>
        <v>441.3609205152934</v>
      </c>
      <c r="F104" s="449">
        <f t="shared" si="11"/>
        <v>4.2158173357260652E-2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6282.4628023127152</v>
      </c>
      <c r="D105" s="465">
        <f>LN_IA16-LN_IC19</f>
        <v>6761.2825118476385</v>
      </c>
      <c r="E105" s="465">
        <f t="shared" si="10"/>
        <v>478.81970953492328</v>
      </c>
      <c r="F105" s="449">
        <f t="shared" si="11"/>
        <v>7.6215287635075055E-2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4297113.7162035443</v>
      </c>
      <c r="D106" s="448">
        <f>LN_IC21*LN_IC18</f>
        <v>3379641.9664750067</v>
      </c>
      <c r="E106" s="448">
        <f t="shared" si="10"/>
        <v>-917471.74972853763</v>
      </c>
      <c r="F106" s="449">
        <f t="shared" si="11"/>
        <v>-0.21350883647061461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11401198</v>
      </c>
      <c r="D109" s="448">
        <f>LN_IC1+LN_IC14</f>
        <v>9986651</v>
      </c>
      <c r="E109" s="448">
        <f>D109-C109</f>
        <v>-1414547</v>
      </c>
      <c r="F109" s="449">
        <f>IF(C109=0,0,E109/C109)</f>
        <v>-0.1240700319387489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0</v>
      </c>
      <c r="D110" s="448">
        <f>LN_IC2+LN_IC15</f>
        <v>0</v>
      </c>
      <c r="E110" s="448">
        <f>D110-C110</f>
        <v>0</v>
      </c>
      <c r="F110" s="449">
        <f>IF(C110=0,0,E110/C110)</f>
        <v>0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11401198</v>
      </c>
      <c r="D111" s="448">
        <f>LN_IC23-LN_IC24</f>
        <v>9986651</v>
      </c>
      <c r="E111" s="448">
        <f>D111-C111</f>
        <v>-1414547</v>
      </c>
      <c r="F111" s="449">
        <f>IF(C111=0,0,E111/C111)</f>
        <v>-0.1240700319387489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5059589.5425674338</v>
      </c>
      <c r="D113" s="448">
        <f>LN_IC10+LN_IC22</f>
        <v>3857222.2255961928</v>
      </c>
      <c r="E113" s="448">
        <f>D113-C113</f>
        <v>-1202367.316971241</v>
      </c>
      <c r="F113" s="449">
        <f>IF(C113=0,0,E113/C113)</f>
        <v>-0.23764127640304847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53016167</v>
      </c>
      <c r="D118" s="448">
        <v>59068288</v>
      </c>
      <c r="E118" s="448">
        <f t="shared" ref="E118:E130" si="12">D118-C118</f>
        <v>6052121</v>
      </c>
      <c r="F118" s="449">
        <f t="shared" ref="F118:F130" si="13">IF(C118=0,0,E118/C118)</f>
        <v>0.11415614033357033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15703121</v>
      </c>
      <c r="D119" s="448">
        <v>16753204</v>
      </c>
      <c r="E119" s="448">
        <f t="shared" si="12"/>
        <v>1050083</v>
      </c>
      <c r="F119" s="449">
        <f t="shared" si="13"/>
        <v>6.6870974247730752E-2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0.29619495124949341</v>
      </c>
      <c r="D120" s="453">
        <f>IF(LN_ID1=0,0,LN_1D2/LN_ID1)</f>
        <v>0.28362433663220443</v>
      </c>
      <c r="E120" s="454">
        <f t="shared" si="12"/>
        <v>-1.2570614617288978E-2</v>
      </c>
      <c r="F120" s="449">
        <f t="shared" si="13"/>
        <v>-4.2440340607630384E-2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3032</v>
      </c>
      <c r="D121" s="456">
        <v>3087</v>
      </c>
      <c r="E121" s="456">
        <f t="shared" si="12"/>
        <v>55</v>
      </c>
      <c r="F121" s="449">
        <f t="shared" si="13"/>
        <v>1.8139841688654353E-2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1.0516000000000001</v>
      </c>
      <c r="D122" s="459">
        <v>1.1125</v>
      </c>
      <c r="E122" s="460">
        <f t="shared" si="12"/>
        <v>6.0899999999999954E-2</v>
      </c>
      <c r="F122" s="449">
        <f t="shared" si="13"/>
        <v>5.7911753518448031E-2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3188.4512000000004</v>
      </c>
      <c r="D123" s="463">
        <f>LN_ID4*LN_ID5</f>
        <v>3434.2875000000004</v>
      </c>
      <c r="E123" s="463">
        <f t="shared" si="12"/>
        <v>245.83629999999994</v>
      </c>
      <c r="F123" s="449">
        <f t="shared" si="13"/>
        <v>7.710210524783942E-2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4924.999636186998</v>
      </c>
      <c r="D124" s="465">
        <f>IF(LN_ID6=0,0,LN_1D2/LN_ID6)</f>
        <v>4878.2182621577249</v>
      </c>
      <c r="E124" s="465">
        <f t="shared" si="12"/>
        <v>-46.781374029273138</v>
      </c>
      <c r="F124" s="449">
        <f t="shared" si="13"/>
        <v>-9.4987568497552043E-3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6679.0715498623813</v>
      </c>
      <c r="D125" s="465">
        <f>LN_IB7-LN_ID7</f>
        <v>6953.5512406915586</v>
      </c>
      <c r="E125" s="465">
        <f t="shared" si="12"/>
        <v>274.47969082917734</v>
      </c>
      <c r="F125" s="449">
        <f t="shared" si="13"/>
        <v>4.1095485918972205E-2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3163.316183722548</v>
      </c>
      <c r="D126" s="465">
        <f>LN_IA7-LN_ID7</f>
        <v>2596.6923141382849</v>
      </c>
      <c r="E126" s="465">
        <f t="shared" si="12"/>
        <v>-566.62386958426305</v>
      </c>
      <c r="F126" s="449">
        <f t="shared" si="13"/>
        <v>-0.17912337454597022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10086079.281969581</v>
      </c>
      <c r="D127" s="479">
        <f>LN_ID9*LN_ID6</f>
        <v>8917787.9557911865</v>
      </c>
      <c r="E127" s="479">
        <f t="shared" si="12"/>
        <v>-1168291.3261783943</v>
      </c>
      <c r="F127" s="449">
        <f t="shared" si="13"/>
        <v>-0.11583205857472237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13576</v>
      </c>
      <c r="D128" s="456">
        <v>13835</v>
      </c>
      <c r="E128" s="456">
        <f t="shared" si="12"/>
        <v>259</v>
      </c>
      <c r="F128" s="449">
        <f t="shared" si="13"/>
        <v>1.9077784325279904E-2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1156.6824543311727</v>
      </c>
      <c r="D129" s="465">
        <f>IF(LN_ID11=0,0,LN_1D2/LN_ID11)</f>
        <v>1210.9290928803759</v>
      </c>
      <c r="E129" s="465">
        <f t="shared" si="12"/>
        <v>54.246638549203226</v>
      </c>
      <c r="F129" s="449">
        <f t="shared" si="13"/>
        <v>4.6898471007386554E-2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4.477572559366755</v>
      </c>
      <c r="D130" s="466">
        <f>IF(LN_ID4=0,0,LN_ID11/LN_ID4)</f>
        <v>4.4816974408811143</v>
      </c>
      <c r="E130" s="466">
        <f t="shared" si="12"/>
        <v>4.1248815143593021E-3</v>
      </c>
      <c r="F130" s="449">
        <f t="shared" si="13"/>
        <v>9.2123164050805849E-4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81713156</v>
      </c>
      <c r="D133" s="448">
        <v>93379302</v>
      </c>
      <c r="E133" s="448">
        <f t="shared" ref="E133:E141" si="14">D133-C133</f>
        <v>11666146</v>
      </c>
      <c r="F133" s="449">
        <f t="shared" ref="F133:F141" si="15">IF(C133=0,0,E133/C133)</f>
        <v>0.14276949479224618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18881597</v>
      </c>
      <c r="D134" s="448">
        <v>23144138</v>
      </c>
      <c r="E134" s="448">
        <f t="shared" si="14"/>
        <v>4262541</v>
      </c>
      <c r="F134" s="449">
        <f t="shared" si="15"/>
        <v>0.22575108450837078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0.23107168936174732</v>
      </c>
      <c r="D135" s="453">
        <f>IF(LN_ID14=0,0,LN_ID15/LN_ID14)</f>
        <v>0.24785083529538485</v>
      </c>
      <c r="E135" s="454">
        <f t="shared" si="14"/>
        <v>1.6779145933637524E-2</v>
      </c>
      <c r="F135" s="449">
        <f t="shared" si="15"/>
        <v>7.2614459953895247E-2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1.5412875095251606</v>
      </c>
      <c r="D136" s="453">
        <f>IF(LN_ID1=0,0,LN_ID14/LN_ID1)</f>
        <v>1.5808702971042601</v>
      </c>
      <c r="E136" s="454">
        <f t="shared" si="14"/>
        <v>3.9582787579099499E-2</v>
      </c>
      <c r="F136" s="449">
        <f t="shared" si="15"/>
        <v>2.5681637808960218E-2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4673.1837288802872</v>
      </c>
      <c r="D137" s="463">
        <f>LN_ID17*LN_ID4</f>
        <v>4880.1466071608511</v>
      </c>
      <c r="E137" s="463">
        <f t="shared" si="14"/>
        <v>206.96287828056393</v>
      </c>
      <c r="F137" s="449">
        <f t="shared" si="15"/>
        <v>4.4287340341774457E-2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4040.414007973126</v>
      </c>
      <c r="D138" s="465">
        <f>IF(LN_ID18=0,0,LN_ID15/LN_ID18)</f>
        <v>4742.5087529213979</v>
      </c>
      <c r="E138" s="465">
        <f t="shared" si="14"/>
        <v>702.09474494827191</v>
      </c>
      <c r="F138" s="449">
        <f t="shared" si="15"/>
        <v>0.17376802069362141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6428.7521196736361</v>
      </c>
      <c r="D139" s="465">
        <f>LN_IB18-LN_ID19</f>
        <v>6168.0182952406576</v>
      </c>
      <c r="E139" s="465">
        <f t="shared" si="14"/>
        <v>-260.73382443297851</v>
      </c>
      <c r="F139" s="449">
        <f t="shared" si="15"/>
        <v>-4.0557454942937665E-2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2242.0487943395892</v>
      </c>
      <c r="D140" s="465">
        <f>LN_IA16-LN_ID19</f>
        <v>2018.7737589262406</v>
      </c>
      <c r="E140" s="465">
        <f t="shared" si="14"/>
        <v>-223.27503541334863</v>
      </c>
      <c r="F140" s="449">
        <f t="shared" si="15"/>
        <v>-9.9585270390654373E-2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10477505.945063435</v>
      </c>
      <c r="D141" s="441">
        <f>LN_ID21*LN_ID18</f>
        <v>9851911.91024925</v>
      </c>
      <c r="E141" s="441">
        <f t="shared" si="14"/>
        <v>-625594.03481418453</v>
      </c>
      <c r="F141" s="449">
        <f t="shared" si="15"/>
        <v>-5.9708296811698633E-2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134729323</v>
      </c>
      <c r="D144" s="448">
        <f>LN_ID1+LN_ID14</f>
        <v>152447590</v>
      </c>
      <c r="E144" s="448">
        <f>D144-C144</f>
        <v>17718267</v>
      </c>
      <c r="F144" s="449">
        <f>IF(C144=0,0,E144/C144)</f>
        <v>0.13151010192487941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34584718</v>
      </c>
      <c r="D145" s="448">
        <f>LN_1D2+LN_ID15</f>
        <v>39897342</v>
      </c>
      <c r="E145" s="448">
        <f>D145-C145</f>
        <v>5312624</v>
      </c>
      <c r="F145" s="449">
        <f>IF(C145=0,0,E145/C145)</f>
        <v>0.15361189297538871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100144605</v>
      </c>
      <c r="D146" s="448">
        <f>LN_ID23-LN_ID24</f>
        <v>112550248</v>
      </c>
      <c r="E146" s="448">
        <f>D146-C146</f>
        <v>12405643</v>
      </c>
      <c r="F146" s="449">
        <f>IF(C146=0,0,E146/C146)</f>
        <v>0.12387729723433429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20563585.227033015</v>
      </c>
      <c r="D148" s="448">
        <f>LN_ID10+LN_ID22</f>
        <v>18769699.866040438</v>
      </c>
      <c r="E148" s="448">
        <f>D148-C148</f>
        <v>-1793885.3609925769</v>
      </c>
      <c r="F148" s="503">
        <f>IF(C148=0,0,E148/C148)</f>
        <v>-8.7236021403229058E-2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1736683</v>
      </c>
      <c r="D153" s="448">
        <v>2140405</v>
      </c>
      <c r="E153" s="448">
        <f t="shared" ref="E153:E165" si="16">D153-C153</f>
        <v>403722</v>
      </c>
      <c r="F153" s="449">
        <f t="shared" ref="F153:F165" si="17">IF(C153=0,0,E153/C153)</f>
        <v>0.23246729541315253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554981</v>
      </c>
      <c r="D154" s="448">
        <v>825171</v>
      </c>
      <c r="E154" s="448">
        <f t="shared" si="16"/>
        <v>270190</v>
      </c>
      <c r="F154" s="449">
        <f t="shared" si="17"/>
        <v>0.48684549561156149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0.31956378913134981</v>
      </c>
      <c r="D155" s="453">
        <f>IF(LN_IE1=0,0,LN_IE2/LN_IE1)</f>
        <v>0.38552096449036516</v>
      </c>
      <c r="E155" s="454">
        <f t="shared" si="16"/>
        <v>6.5957175359015352E-2</v>
      </c>
      <c r="F155" s="449">
        <f t="shared" si="17"/>
        <v>0.20639752563424849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106</v>
      </c>
      <c r="D156" s="506">
        <v>123</v>
      </c>
      <c r="E156" s="506">
        <f t="shared" si="16"/>
        <v>17</v>
      </c>
      <c r="F156" s="449">
        <f t="shared" si="17"/>
        <v>0.16037735849056603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0.96050000000000002</v>
      </c>
      <c r="D157" s="459">
        <v>0.92369999999999997</v>
      </c>
      <c r="E157" s="460">
        <f t="shared" si="16"/>
        <v>-3.6800000000000055E-2</v>
      </c>
      <c r="F157" s="449">
        <f t="shared" si="17"/>
        <v>-3.8313378448724678E-2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101.813</v>
      </c>
      <c r="D158" s="463">
        <f>LN_IE4*LN_IE5</f>
        <v>113.6151</v>
      </c>
      <c r="E158" s="463">
        <f t="shared" si="16"/>
        <v>11.802099999999996</v>
      </c>
      <c r="F158" s="449">
        <f t="shared" si="17"/>
        <v>0.11591938161138554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5450.9836661330082</v>
      </c>
      <c r="D159" s="465">
        <f>IF(LN_IE6=0,0,LN_IE2/LN_IE6)</f>
        <v>7262.8638270793235</v>
      </c>
      <c r="E159" s="465">
        <f t="shared" si="16"/>
        <v>1811.8801609463153</v>
      </c>
      <c r="F159" s="449">
        <f t="shared" si="17"/>
        <v>0.33239508168104354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6153.0875199163711</v>
      </c>
      <c r="D160" s="465">
        <f>LN_IB7-LN_IE7</f>
        <v>4568.90567576996</v>
      </c>
      <c r="E160" s="465">
        <f t="shared" si="16"/>
        <v>-1584.1818441464111</v>
      </c>
      <c r="F160" s="449">
        <f t="shared" si="17"/>
        <v>-0.25746128899007475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2637.3321537765378</v>
      </c>
      <c r="D161" s="465">
        <f>LN_IA7-LN_IE7</f>
        <v>212.04674921668629</v>
      </c>
      <c r="E161" s="465">
        <f t="shared" si="16"/>
        <v>-2425.2854045598515</v>
      </c>
      <c r="F161" s="449">
        <f t="shared" si="17"/>
        <v>-0.91959801160690169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268514.69857245067</v>
      </c>
      <c r="D162" s="479">
        <f>LN_IE9*LN_IE6</f>
        <v>24091.712616928733</v>
      </c>
      <c r="E162" s="479">
        <f t="shared" si="16"/>
        <v>-244422.98595552193</v>
      </c>
      <c r="F162" s="449">
        <f t="shared" si="17"/>
        <v>-0.91027786283204792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402</v>
      </c>
      <c r="D163" s="456">
        <v>483</v>
      </c>
      <c r="E163" s="506">
        <f t="shared" si="16"/>
        <v>81</v>
      </c>
      <c r="F163" s="449">
        <f t="shared" si="17"/>
        <v>0.20149253731343283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1380.5497512437812</v>
      </c>
      <c r="D164" s="465">
        <f>IF(LN_IE11=0,0,LN_IE2/LN_IE11)</f>
        <v>1708.4285714285713</v>
      </c>
      <c r="E164" s="465">
        <f t="shared" si="16"/>
        <v>327.87882018479013</v>
      </c>
      <c r="F164" s="449">
        <f t="shared" si="17"/>
        <v>0.23749873547794542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3.7924528301886791</v>
      </c>
      <c r="D165" s="466">
        <f>IF(LN_IE4=0,0,LN_IE11/LN_IE4)</f>
        <v>3.9268292682926829</v>
      </c>
      <c r="E165" s="466">
        <f t="shared" si="16"/>
        <v>0.13437643810400379</v>
      </c>
      <c r="F165" s="449">
        <f t="shared" si="17"/>
        <v>3.5432593131901502E-2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1873241</v>
      </c>
      <c r="D168" s="511">
        <v>2483037</v>
      </c>
      <c r="E168" s="511">
        <f t="shared" ref="E168:E176" si="18">D168-C168</f>
        <v>609796</v>
      </c>
      <c r="F168" s="449">
        <f t="shared" ref="F168:F176" si="19">IF(C168=0,0,E168/C168)</f>
        <v>0.32552992380585305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468477</v>
      </c>
      <c r="D169" s="511">
        <v>1037063</v>
      </c>
      <c r="E169" s="511">
        <f t="shared" si="18"/>
        <v>568586</v>
      </c>
      <c r="F169" s="449">
        <f t="shared" si="19"/>
        <v>1.2136903199089817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0.250089016843001</v>
      </c>
      <c r="D170" s="453">
        <f>IF(LN_IE14=0,0,LN_IE15/LN_IE14)</f>
        <v>0.41765910052890876</v>
      </c>
      <c r="E170" s="454">
        <f t="shared" si="18"/>
        <v>0.16757008368590776</v>
      </c>
      <c r="F170" s="449">
        <f t="shared" si="19"/>
        <v>0.67004175473688887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1.0786315061528211</v>
      </c>
      <c r="D171" s="453">
        <f>IF(LN_IE1=0,0,LN_IE14/LN_IE1)</f>
        <v>1.1600781160574751</v>
      </c>
      <c r="E171" s="454">
        <f t="shared" si="18"/>
        <v>8.1446609904654022E-2</v>
      </c>
      <c r="F171" s="449">
        <f t="shared" si="19"/>
        <v>7.5509207213083782E-2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114.33493965219904</v>
      </c>
      <c r="D172" s="463">
        <f>LN_IE17*LN_IE4</f>
        <v>142.68960827506945</v>
      </c>
      <c r="E172" s="463">
        <f t="shared" si="18"/>
        <v>28.354668622870406</v>
      </c>
      <c r="F172" s="449">
        <f t="shared" si="19"/>
        <v>0.24799653289820101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4097.4089060184297</v>
      </c>
      <c r="D173" s="465">
        <f>IF(LN_IE18=0,0,LN_IE15/LN_IE18)</f>
        <v>7267.9644477038937</v>
      </c>
      <c r="E173" s="465">
        <f t="shared" si="18"/>
        <v>3170.555541685464</v>
      </c>
      <c r="F173" s="449">
        <f t="shared" si="19"/>
        <v>0.77379524826737012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6371.7572216283324</v>
      </c>
      <c r="D174" s="465">
        <f>LN_IB18-LN_IE19</f>
        <v>3642.5626004581618</v>
      </c>
      <c r="E174" s="465">
        <f t="shared" si="18"/>
        <v>-2729.1946211701706</v>
      </c>
      <c r="F174" s="449">
        <f t="shared" si="19"/>
        <v>-0.42832683767457042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2185.0538962942856</v>
      </c>
      <c r="D175" s="465">
        <f>LN_IA16-LN_IE19</f>
        <v>-506.68193585625522</v>
      </c>
      <c r="E175" s="465">
        <f t="shared" si="18"/>
        <v>-2691.7358321505408</v>
      </c>
      <c r="F175" s="449">
        <f t="shared" si="19"/>
        <v>-1.2318853263599383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249828.00536960951</v>
      </c>
      <c r="D176" s="441">
        <f>LN_IE21*LN_IE18</f>
        <v>-72298.246947382926</v>
      </c>
      <c r="E176" s="441">
        <f t="shared" si="18"/>
        <v>-322126.25231699244</v>
      </c>
      <c r="F176" s="449">
        <f t="shared" si="19"/>
        <v>-1.2893920833271708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3609924</v>
      </c>
      <c r="D179" s="448">
        <f>LN_IE1+LN_IE14</f>
        <v>4623442</v>
      </c>
      <c r="E179" s="448">
        <f>D179-C179</f>
        <v>1013518</v>
      </c>
      <c r="F179" s="449">
        <f>IF(C179=0,0,E179/C179)</f>
        <v>0.28075881929924285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1023458</v>
      </c>
      <c r="D180" s="448">
        <f>LN_IE15+LN_IE2</f>
        <v>1862234</v>
      </c>
      <c r="E180" s="448">
        <f>D180-C180</f>
        <v>838776</v>
      </c>
      <c r="F180" s="449">
        <f>IF(C180=0,0,E180/C180)</f>
        <v>0.81955097326905457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2586466</v>
      </c>
      <c r="D181" s="448">
        <f>LN_IE23-LN_IE24</f>
        <v>2761208</v>
      </c>
      <c r="E181" s="448">
        <f>D181-C181</f>
        <v>174742</v>
      </c>
      <c r="F181" s="449">
        <f>IF(C181=0,0,E181/C181)</f>
        <v>6.7560138041636741E-2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518342.70394206018</v>
      </c>
      <c r="D183" s="448">
        <f>LN_IE10+LN_IE22</f>
        <v>-48206.534330454189</v>
      </c>
      <c r="E183" s="441">
        <f>D183-C183</f>
        <v>-566549.23827251443</v>
      </c>
      <c r="F183" s="449">
        <f>IF(C183=0,0,E183/C183)</f>
        <v>-1.0930012788138765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54752850</v>
      </c>
      <c r="D188" s="448">
        <f>LN_ID1+LN_IE1</f>
        <v>61208693</v>
      </c>
      <c r="E188" s="448">
        <f t="shared" ref="E188:E200" si="20">D188-C188</f>
        <v>6455843</v>
      </c>
      <c r="F188" s="449">
        <f t="shared" ref="F188:F200" si="21">IF(C188=0,0,E188/C188)</f>
        <v>0.1179088029207612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16258102</v>
      </c>
      <c r="D189" s="448">
        <f>LN_1D2+LN_IE2</f>
        <v>17578375</v>
      </c>
      <c r="E189" s="448">
        <f t="shared" si="20"/>
        <v>1320273</v>
      </c>
      <c r="F189" s="449">
        <f t="shared" si="21"/>
        <v>8.1207080629706954E-2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0.29693617775147779</v>
      </c>
      <c r="D190" s="453">
        <f>IF(LN_IF1=0,0,LN_IF2/LN_IF1)</f>
        <v>0.28718755683935288</v>
      </c>
      <c r="E190" s="454">
        <f t="shared" si="20"/>
        <v>-9.7486209121249168E-3</v>
      </c>
      <c r="F190" s="449">
        <f t="shared" si="21"/>
        <v>-3.2830694413679945E-2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3138</v>
      </c>
      <c r="D191" s="456">
        <f>LN_ID4+LN_IE4</f>
        <v>3210</v>
      </c>
      <c r="E191" s="456">
        <f t="shared" si="20"/>
        <v>72</v>
      </c>
      <c r="F191" s="449">
        <f t="shared" si="21"/>
        <v>2.2944550669216062E-2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1.0485226896112174</v>
      </c>
      <c r="D192" s="459">
        <f>IF((LN_ID4+LN_IE4)=0,0,(LN_ID6+LN_IE6)/(LN_ID4+LN_IE4))</f>
        <v>1.1052656074766356</v>
      </c>
      <c r="E192" s="460">
        <f t="shared" si="20"/>
        <v>5.6742917865418185E-2</v>
      </c>
      <c r="F192" s="449">
        <f t="shared" si="21"/>
        <v>5.4117014755739754E-2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3290.2642000000005</v>
      </c>
      <c r="D193" s="463">
        <f>LN_IF4*LN_IF5</f>
        <v>3547.9026000000003</v>
      </c>
      <c r="E193" s="463">
        <f t="shared" si="20"/>
        <v>257.63839999999982</v>
      </c>
      <c r="F193" s="449">
        <f t="shared" si="21"/>
        <v>7.8303256012085529E-2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4941.2755364751556</v>
      </c>
      <c r="D194" s="465">
        <f>IF(LN_IF6=0,0,LN_IF2/LN_IF6)</f>
        <v>4954.5821804691022</v>
      </c>
      <c r="E194" s="465">
        <f t="shared" si="20"/>
        <v>13.306643993946636</v>
      </c>
      <c r="F194" s="449">
        <f t="shared" si="21"/>
        <v>2.6929572932577026E-3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6662.7956495742237</v>
      </c>
      <c r="D195" s="465">
        <f>LN_IB7-LN_IF7</f>
        <v>6877.1873223801813</v>
      </c>
      <c r="E195" s="465">
        <f t="shared" si="20"/>
        <v>214.39167280595757</v>
      </c>
      <c r="F195" s="449">
        <f t="shared" si="21"/>
        <v>3.217743483092686E-2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3147.0402834343904</v>
      </c>
      <c r="D196" s="465">
        <f>LN_IA7-LN_IF7</f>
        <v>2520.3283958269076</v>
      </c>
      <c r="E196" s="465">
        <f t="shared" si="20"/>
        <v>-626.71188760748282</v>
      </c>
      <c r="F196" s="449">
        <f t="shared" si="21"/>
        <v>-0.19914326832942447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10354593.980542032</v>
      </c>
      <c r="D197" s="479">
        <f>LN_IF9*LN_IF6</f>
        <v>8941879.6684081163</v>
      </c>
      <c r="E197" s="479">
        <f t="shared" si="20"/>
        <v>-1412714.3121339157</v>
      </c>
      <c r="F197" s="449">
        <f t="shared" si="21"/>
        <v>-0.13643357864042144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13978</v>
      </c>
      <c r="D198" s="456">
        <f>LN_ID11+LN_IE11</f>
        <v>14318</v>
      </c>
      <c r="E198" s="456">
        <f t="shared" si="20"/>
        <v>340</v>
      </c>
      <c r="F198" s="449">
        <f t="shared" si="21"/>
        <v>2.4323937616254114E-2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1163.1207611961654</v>
      </c>
      <c r="D199" s="519">
        <f>IF(LN_IF11=0,0,LN_IF2/LN_IF11)</f>
        <v>1227.7116217348791</v>
      </c>
      <c r="E199" s="519">
        <f t="shared" si="20"/>
        <v>64.590860538713741</v>
      </c>
      <c r="F199" s="449">
        <f t="shared" si="21"/>
        <v>5.5532376941056262E-2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4.4544295729764185</v>
      </c>
      <c r="D200" s="466">
        <f>IF(LN_IF4=0,0,LN_IF11/LN_IF4)</f>
        <v>4.4604361370716514</v>
      </c>
      <c r="E200" s="466">
        <f t="shared" si="20"/>
        <v>6.0065640952329247E-3</v>
      </c>
      <c r="F200" s="449">
        <f t="shared" si="21"/>
        <v>1.3484474267306422E-3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83586397</v>
      </c>
      <c r="D203" s="448">
        <f>LN_ID14+LN_IE14</f>
        <v>95862339</v>
      </c>
      <c r="E203" s="448">
        <f t="shared" ref="E203:E211" si="22">D203-C203</f>
        <v>12275942</v>
      </c>
      <c r="F203" s="449">
        <f t="shared" ref="F203:F211" si="23">IF(C203=0,0,E203/C203)</f>
        <v>0.14686530871763739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19350074</v>
      </c>
      <c r="D204" s="448">
        <f>LN_ID15+LN_IE15</f>
        <v>24181201</v>
      </c>
      <c r="E204" s="448">
        <f t="shared" si="22"/>
        <v>4831127</v>
      </c>
      <c r="F204" s="449">
        <f t="shared" si="23"/>
        <v>0.24966969118567711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0.23149788356112538</v>
      </c>
      <c r="D205" s="453">
        <f>IF(LN_IF14=0,0,LN_IF15/LN_IF14)</f>
        <v>0.25224922792672522</v>
      </c>
      <c r="E205" s="454">
        <f t="shared" si="22"/>
        <v>2.0751344365599833E-2</v>
      </c>
      <c r="F205" s="449">
        <f t="shared" si="23"/>
        <v>8.9639456077880666E-2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1.5266127151372029</v>
      </c>
      <c r="D206" s="453">
        <f>IF(LN_IF1=0,0,LN_IF14/LN_IF1)</f>
        <v>1.5661556276001516</v>
      </c>
      <c r="E206" s="454">
        <f t="shared" si="22"/>
        <v>3.9542912462948721E-2</v>
      </c>
      <c r="F206" s="449">
        <f t="shared" si="23"/>
        <v>2.5902386421165657E-2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4787.5186685324861</v>
      </c>
      <c r="D207" s="463">
        <f>LN_ID18+LN_IE18</f>
        <v>5022.8362154359202</v>
      </c>
      <c r="E207" s="463">
        <f t="shared" si="22"/>
        <v>235.31754690343405</v>
      </c>
      <c r="F207" s="449">
        <f t="shared" si="23"/>
        <v>4.9152298548752339E-2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4041.7751532092429</v>
      </c>
      <c r="D208" s="465">
        <f>IF(LN_IF18=0,0,LN_IF15/LN_IF18)</f>
        <v>4814.2523392834482</v>
      </c>
      <c r="E208" s="465">
        <f t="shared" si="22"/>
        <v>772.47718607420529</v>
      </c>
      <c r="F208" s="449">
        <f t="shared" si="23"/>
        <v>0.19112324579976805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6427.3909744375196</v>
      </c>
      <c r="D209" s="465">
        <f>LN_IB18-LN_IF19</f>
        <v>6096.2747088786073</v>
      </c>
      <c r="E209" s="465">
        <f t="shared" si="22"/>
        <v>-331.11626555891235</v>
      </c>
      <c r="F209" s="449">
        <f t="shared" si="23"/>
        <v>-5.1516434409513936E-2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2240.6876491034723</v>
      </c>
      <c r="D210" s="465">
        <f>LN_IA16-LN_IF19</f>
        <v>1947.0301725641903</v>
      </c>
      <c r="E210" s="465">
        <f t="shared" si="22"/>
        <v>-293.65747653928202</v>
      </c>
      <c r="F210" s="449">
        <f t="shared" si="23"/>
        <v>-0.13105685509391643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10727333.950433044</v>
      </c>
      <c r="D211" s="441">
        <f>LN_IF21*LN_IF18</f>
        <v>9779613.6633018646</v>
      </c>
      <c r="E211" s="441">
        <f t="shared" si="22"/>
        <v>-947720.28713117912</v>
      </c>
      <c r="F211" s="449">
        <f t="shared" si="23"/>
        <v>-8.8346302213600916E-2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138339247</v>
      </c>
      <c r="D214" s="448">
        <f>LN_IF1+LN_IF14</f>
        <v>157071032</v>
      </c>
      <c r="E214" s="448">
        <f>D214-C214</f>
        <v>18731785</v>
      </c>
      <c r="F214" s="449">
        <f>IF(C214=0,0,E214/C214)</f>
        <v>0.13540470550631231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35608176</v>
      </c>
      <c r="D215" s="448">
        <f>LN_IF2+LN_IF15</f>
        <v>41759576</v>
      </c>
      <c r="E215" s="448">
        <f>D215-C215</f>
        <v>6151400</v>
      </c>
      <c r="F215" s="449">
        <f>IF(C215=0,0,E215/C215)</f>
        <v>0.1727524599968277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102731071</v>
      </c>
      <c r="D216" s="448">
        <f>LN_IF23-LN_IF24</f>
        <v>115311456</v>
      </c>
      <c r="E216" s="448">
        <f>D216-C216</f>
        <v>12580385</v>
      </c>
      <c r="F216" s="449">
        <f>IF(C216=0,0,E216/C216)</f>
        <v>0.12245939692383816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11029201</v>
      </c>
      <c r="D221" s="448">
        <v>11008953</v>
      </c>
      <c r="E221" s="448">
        <f t="shared" ref="E221:E230" si="24">D221-C221</f>
        <v>-20248</v>
      </c>
      <c r="F221" s="449">
        <f t="shared" ref="F221:F230" si="25">IF(C221=0,0,E221/C221)</f>
        <v>-1.8358537486079E-3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5008631</v>
      </c>
      <c r="D222" s="448">
        <v>4609438</v>
      </c>
      <c r="E222" s="448">
        <f t="shared" si="24"/>
        <v>-399193</v>
      </c>
      <c r="F222" s="449">
        <f t="shared" si="25"/>
        <v>-7.970102009910493E-2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0.4541245553508364</v>
      </c>
      <c r="D223" s="453">
        <f>IF(LN_IG1=0,0,LN_IG2/LN_IG1)</f>
        <v>0.41869903523068908</v>
      </c>
      <c r="E223" s="454">
        <f t="shared" si="24"/>
        <v>-3.5425520120147325E-2</v>
      </c>
      <c r="F223" s="449">
        <f t="shared" si="25"/>
        <v>-7.800837832426645E-2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855</v>
      </c>
      <c r="D224" s="456">
        <v>812</v>
      </c>
      <c r="E224" s="456">
        <f t="shared" si="24"/>
        <v>-43</v>
      </c>
      <c r="F224" s="449">
        <f t="shared" si="25"/>
        <v>-5.0292397660818715E-2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0.99039999999999995</v>
      </c>
      <c r="D225" s="459">
        <v>0.94130000000000003</v>
      </c>
      <c r="E225" s="460">
        <f t="shared" si="24"/>
        <v>-4.9099999999999921E-2</v>
      </c>
      <c r="F225" s="449">
        <f t="shared" si="25"/>
        <v>-4.9575928917608973E-2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846.79199999999992</v>
      </c>
      <c r="D226" s="463">
        <f>LN_IG3*LN_IG4</f>
        <v>764.3356</v>
      </c>
      <c r="E226" s="463">
        <f t="shared" si="24"/>
        <v>-82.456399999999917</v>
      </c>
      <c r="F226" s="449">
        <f t="shared" si="25"/>
        <v>-9.7375034246898792E-2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5914.8303243299424</v>
      </c>
      <c r="D227" s="465">
        <f>IF(LN_IG5=0,0,LN_IG2/LN_IG5)</f>
        <v>6030.6467473188477</v>
      </c>
      <c r="E227" s="465">
        <f t="shared" si="24"/>
        <v>115.81642298890529</v>
      </c>
      <c r="F227" s="449">
        <f t="shared" si="25"/>
        <v>1.9580683914550916E-2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2682</v>
      </c>
      <c r="D228" s="456">
        <v>2528</v>
      </c>
      <c r="E228" s="456">
        <f t="shared" si="24"/>
        <v>-154</v>
      </c>
      <c r="F228" s="449">
        <f t="shared" si="25"/>
        <v>-5.7419835943325878E-2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1867.4985085756898</v>
      </c>
      <c r="D229" s="465">
        <f>IF(LN_IG6=0,0,LN_IG2/LN_IG6)</f>
        <v>1823.3536392405063</v>
      </c>
      <c r="E229" s="465">
        <f t="shared" si="24"/>
        <v>-44.144869335183557</v>
      </c>
      <c r="F229" s="449">
        <f t="shared" si="25"/>
        <v>-2.3638503127294125E-2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3.1368421052631579</v>
      </c>
      <c r="D230" s="466">
        <f>IF(LN_IG3=0,0,LN_IG6/LN_IG3)</f>
        <v>3.1133004926108376</v>
      </c>
      <c r="E230" s="466">
        <f t="shared" si="24"/>
        <v>-2.3541612652320243E-2</v>
      </c>
      <c r="F230" s="449">
        <f t="shared" si="25"/>
        <v>-7.504876516679272E-3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22637292</v>
      </c>
      <c r="D233" s="448">
        <v>22841698</v>
      </c>
      <c r="E233" s="448">
        <f>D233-C233</f>
        <v>204406</v>
      </c>
      <c r="F233" s="449">
        <f>IF(C233=0,0,E233/C233)</f>
        <v>9.0296136127943211E-3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5573648</v>
      </c>
      <c r="D234" s="448">
        <v>5268282</v>
      </c>
      <c r="E234" s="448">
        <f>D234-C234</f>
        <v>-305366</v>
      </c>
      <c r="F234" s="449">
        <f>IF(C234=0,0,E234/C234)</f>
        <v>-5.4787456976113313E-2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33666493</v>
      </c>
      <c r="D237" s="448">
        <f>LN_IG1+LN_IG9</f>
        <v>33850651</v>
      </c>
      <c r="E237" s="448">
        <f>D237-C237</f>
        <v>184158</v>
      </c>
      <c r="F237" s="449">
        <f>IF(C237=0,0,E237/C237)</f>
        <v>5.4700678208448976E-3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10582279</v>
      </c>
      <c r="D238" s="448">
        <f>LN_IG2+LN_IG10</f>
        <v>9877720</v>
      </c>
      <c r="E238" s="448">
        <f>D238-C238</f>
        <v>-704559</v>
      </c>
      <c r="F238" s="449">
        <f>IF(C238=0,0,E238/C238)</f>
        <v>-6.6579136686908374E-2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23084214</v>
      </c>
      <c r="D239" s="448">
        <f>LN_IG13-LN_IG14</f>
        <v>23972931</v>
      </c>
      <c r="E239" s="448">
        <f>D239-C239</f>
        <v>888717</v>
      </c>
      <c r="F239" s="449">
        <f>IF(C239=0,0,E239/C239)</f>
        <v>3.8498906655431285E-2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29607174</v>
      </c>
      <c r="D243" s="448">
        <v>30854159</v>
      </c>
      <c r="E243" s="441">
        <f>D243-C243</f>
        <v>1246985</v>
      </c>
      <c r="F243" s="503">
        <f>IF(C243=0,0,E243/C243)</f>
        <v>4.2117663779731224E-2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348525480</v>
      </c>
      <c r="D244" s="448">
        <v>350127953</v>
      </c>
      <c r="E244" s="441">
        <f>D244-C244</f>
        <v>1602473</v>
      </c>
      <c r="F244" s="503">
        <f>IF(C244=0,0,E244/C244)</f>
        <v>4.5978646955740507E-3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2681674</v>
      </c>
      <c r="D248" s="441">
        <v>2248341</v>
      </c>
      <c r="E248" s="441">
        <f>D248-C248</f>
        <v>-433333</v>
      </c>
      <c r="F248" s="449">
        <f>IF(C248=0,0,E248/C248)</f>
        <v>-0.16159048415280902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14966698</v>
      </c>
      <c r="D249" s="441">
        <v>12798310</v>
      </c>
      <c r="E249" s="441">
        <f>D249-C249</f>
        <v>-2168388</v>
      </c>
      <c r="F249" s="449">
        <f>IF(C249=0,0,E249/C249)</f>
        <v>-0.14488085481513691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17648372</v>
      </c>
      <c r="D250" s="441">
        <f>LN_IH4+LN_IH5</f>
        <v>15046651</v>
      </c>
      <c r="E250" s="441">
        <f>D250-C250</f>
        <v>-2601721</v>
      </c>
      <c r="F250" s="449">
        <f>IF(C250=0,0,E250/C250)</f>
        <v>-0.14741988666150055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7282395.3472992713</v>
      </c>
      <c r="D251" s="441">
        <f>LN_IH6*LN_III10</f>
        <v>6035764.6262781136</v>
      </c>
      <c r="E251" s="441">
        <f>D251-C251</f>
        <v>-1246630.7210211577</v>
      </c>
      <c r="F251" s="449">
        <f>IF(C251=0,0,E251/C251)</f>
        <v>-0.17118415872374734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138339247</v>
      </c>
      <c r="D254" s="441">
        <f>LN_IF23</f>
        <v>157071032</v>
      </c>
      <c r="E254" s="441">
        <f>D254-C254</f>
        <v>18731785</v>
      </c>
      <c r="F254" s="449">
        <f>IF(C254=0,0,E254/C254)</f>
        <v>0.13540470550631231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35608176</v>
      </c>
      <c r="D255" s="441">
        <f>LN_IF24</f>
        <v>41759576</v>
      </c>
      <c r="E255" s="441">
        <f>D255-C255</f>
        <v>6151400</v>
      </c>
      <c r="F255" s="449">
        <f>IF(C255=0,0,E255/C255)</f>
        <v>0.1727524599968277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57084080.54304865</v>
      </c>
      <c r="D256" s="441">
        <f>LN_IH8*LN_III10</f>
        <v>63006962.729354031</v>
      </c>
      <c r="E256" s="441">
        <f>D256-C256</f>
        <v>5922882.1863053814</v>
      </c>
      <c r="F256" s="449">
        <f>IF(C256=0,0,E256/C256)</f>
        <v>0.10375716189102452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21475904.54304865</v>
      </c>
      <c r="D257" s="441">
        <f>LN_IH10-LN_IH9</f>
        <v>21247386.729354031</v>
      </c>
      <c r="E257" s="441">
        <f>D257-C257</f>
        <v>-228517.81369461864</v>
      </c>
      <c r="F257" s="449">
        <f>IF(C257=0,0,E257/C257)</f>
        <v>-1.0640660710544349E-2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304241557</v>
      </c>
      <c r="D261" s="448">
        <f>LN_IA1+LN_IB1+LN_IF1+LN_IG1</f>
        <v>311137786</v>
      </c>
      <c r="E261" s="448">
        <f t="shared" ref="E261:E274" si="26">D261-C261</f>
        <v>6896229</v>
      </c>
      <c r="F261" s="503">
        <f t="shared" ref="F261:F274" si="27">IF(C261=0,0,E261/C261)</f>
        <v>2.2666952759514046E-2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146671609</v>
      </c>
      <c r="D262" s="448">
        <f>+LN_IA2+LN_IB2+LN_IF2+LN_IG2</f>
        <v>140999695</v>
      </c>
      <c r="E262" s="448">
        <f t="shared" si="26"/>
        <v>-5671914</v>
      </c>
      <c r="F262" s="503">
        <f t="shared" si="27"/>
        <v>-3.8670837789745664E-2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0.48208933206320659</v>
      </c>
      <c r="D263" s="453">
        <f>IF(LN_IIA1=0,0,LN_IIA2/LN_IIA1)</f>
        <v>0.45317444985611616</v>
      </c>
      <c r="E263" s="454">
        <f t="shared" si="26"/>
        <v>-2.8914882207090431E-2</v>
      </c>
      <c r="F263" s="458">
        <f t="shared" si="27"/>
        <v>-5.9978266026636341E-2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14150</v>
      </c>
      <c r="D264" s="456">
        <f>LN_IA4+LN_IB4+LN_IF4+LN_IG3</f>
        <v>14070</v>
      </c>
      <c r="E264" s="456">
        <f t="shared" si="26"/>
        <v>-80</v>
      </c>
      <c r="F264" s="503">
        <f t="shared" si="27"/>
        <v>-5.6537102473498231E-3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1.2530368127208484</v>
      </c>
      <c r="D265" s="525">
        <f>IF(LN_IIA4=0,0,LN_IIA6/LN_IIA4)</f>
        <v>1.26651026297086</v>
      </c>
      <c r="E265" s="525">
        <f t="shared" si="26"/>
        <v>1.3473450250011565E-2</v>
      </c>
      <c r="F265" s="503">
        <f t="shared" si="27"/>
        <v>1.0752637203655069E-2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17730.470900000004</v>
      </c>
      <c r="D266" s="463">
        <f>LN_IA6+LN_IB6+LN_IF6+LN_IG5</f>
        <v>17819.7994</v>
      </c>
      <c r="E266" s="463">
        <f t="shared" si="26"/>
        <v>89.328499999995984</v>
      </c>
      <c r="F266" s="503">
        <f t="shared" si="27"/>
        <v>5.0381346611609711E-3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483895016</v>
      </c>
      <c r="D267" s="448">
        <f>LN_IA11+LN_IB13+LN_IF14+LN_IG9</f>
        <v>528134724</v>
      </c>
      <c r="E267" s="448">
        <f t="shared" si="26"/>
        <v>44239708</v>
      </c>
      <c r="F267" s="503">
        <f t="shared" si="27"/>
        <v>9.142418610899683E-2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1.5904961201602055</v>
      </c>
      <c r="D268" s="453">
        <f>IF(LN_IIA1=0,0,LN_IIA7/LN_IIA1)</f>
        <v>1.6974303596799394</v>
      </c>
      <c r="E268" s="454">
        <f t="shared" si="26"/>
        <v>0.10693423951973391</v>
      </c>
      <c r="F268" s="458">
        <f t="shared" si="27"/>
        <v>6.7233260216291987E-2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178543777</v>
      </c>
      <c r="D269" s="448">
        <f>LN_IA12+LN_IB14+LN_IF15+LN_IG10</f>
        <v>196824067</v>
      </c>
      <c r="E269" s="448">
        <f t="shared" si="26"/>
        <v>18280290</v>
      </c>
      <c r="F269" s="503">
        <f t="shared" si="27"/>
        <v>0.10238547826844729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0.36897213464996714</v>
      </c>
      <c r="D270" s="453">
        <f>IF(LN_IIA7=0,0,LN_IIA9/LN_IIA7)</f>
        <v>0.37267776204770053</v>
      </c>
      <c r="E270" s="454">
        <f t="shared" si="26"/>
        <v>3.7056273977333909E-3</v>
      </c>
      <c r="F270" s="458">
        <f t="shared" si="27"/>
        <v>1.0043109085321061E-2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788136573</v>
      </c>
      <c r="D271" s="441">
        <f>LN_IIA1+LN_IIA7</f>
        <v>839272510</v>
      </c>
      <c r="E271" s="441">
        <f t="shared" si="26"/>
        <v>51135937</v>
      </c>
      <c r="F271" s="503">
        <f t="shared" si="27"/>
        <v>6.4882075964770636E-2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325215386</v>
      </c>
      <c r="D272" s="441">
        <f>LN_IIA2+LN_IIA9</f>
        <v>337823762</v>
      </c>
      <c r="E272" s="441">
        <f t="shared" si="26"/>
        <v>12608376</v>
      </c>
      <c r="F272" s="503">
        <f t="shared" si="27"/>
        <v>3.8769309641457125E-2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0.41263836388417419</v>
      </c>
      <c r="D273" s="453">
        <f>IF(LN_IIA11=0,0,LN_IIA12/LN_IIA11)</f>
        <v>0.402519751302232</v>
      </c>
      <c r="E273" s="454">
        <f t="shared" si="26"/>
        <v>-1.0118612581942188E-2</v>
      </c>
      <c r="F273" s="458">
        <f t="shared" si="27"/>
        <v>-2.4521744625718898E-2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66332</v>
      </c>
      <c r="D274" s="508">
        <f>LN_IA8+LN_IB10+LN_IF11+LN_IG6</f>
        <v>62219</v>
      </c>
      <c r="E274" s="528">
        <f t="shared" si="26"/>
        <v>-4113</v>
      </c>
      <c r="F274" s="458">
        <f t="shared" si="27"/>
        <v>-6.2006271482843878E-2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231594617</v>
      </c>
      <c r="D277" s="448">
        <f>LN_IA1+LN_IF1+LN_IG1</f>
        <v>240867184</v>
      </c>
      <c r="E277" s="448">
        <f t="shared" ref="E277:E291" si="28">D277-C277</f>
        <v>9272567</v>
      </c>
      <c r="F277" s="503">
        <f t="shared" ref="F277:F291" si="29">IF(C277=0,0,E277/C277)</f>
        <v>4.0037921088640849E-2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95654223</v>
      </c>
      <c r="D278" s="448">
        <f>LN_IA2+LN_IF2+LN_IG2</f>
        <v>92541178</v>
      </c>
      <c r="E278" s="448">
        <f t="shared" si="28"/>
        <v>-3113045</v>
      </c>
      <c r="F278" s="503">
        <f t="shared" si="29"/>
        <v>-3.2544773271536584E-2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0.41302437957787247</v>
      </c>
      <c r="D279" s="453">
        <f>IF(D277=0,0,LN_IIB2/D277)</f>
        <v>0.38420002452471896</v>
      </c>
      <c r="E279" s="454">
        <f t="shared" si="28"/>
        <v>-2.8824355053153505E-2</v>
      </c>
      <c r="F279" s="458">
        <f t="shared" si="29"/>
        <v>-6.9788507599994831E-2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10355</v>
      </c>
      <c r="D280" s="456">
        <f>LN_IA4+LN_IF4+LN_IG3</f>
        <v>10549</v>
      </c>
      <c r="E280" s="456">
        <f t="shared" si="28"/>
        <v>194</v>
      </c>
      <c r="F280" s="503">
        <f t="shared" si="29"/>
        <v>1.8734910671173347E-2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1.287683573153066</v>
      </c>
      <c r="D281" s="525">
        <f>IF(LN_IIB4=0,0,LN_IIB6/LN_IIB4)</f>
        <v>1.30099271968907</v>
      </c>
      <c r="E281" s="525">
        <f t="shared" si="28"/>
        <v>1.3309146536004013E-2</v>
      </c>
      <c r="F281" s="503">
        <f t="shared" si="29"/>
        <v>1.0335727513720456E-2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13333.963399999999</v>
      </c>
      <c r="D282" s="463">
        <f>LN_IA6+LN_IF6+LN_IG5</f>
        <v>13724.172199999999</v>
      </c>
      <c r="E282" s="463">
        <f t="shared" si="28"/>
        <v>390.20880000000034</v>
      </c>
      <c r="F282" s="503">
        <f t="shared" si="29"/>
        <v>2.9264277116584882E-2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279275656</v>
      </c>
      <c r="D283" s="448">
        <f>LN_IA11+LN_IF14+LN_IG9</f>
        <v>316783812</v>
      </c>
      <c r="E283" s="448">
        <f t="shared" si="28"/>
        <v>37508156</v>
      </c>
      <c r="F283" s="503">
        <f t="shared" si="29"/>
        <v>0.1343051397218811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1.2058814648528726</v>
      </c>
      <c r="D284" s="453">
        <f>IF(D277=0,0,LN_IIB7/D277)</f>
        <v>1.3151804523110131</v>
      </c>
      <c r="E284" s="454">
        <f t="shared" si="28"/>
        <v>0.10929898745814048</v>
      </c>
      <c r="F284" s="458">
        <f t="shared" si="29"/>
        <v>9.0638251473146123E-2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66637804</v>
      </c>
      <c r="D285" s="448">
        <f>LN_IA12+LN_IF15+LN_IG10</f>
        <v>81281448</v>
      </c>
      <c r="E285" s="448">
        <f t="shared" si="28"/>
        <v>14643644</v>
      </c>
      <c r="F285" s="503">
        <f t="shared" si="29"/>
        <v>0.21974979847775294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0.23860942609333627</v>
      </c>
      <c r="D286" s="453">
        <f>IF(LN_IIB7=0,0,LN_IIB9/LN_IIB7)</f>
        <v>0.25658333829255137</v>
      </c>
      <c r="E286" s="454">
        <f t="shared" si="28"/>
        <v>1.7973912199215097E-2</v>
      </c>
      <c r="F286" s="458">
        <f t="shared" si="29"/>
        <v>7.5327754202737518E-2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510870273</v>
      </c>
      <c r="D287" s="441">
        <f>D277+LN_IIB7</f>
        <v>557650996</v>
      </c>
      <c r="E287" s="441">
        <f t="shared" si="28"/>
        <v>46780723</v>
      </c>
      <c r="F287" s="503">
        <f t="shared" si="29"/>
        <v>9.1570650069905321E-2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162292027</v>
      </c>
      <c r="D288" s="441">
        <f>LN_IIB2+LN_IIB9</f>
        <v>173822626</v>
      </c>
      <c r="E288" s="441">
        <f t="shared" si="28"/>
        <v>11530599</v>
      </c>
      <c r="F288" s="503">
        <f t="shared" si="29"/>
        <v>7.1048462534761492E-2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0.31767757017249659</v>
      </c>
      <c r="D289" s="453">
        <f>IF(LN_IIB11=0,0,LN_IIB12/LN_IIB11)</f>
        <v>0.31170503997450044</v>
      </c>
      <c r="E289" s="454">
        <f t="shared" si="28"/>
        <v>-5.9725301979961509E-3</v>
      </c>
      <c r="F289" s="458">
        <f t="shared" si="29"/>
        <v>-1.8800604004724383E-2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51763</v>
      </c>
      <c r="D290" s="508">
        <f>LN_IA8+LN_IF11+LN_IG6</f>
        <v>49411</v>
      </c>
      <c r="E290" s="528">
        <f t="shared" si="28"/>
        <v>-2352</v>
      </c>
      <c r="F290" s="458">
        <f t="shared" si="29"/>
        <v>-4.5437861020419988E-2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348578246</v>
      </c>
      <c r="D291" s="516">
        <f>LN_IIB11-LN_IIB12</f>
        <v>383828370</v>
      </c>
      <c r="E291" s="441">
        <f t="shared" si="28"/>
        <v>35250124</v>
      </c>
      <c r="F291" s="503">
        <f t="shared" si="29"/>
        <v>0.1011254270870363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5.5176045268783405</v>
      </c>
      <c r="D294" s="466">
        <f>IF(LN_IA4=0,0,LN_IA8/LN_IA4)</f>
        <v>4.9892753179102192</v>
      </c>
      <c r="E294" s="466">
        <f t="shared" ref="E294:E300" si="30">D294-C294</f>
        <v>-0.5283292089681213</v>
      </c>
      <c r="F294" s="503">
        <f t="shared" ref="F294:F300" si="31">IF(C294=0,0,E294/C294)</f>
        <v>-9.5753366591322317E-2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3.8389986824769435</v>
      </c>
      <c r="D295" s="466">
        <f>IF(LN_IB4=0,0,(LN_IB10)/(LN_IB4))</f>
        <v>3.6376029537063332</v>
      </c>
      <c r="E295" s="466">
        <f t="shared" si="30"/>
        <v>-0.20139572877061029</v>
      </c>
      <c r="F295" s="503">
        <f t="shared" si="31"/>
        <v>-5.2460483951161097E-2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2.9101123595505616</v>
      </c>
      <c r="D296" s="466">
        <f>IF(LN_IC4=0,0,LN_IC11/LN_IC4)</f>
        <v>2.8135593220338984</v>
      </c>
      <c r="E296" s="466">
        <f t="shared" si="30"/>
        <v>-9.655303751666322E-2</v>
      </c>
      <c r="F296" s="503">
        <f t="shared" si="31"/>
        <v>-3.3178456907270379E-2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4.477572559366755</v>
      </c>
      <c r="D297" s="466">
        <f>IF(LN_ID4=0,0,LN_ID11/LN_ID4)</f>
        <v>4.4816974408811143</v>
      </c>
      <c r="E297" s="466">
        <f t="shared" si="30"/>
        <v>4.1248815143593021E-3</v>
      </c>
      <c r="F297" s="503">
        <f t="shared" si="31"/>
        <v>9.2123164050805849E-4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3.7924528301886791</v>
      </c>
      <c r="D298" s="466">
        <f>IF(LN_IE4=0,0,LN_IE11/LN_IE4)</f>
        <v>3.9268292682926829</v>
      </c>
      <c r="E298" s="466">
        <f t="shared" si="30"/>
        <v>0.13437643810400379</v>
      </c>
      <c r="F298" s="503">
        <f t="shared" si="31"/>
        <v>3.5432593131901502E-2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3.1368421052631579</v>
      </c>
      <c r="D299" s="466">
        <f>IF(LN_IG3=0,0,LN_IG6/LN_IG3)</f>
        <v>3.1133004926108376</v>
      </c>
      <c r="E299" s="466">
        <f t="shared" si="30"/>
        <v>-2.3541612652320243E-2</v>
      </c>
      <c r="F299" s="503">
        <f t="shared" si="31"/>
        <v>-7.504876516679272E-3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4.687773851590106</v>
      </c>
      <c r="D300" s="466">
        <f>IF(LN_IIA4=0,0,LN_IIA14/LN_IIA4)</f>
        <v>4.4221037668798866</v>
      </c>
      <c r="E300" s="466">
        <f t="shared" si="30"/>
        <v>-0.26567008471021936</v>
      </c>
      <c r="F300" s="503">
        <f t="shared" si="31"/>
        <v>-5.6672973808261529E-2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788136573</v>
      </c>
      <c r="D304" s="441">
        <f>LN_IIA11</f>
        <v>839272510</v>
      </c>
      <c r="E304" s="441">
        <f t="shared" ref="E304:E316" si="32">D304-C304</f>
        <v>51135937</v>
      </c>
      <c r="F304" s="449">
        <f>IF(C304=0,0,E304/C304)</f>
        <v>6.4882075964770636E-2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348578246</v>
      </c>
      <c r="D305" s="441">
        <f>LN_IIB14</f>
        <v>383828370</v>
      </c>
      <c r="E305" s="441">
        <f t="shared" si="32"/>
        <v>35250124</v>
      </c>
      <c r="F305" s="449">
        <f>IF(C305=0,0,E305/C305)</f>
        <v>0.1011254270870363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17648372</v>
      </c>
      <c r="D306" s="441">
        <f>LN_IH6</f>
        <v>15046651</v>
      </c>
      <c r="E306" s="441">
        <f t="shared" si="32"/>
        <v>-2601721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89211197</v>
      </c>
      <c r="D307" s="441">
        <f>LN_IB32-LN_IB33</f>
        <v>96875922</v>
      </c>
      <c r="E307" s="441">
        <f t="shared" si="32"/>
        <v>7664725</v>
      </c>
      <c r="F307" s="449">
        <f t="shared" ref="F307:F316" si="33">IF(C307=0,0,E307/C307)</f>
        <v>8.5916625465747312E-2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7483372</v>
      </c>
      <c r="D308" s="441">
        <v>6858523</v>
      </c>
      <c r="E308" s="441">
        <f t="shared" si="32"/>
        <v>-624849</v>
      </c>
      <c r="F308" s="449">
        <f t="shared" si="33"/>
        <v>-8.3498321344976575E-2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462921187</v>
      </c>
      <c r="D309" s="441">
        <f>LN_III2+LN_III3+LN_III4+LN_III5</f>
        <v>502609466</v>
      </c>
      <c r="E309" s="441">
        <f t="shared" si="32"/>
        <v>39688279</v>
      </c>
      <c r="F309" s="449">
        <f t="shared" si="33"/>
        <v>8.5734418977889637E-2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325215386</v>
      </c>
      <c r="D310" s="441">
        <f>LN_III1-LN_III6</f>
        <v>336663044</v>
      </c>
      <c r="E310" s="441">
        <f t="shared" si="32"/>
        <v>11447658</v>
      </c>
      <c r="F310" s="449">
        <f t="shared" si="33"/>
        <v>3.5200234960593164E-2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325215386</v>
      </c>
      <c r="D312" s="441">
        <f>LN_III7+LN_III8</f>
        <v>336663044</v>
      </c>
      <c r="E312" s="441">
        <f t="shared" si="32"/>
        <v>11447658</v>
      </c>
      <c r="F312" s="449">
        <f t="shared" si="33"/>
        <v>3.5200234960593164E-2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0.41263836388417419</v>
      </c>
      <c r="D313" s="532">
        <f>IF(LN_III1=0,0,LN_III9/LN_III1)</f>
        <v>0.40113674639480329</v>
      </c>
      <c r="E313" s="532">
        <f t="shared" si="32"/>
        <v>-1.1501617489370897E-2</v>
      </c>
      <c r="F313" s="449">
        <f t="shared" si="33"/>
        <v>-2.78733595710925E-2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7282395.3472992713</v>
      </c>
      <c r="D314" s="441">
        <f>D313*LN_III5</f>
        <v>6035764.6262781136</v>
      </c>
      <c r="E314" s="441">
        <f t="shared" si="32"/>
        <v>-1246630.7210211577</v>
      </c>
      <c r="F314" s="449">
        <f t="shared" si="33"/>
        <v>-0.17118415872374734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21475904.54304865</v>
      </c>
      <c r="D315" s="441">
        <f>D313*LN_IH8-LN_IH9</f>
        <v>21247386.729354031</v>
      </c>
      <c r="E315" s="441">
        <f t="shared" si="32"/>
        <v>-228517.81369461864</v>
      </c>
      <c r="F315" s="449">
        <f t="shared" si="33"/>
        <v>-1.0640660710544349E-2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28758299.89034792</v>
      </c>
      <c r="D318" s="441">
        <f>D314+D315+D316</f>
        <v>27283151.355632145</v>
      </c>
      <c r="E318" s="441">
        <f>D318-C318</f>
        <v>-1475148.5347157754</v>
      </c>
      <c r="F318" s="449">
        <f>IF(C318=0,0,E318/C318)</f>
        <v>-5.129470588805133E-2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10477505.945063435</v>
      </c>
      <c r="D322" s="441">
        <f>LN_ID22</f>
        <v>9851911.91024925</v>
      </c>
      <c r="E322" s="441">
        <f>LN_IV2-C322</f>
        <v>-625594.03481418453</v>
      </c>
      <c r="F322" s="449">
        <f>IF(C322=0,0,E322/C322)</f>
        <v>-5.9708296811698633E-2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518342.70394206018</v>
      </c>
      <c r="D323" s="441">
        <f>LN_IE10+LN_IE22</f>
        <v>-48206.534330454189</v>
      </c>
      <c r="E323" s="441">
        <f>LN_IV3-C323</f>
        <v>-566549.23827251443</v>
      </c>
      <c r="F323" s="449">
        <f>IF(C323=0,0,E323/C323)</f>
        <v>-1.0930012788138765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5059589.5425674338</v>
      </c>
      <c r="D324" s="441">
        <f>LN_IC10+LN_IC22</f>
        <v>3857222.2255961928</v>
      </c>
      <c r="E324" s="441">
        <f>LN_IV1-C324</f>
        <v>-1202367.316971241</v>
      </c>
      <c r="F324" s="449">
        <f>IF(C324=0,0,E324/C324)</f>
        <v>-0.23764127640304847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16055438.191572929</v>
      </c>
      <c r="D325" s="516">
        <f>LN_IV1+LN_IV2+LN_IV3</f>
        <v>13660927.60151499</v>
      </c>
      <c r="E325" s="441">
        <f>LN_IV4-C325</f>
        <v>-2394510.5900579393</v>
      </c>
      <c r="F325" s="449">
        <f>IF(C325=0,0,E325/C325)</f>
        <v>-0.14914015808766615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15460356</v>
      </c>
      <c r="D329" s="518">
        <v>14516181</v>
      </c>
      <c r="E329" s="518">
        <f t="shared" ref="E329:E335" si="34">D329-C329</f>
        <v>-944175</v>
      </c>
      <c r="F329" s="542">
        <f t="shared" ref="F329:F335" si="35">IF(C329=0,0,E329/C329)</f>
        <v>-6.1070715318586453E-2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-6430155</v>
      </c>
      <c r="D330" s="516">
        <v>-12800916</v>
      </c>
      <c r="E330" s="518">
        <f t="shared" si="34"/>
        <v>-6370761</v>
      </c>
      <c r="F330" s="543">
        <f t="shared" si="35"/>
        <v>0.99076320866293266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318785233</v>
      </c>
      <c r="D331" s="516">
        <v>325022845</v>
      </c>
      <c r="E331" s="518">
        <f t="shared" si="34"/>
        <v>6237612</v>
      </c>
      <c r="F331" s="542">
        <f t="shared" si="35"/>
        <v>1.9566816007440344E-2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7150730</v>
      </c>
      <c r="D332" s="516">
        <v>3751716</v>
      </c>
      <c r="E332" s="518">
        <f t="shared" si="34"/>
        <v>-3399014</v>
      </c>
      <c r="F332" s="543">
        <f t="shared" si="35"/>
        <v>-0.4753380424096561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795287303</v>
      </c>
      <c r="D333" s="516">
        <v>843024228</v>
      </c>
      <c r="E333" s="518">
        <f t="shared" si="34"/>
        <v>47736925</v>
      </c>
      <c r="F333" s="542">
        <f t="shared" si="35"/>
        <v>6.0024754349686883E-2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2730999</v>
      </c>
      <c r="D334" s="516">
        <v>3202503</v>
      </c>
      <c r="E334" s="516">
        <f t="shared" si="34"/>
        <v>471504</v>
      </c>
      <c r="F334" s="543">
        <f t="shared" si="35"/>
        <v>0.17264890979454772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20379371</v>
      </c>
      <c r="D335" s="516">
        <v>18249154</v>
      </c>
      <c r="E335" s="516">
        <f t="shared" si="34"/>
        <v>-2130217</v>
      </c>
      <c r="F335" s="542">
        <f t="shared" si="35"/>
        <v>-0.10452810344342817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FILING&amp;RLAWRENCE AND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72646940</v>
      </c>
      <c r="D14" s="589">
        <v>70270602</v>
      </c>
      <c r="E14" s="590">
        <f t="shared" ref="E14:E22" si="0">D14-C14</f>
        <v>-2376338</v>
      </c>
    </row>
    <row r="15" spans="1:5" s="421" customFormat="1" x14ac:dyDescent="0.2">
      <c r="A15" s="588">
        <v>2</v>
      </c>
      <c r="B15" s="587" t="s">
        <v>637</v>
      </c>
      <c r="C15" s="589">
        <v>165812566</v>
      </c>
      <c r="D15" s="591">
        <v>168649538</v>
      </c>
      <c r="E15" s="590">
        <f t="shared" si="0"/>
        <v>2836972</v>
      </c>
    </row>
    <row r="16" spans="1:5" s="421" customFormat="1" x14ac:dyDescent="0.2">
      <c r="A16" s="588">
        <v>3</v>
      </c>
      <c r="B16" s="587" t="s">
        <v>779</v>
      </c>
      <c r="C16" s="589">
        <v>54752850</v>
      </c>
      <c r="D16" s="591">
        <v>61208693</v>
      </c>
      <c r="E16" s="590">
        <f t="shared" si="0"/>
        <v>6455843</v>
      </c>
    </row>
    <row r="17" spans="1:5" s="421" customFormat="1" x14ac:dyDescent="0.2">
      <c r="A17" s="588">
        <v>4</v>
      </c>
      <c r="B17" s="587" t="s">
        <v>115</v>
      </c>
      <c r="C17" s="589">
        <v>53016167</v>
      </c>
      <c r="D17" s="591">
        <v>59068288</v>
      </c>
      <c r="E17" s="590">
        <f t="shared" si="0"/>
        <v>6052121</v>
      </c>
    </row>
    <row r="18" spans="1:5" s="421" customFormat="1" x14ac:dyDescent="0.2">
      <c r="A18" s="588">
        <v>5</v>
      </c>
      <c r="B18" s="587" t="s">
        <v>745</v>
      </c>
      <c r="C18" s="589">
        <v>1736683</v>
      </c>
      <c r="D18" s="591">
        <v>2140405</v>
      </c>
      <c r="E18" s="590">
        <f t="shared" si="0"/>
        <v>403722</v>
      </c>
    </row>
    <row r="19" spans="1:5" s="421" customFormat="1" x14ac:dyDescent="0.2">
      <c r="A19" s="588">
        <v>6</v>
      </c>
      <c r="B19" s="587" t="s">
        <v>424</v>
      </c>
      <c r="C19" s="589">
        <v>11029201</v>
      </c>
      <c r="D19" s="591">
        <v>11008953</v>
      </c>
      <c r="E19" s="590">
        <f t="shared" si="0"/>
        <v>-20248</v>
      </c>
    </row>
    <row r="20" spans="1:5" s="421" customFormat="1" x14ac:dyDescent="0.2">
      <c r="A20" s="588">
        <v>7</v>
      </c>
      <c r="B20" s="587" t="s">
        <v>760</v>
      </c>
      <c r="C20" s="589">
        <v>1312711</v>
      </c>
      <c r="D20" s="591">
        <v>1054326</v>
      </c>
      <c r="E20" s="590">
        <f t="shared" si="0"/>
        <v>-258385</v>
      </c>
    </row>
    <row r="21" spans="1:5" s="421" customFormat="1" x14ac:dyDescent="0.2">
      <c r="A21" s="588"/>
      <c r="B21" s="592" t="s">
        <v>780</v>
      </c>
      <c r="C21" s="593">
        <f>SUM(C15+C16+C19)</f>
        <v>231594617</v>
      </c>
      <c r="D21" s="593">
        <f>SUM(D15+D16+D19)</f>
        <v>240867184</v>
      </c>
      <c r="E21" s="593">
        <f t="shared" si="0"/>
        <v>9272567</v>
      </c>
    </row>
    <row r="22" spans="1:5" s="421" customFormat="1" x14ac:dyDescent="0.2">
      <c r="A22" s="588"/>
      <c r="B22" s="592" t="s">
        <v>465</v>
      </c>
      <c r="C22" s="593">
        <f>SUM(C14+C21)</f>
        <v>304241557</v>
      </c>
      <c r="D22" s="593">
        <f>SUM(D14+D21)</f>
        <v>311137786</v>
      </c>
      <c r="E22" s="593">
        <f t="shared" si="0"/>
        <v>6896229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204619360</v>
      </c>
      <c r="D25" s="589">
        <v>211350912</v>
      </c>
      <c r="E25" s="590">
        <f t="shared" ref="E25:E33" si="1">D25-C25</f>
        <v>6731552</v>
      </c>
    </row>
    <row r="26" spans="1:5" s="421" customFormat="1" x14ac:dyDescent="0.2">
      <c r="A26" s="588">
        <v>2</v>
      </c>
      <c r="B26" s="587" t="s">
        <v>637</v>
      </c>
      <c r="C26" s="589">
        <v>173051967</v>
      </c>
      <c r="D26" s="591">
        <v>198079775</v>
      </c>
      <c r="E26" s="590">
        <f t="shared" si="1"/>
        <v>25027808</v>
      </c>
    </row>
    <row r="27" spans="1:5" s="421" customFormat="1" x14ac:dyDescent="0.2">
      <c r="A27" s="588">
        <v>3</v>
      </c>
      <c r="B27" s="587" t="s">
        <v>779</v>
      </c>
      <c r="C27" s="589">
        <v>83586397</v>
      </c>
      <c r="D27" s="591">
        <v>95862339</v>
      </c>
      <c r="E27" s="590">
        <f t="shared" si="1"/>
        <v>12275942</v>
      </c>
    </row>
    <row r="28" spans="1:5" s="421" customFormat="1" x14ac:dyDescent="0.2">
      <c r="A28" s="588">
        <v>4</v>
      </c>
      <c r="B28" s="587" t="s">
        <v>115</v>
      </c>
      <c r="C28" s="589">
        <v>81713156</v>
      </c>
      <c r="D28" s="591">
        <v>93379302</v>
      </c>
      <c r="E28" s="590">
        <f t="shared" si="1"/>
        <v>11666146</v>
      </c>
    </row>
    <row r="29" spans="1:5" s="421" customFormat="1" x14ac:dyDescent="0.2">
      <c r="A29" s="588">
        <v>5</v>
      </c>
      <c r="B29" s="587" t="s">
        <v>745</v>
      </c>
      <c r="C29" s="589">
        <v>1873241</v>
      </c>
      <c r="D29" s="591">
        <v>2483037</v>
      </c>
      <c r="E29" s="590">
        <f t="shared" si="1"/>
        <v>609796</v>
      </c>
    </row>
    <row r="30" spans="1:5" s="421" customFormat="1" x14ac:dyDescent="0.2">
      <c r="A30" s="588">
        <v>6</v>
      </c>
      <c r="B30" s="587" t="s">
        <v>424</v>
      </c>
      <c r="C30" s="589">
        <v>22637292</v>
      </c>
      <c r="D30" s="591">
        <v>22841698</v>
      </c>
      <c r="E30" s="590">
        <f t="shared" si="1"/>
        <v>204406</v>
      </c>
    </row>
    <row r="31" spans="1:5" s="421" customFormat="1" x14ac:dyDescent="0.2">
      <c r="A31" s="588">
        <v>7</v>
      </c>
      <c r="B31" s="587" t="s">
        <v>760</v>
      </c>
      <c r="C31" s="590">
        <v>10088487</v>
      </c>
      <c r="D31" s="594">
        <v>8932325</v>
      </c>
      <c r="E31" s="590">
        <f t="shared" si="1"/>
        <v>-1156162</v>
      </c>
    </row>
    <row r="32" spans="1:5" s="421" customFormat="1" x14ac:dyDescent="0.2">
      <c r="A32" s="588"/>
      <c r="B32" s="592" t="s">
        <v>782</v>
      </c>
      <c r="C32" s="593">
        <f>SUM(C26+C27+C30)</f>
        <v>279275656</v>
      </c>
      <c r="D32" s="593">
        <f>SUM(D26+D27+D30)</f>
        <v>316783812</v>
      </c>
      <c r="E32" s="593">
        <f t="shared" si="1"/>
        <v>37508156</v>
      </c>
    </row>
    <row r="33" spans="1:5" s="421" customFormat="1" x14ac:dyDescent="0.2">
      <c r="A33" s="588"/>
      <c r="B33" s="592" t="s">
        <v>467</v>
      </c>
      <c r="C33" s="593">
        <f>SUM(C25+C32)</f>
        <v>483895016</v>
      </c>
      <c r="D33" s="593">
        <f>SUM(D25+D32)</f>
        <v>528134724</v>
      </c>
      <c r="E33" s="593">
        <f t="shared" si="1"/>
        <v>44239708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277266300</v>
      </c>
      <c r="D36" s="590">
        <f t="shared" si="2"/>
        <v>281621514</v>
      </c>
      <c r="E36" s="590">
        <f t="shared" ref="E36:E44" si="3">D36-C36</f>
        <v>4355214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338864533</v>
      </c>
      <c r="D37" s="590">
        <f t="shared" si="2"/>
        <v>366729313</v>
      </c>
      <c r="E37" s="590">
        <f t="shared" si="3"/>
        <v>27864780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138339247</v>
      </c>
      <c r="D38" s="590">
        <f t="shared" si="2"/>
        <v>157071032</v>
      </c>
      <c r="E38" s="590">
        <f t="shared" si="3"/>
        <v>18731785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134729323</v>
      </c>
      <c r="D39" s="590">
        <f t="shared" si="2"/>
        <v>152447590</v>
      </c>
      <c r="E39" s="590">
        <f t="shared" si="3"/>
        <v>17718267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3609924</v>
      </c>
      <c r="D40" s="590">
        <f t="shared" si="2"/>
        <v>4623442</v>
      </c>
      <c r="E40" s="590">
        <f t="shared" si="3"/>
        <v>1013518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33666493</v>
      </c>
      <c r="D41" s="590">
        <f t="shared" si="2"/>
        <v>33850651</v>
      </c>
      <c r="E41" s="590">
        <f t="shared" si="3"/>
        <v>184158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11401198</v>
      </c>
      <c r="D42" s="590">
        <f t="shared" si="2"/>
        <v>9986651</v>
      </c>
      <c r="E42" s="590">
        <f t="shared" si="3"/>
        <v>-1414547</v>
      </c>
    </row>
    <row r="43" spans="1:5" s="421" customFormat="1" x14ac:dyDescent="0.2">
      <c r="A43" s="588"/>
      <c r="B43" s="592" t="s">
        <v>790</v>
      </c>
      <c r="C43" s="593">
        <f>SUM(C37+C38+C41)</f>
        <v>510870273</v>
      </c>
      <c r="D43" s="593">
        <f>SUM(D37+D38+D41)</f>
        <v>557650996</v>
      </c>
      <c r="E43" s="593">
        <f t="shared" si="3"/>
        <v>46780723</v>
      </c>
    </row>
    <row r="44" spans="1:5" s="421" customFormat="1" x14ac:dyDescent="0.2">
      <c r="A44" s="588"/>
      <c r="B44" s="592" t="s">
        <v>727</v>
      </c>
      <c r="C44" s="593">
        <f>SUM(C36+C43)</f>
        <v>788136573</v>
      </c>
      <c r="D44" s="593">
        <f>SUM(D36+D43)</f>
        <v>839272510</v>
      </c>
      <c r="E44" s="593">
        <f t="shared" si="3"/>
        <v>51135937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51017386</v>
      </c>
      <c r="D47" s="589">
        <v>48458517</v>
      </c>
      <c r="E47" s="590">
        <f t="shared" ref="E47:E55" si="4">D47-C47</f>
        <v>-2558869</v>
      </c>
    </row>
    <row r="48" spans="1:5" s="421" customFormat="1" x14ac:dyDescent="0.2">
      <c r="A48" s="588">
        <v>2</v>
      </c>
      <c r="B48" s="587" t="s">
        <v>637</v>
      </c>
      <c r="C48" s="589">
        <v>74387490</v>
      </c>
      <c r="D48" s="591">
        <v>70353365</v>
      </c>
      <c r="E48" s="590">
        <f t="shared" si="4"/>
        <v>-4034125</v>
      </c>
    </row>
    <row r="49" spans="1:5" s="421" customFormat="1" x14ac:dyDescent="0.2">
      <c r="A49" s="588">
        <v>3</v>
      </c>
      <c r="B49" s="587" t="s">
        <v>779</v>
      </c>
      <c r="C49" s="589">
        <v>16258102</v>
      </c>
      <c r="D49" s="591">
        <v>17578375</v>
      </c>
      <c r="E49" s="590">
        <f t="shared" si="4"/>
        <v>1320273</v>
      </c>
    </row>
    <row r="50" spans="1:5" s="421" customFormat="1" x14ac:dyDescent="0.2">
      <c r="A50" s="588">
        <v>4</v>
      </c>
      <c r="B50" s="587" t="s">
        <v>115</v>
      </c>
      <c r="C50" s="589">
        <v>15703121</v>
      </c>
      <c r="D50" s="591">
        <v>16753204</v>
      </c>
      <c r="E50" s="590">
        <f t="shared" si="4"/>
        <v>1050083</v>
      </c>
    </row>
    <row r="51" spans="1:5" s="421" customFormat="1" x14ac:dyDescent="0.2">
      <c r="A51" s="588">
        <v>5</v>
      </c>
      <c r="B51" s="587" t="s">
        <v>745</v>
      </c>
      <c r="C51" s="589">
        <v>554981</v>
      </c>
      <c r="D51" s="591">
        <v>825171</v>
      </c>
      <c r="E51" s="590">
        <f t="shared" si="4"/>
        <v>270190</v>
      </c>
    </row>
    <row r="52" spans="1:5" s="421" customFormat="1" x14ac:dyDescent="0.2">
      <c r="A52" s="588">
        <v>6</v>
      </c>
      <c r="B52" s="587" t="s">
        <v>424</v>
      </c>
      <c r="C52" s="589">
        <v>5008631</v>
      </c>
      <c r="D52" s="591">
        <v>4609438</v>
      </c>
      <c r="E52" s="590">
        <f t="shared" si="4"/>
        <v>-399193</v>
      </c>
    </row>
    <row r="53" spans="1:5" s="421" customFormat="1" x14ac:dyDescent="0.2">
      <c r="A53" s="588">
        <v>7</v>
      </c>
      <c r="B53" s="587" t="s">
        <v>760</v>
      </c>
      <c r="C53" s="589">
        <v>0</v>
      </c>
      <c r="D53" s="591">
        <v>0</v>
      </c>
      <c r="E53" s="590">
        <f t="shared" si="4"/>
        <v>0</v>
      </c>
    </row>
    <row r="54" spans="1:5" s="421" customFormat="1" x14ac:dyDescent="0.2">
      <c r="A54" s="588"/>
      <c r="B54" s="592" t="s">
        <v>792</v>
      </c>
      <c r="C54" s="593">
        <f>SUM(C48+C49+C52)</f>
        <v>95654223</v>
      </c>
      <c r="D54" s="593">
        <f>SUM(D48+D49+D52)</f>
        <v>92541178</v>
      </c>
      <c r="E54" s="593">
        <f t="shared" si="4"/>
        <v>-3113045</v>
      </c>
    </row>
    <row r="55" spans="1:5" s="421" customFormat="1" x14ac:dyDescent="0.2">
      <c r="A55" s="588"/>
      <c r="B55" s="592" t="s">
        <v>466</v>
      </c>
      <c r="C55" s="593">
        <f>SUM(C47+C54)</f>
        <v>146671609</v>
      </c>
      <c r="D55" s="593">
        <f>SUM(D47+D54)</f>
        <v>140999695</v>
      </c>
      <c r="E55" s="593">
        <f t="shared" si="4"/>
        <v>-5671914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111905973</v>
      </c>
      <c r="D58" s="589">
        <v>115542619</v>
      </c>
      <c r="E58" s="590">
        <f t="shared" ref="E58:E66" si="5">D58-C58</f>
        <v>3636646</v>
      </c>
    </row>
    <row r="59" spans="1:5" s="421" customFormat="1" x14ac:dyDescent="0.2">
      <c r="A59" s="588">
        <v>2</v>
      </c>
      <c r="B59" s="587" t="s">
        <v>637</v>
      </c>
      <c r="C59" s="589">
        <v>41714082</v>
      </c>
      <c r="D59" s="591">
        <v>51831965</v>
      </c>
      <c r="E59" s="590">
        <f t="shared" si="5"/>
        <v>10117883</v>
      </c>
    </row>
    <row r="60" spans="1:5" s="421" customFormat="1" x14ac:dyDescent="0.2">
      <c r="A60" s="588">
        <v>3</v>
      </c>
      <c r="B60" s="587" t="s">
        <v>779</v>
      </c>
      <c r="C60" s="589">
        <f>C61+C62</f>
        <v>19350074</v>
      </c>
      <c r="D60" s="591">
        <f>D61+D62</f>
        <v>24181201</v>
      </c>
      <c r="E60" s="590">
        <f t="shared" si="5"/>
        <v>4831127</v>
      </c>
    </row>
    <row r="61" spans="1:5" s="421" customFormat="1" x14ac:dyDescent="0.2">
      <c r="A61" s="588">
        <v>4</v>
      </c>
      <c r="B61" s="587" t="s">
        <v>115</v>
      </c>
      <c r="C61" s="589">
        <v>18881597</v>
      </c>
      <c r="D61" s="591">
        <v>23144138</v>
      </c>
      <c r="E61" s="590">
        <f t="shared" si="5"/>
        <v>4262541</v>
      </c>
    </row>
    <row r="62" spans="1:5" s="421" customFormat="1" x14ac:dyDescent="0.2">
      <c r="A62" s="588">
        <v>5</v>
      </c>
      <c r="B62" s="587" t="s">
        <v>745</v>
      </c>
      <c r="C62" s="589">
        <v>468477</v>
      </c>
      <c r="D62" s="591">
        <v>1037063</v>
      </c>
      <c r="E62" s="590">
        <f t="shared" si="5"/>
        <v>568586</v>
      </c>
    </row>
    <row r="63" spans="1:5" s="421" customFormat="1" x14ac:dyDescent="0.2">
      <c r="A63" s="588">
        <v>6</v>
      </c>
      <c r="B63" s="587" t="s">
        <v>424</v>
      </c>
      <c r="C63" s="589">
        <v>5573648</v>
      </c>
      <c r="D63" s="591">
        <v>5268282</v>
      </c>
      <c r="E63" s="590">
        <f t="shared" si="5"/>
        <v>-305366</v>
      </c>
    </row>
    <row r="64" spans="1:5" s="421" customFormat="1" x14ac:dyDescent="0.2">
      <c r="A64" s="588">
        <v>7</v>
      </c>
      <c r="B64" s="587" t="s">
        <v>760</v>
      </c>
      <c r="C64" s="589">
        <v>0</v>
      </c>
      <c r="D64" s="591">
        <v>0</v>
      </c>
      <c r="E64" s="590">
        <f t="shared" si="5"/>
        <v>0</v>
      </c>
    </row>
    <row r="65" spans="1:5" s="421" customFormat="1" x14ac:dyDescent="0.2">
      <c r="A65" s="588"/>
      <c r="B65" s="592" t="s">
        <v>794</v>
      </c>
      <c r="C65" s="593">
        <f>SUM(C59+C60+C63)</f>
        <v>66637804</v>
      </c>
      <c r="D65" s="593">
        <f>SUM(D59+D60+D63)</f>
        <v>81281448</v>
      </c>
      <c r="E65" s="593">
        <f t="shared" si="5"/>
        <v>14643644</v>
      </c>
    </row>
    <row r="66" spans="1:5" s="421" customFormat="1" x14ac:dyDescent="0.2">
      <c r="A66" s="588"/>
      <c r="B66" s="592" t="s">
        <v>468</v>
      </c>
      <c r="C66" s="593">
        <f>SUM(C58+C65)</f>
        <v>178543777</v>
      </c>
      <c r="D66" s="593">
        <f>SUM(D58+D65)</f>
        <v>196824067</v>
      </c>
      <c r="E66" s="593">
        <f t="shared" si="5"/>
        <v>18280290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162923359</v>
      </c>
      <c r="D69" s="590">
        <f t="shared" si="6"/>
        <v>164001136</v>
      </c>
      <c r="E69" s="590">
        <f t="shared" ref="E69:E77" si="7">D69-C69</f>
        <v>1077777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116101572</v>
      </c>
      <c r="D70" s="590">
        <f t="shared" si="6"/>
        <v>122185330</v>
      </c>
      <c r="E70" s="590">
        <f t="shared" si="7"/>
        <v>6083758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35608176</v>
      </c>
      <c r="D71" s="590">
        <f t="shared" si="6"/>
        <v>41759576</v>
      </c>
      <c r="E71" s="590">
        <f t="shared" si="7"/>
        <v>6151400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34584718</v>
      </c>
      <c r="D72" s="590">
        <f t="shared" si="6"/>
        <v>39897342</v>
      </c>
      <c r="E72" s="590">
        <f t="shared" si="7"/>
        <v>5312624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1023458</v>
      </c>
      <c r="D73" s="590">
        <f t="shared" si="6"/>
        <v>1862234</v>
      </c>
      <c r="E73" s="590">
        <f t="shared" si="7"/>
        <v>838776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10582279</v>
      </c>
      <c r="D74" s="590">
        <f t="shared" si="6"/>
        <v>9877720</v>
      </c>
      <c r="E74" s="590">
        <f t="shared" si="7"/>
        <v>-704559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0</v>
      </c>
      <c r="D75" s="590">
        <f t="shared" si="6"/>
        <v>0</v>
      </c>
      <c r="E75" s="590">
        <f t="shared" si="7"/>
        <v>0</v>
      </c>
    </row>
    <row r="76" spans="1:5" s="421" customFormat="1" x14ac:dyDescent="0.2">
      <c r="A76" s="588"/>
      <c r="B76" s="592" t="s">
        <v>795</v>
      </c>
      <c r="C76" s="593">
        <f>SUM(C70+C71+C74)</f>
        <v>162292027</v>
      </c>
      <c r="D76" s="593">
        <f>SUM(D70+D71+D74)</f>
        <v>173822626</v>
      </c>
      <c r="E76" s="593">
        <f t="shared" si="7"/>
        <v>11530599</v>
      </c>
    </row>
    <row r="77" spans="1:5" s="421" customFormat="1" x14ac:dyDescent="0.2">
      <c r="A77" s="588"/>
      <c r="B77" s="592" t="s">
        <v>728</v>
      </c>
      <c r="C77" s="593">
        <f>SUM(C69+C76)</f>
        <v>325215386</v>
      </c>
      <c r="D77" s="593">
        <f>SUM(D69+D76)</f>
        <v>337823762</v>
      </c>
      <c r="E77" s="593">
        <f t="shared" si="7"/>
        <v>12608376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9.2175572722724031E-2</v>
      </c>
      <c r="D83" s="599">
        <f t="shared" si="8"/>
        <v>8.3727991996306414E-2</v>
      </c>
      <c r="E83" s="599">
        <f t="shared" ref="E83:E91" si="9">D83-C83</f>
        <v>-8.4475807264176167E-3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0.21038557488690479</v>
      </c>
      <c r="D84" s="599">
        <f t="shared" si="8"/>
        <v>0.20094729183969101</v>
      </c>
      <c r="E84" s="599">
        <f t="shared" si="9"/>
        <v>-9.4382830472137802E-3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6.9471271700520365E-2</v>
      </c>
      <c r="D85" s="599">
        <f t="shared" si="8"/>
        <v>7.2930653954101268E-2</v>
      </c>
      <c r="E85" s="599">
        <f t="shared" si="9"/>
        <v>3.4593822535809032E-3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6.7267741171047016E-2</v>
      </c>
      <c r="D86" s="599">
        <f t="shared" si="8"/>
        <v>7.0380344043438292E-2</v>
      </c>
      <c r="E86" s="599">
        <f t="shared" si="9"/>
        <v>3.1126028723912763E-3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2.203530529473348E-3</v>
      </c>
      <c r="D87" s="599">
        <f t="shared" si="8"/>
        <v>2.5503099106629862E-3</v>
      </c>
      <c r="E87" s="599">
        <f t="shared" si="9"/>
        <v>3.467793811896382E-4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1.3994022581667454E-2</v>
      </c>
      <c r="D88" s="599">
        <f t="shared" si="8"/>
        <v>1.3117256753709233E-2</v>
      </c>
      <c r="E88" s="599">
        <f t="shared" si="9"/>
        <v>-8.7676582795822092E-4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1.665588230480455E-3</v>
      </c>
      <c r="D89" s="599">
        <f t="shared" si="8"/>
        <v>1.2562379768640342E-3</v>
      </c>
      <c r="E89" s="599">
        <f t="shared" si="9"/>
        <v>-4.0935025361642078E-4</v>
      </c>
    </row>
    <row r="90" spans="1:5" s="421" customFormat="1" x14ac:dyDescent="0.2">
      <c r="A90" s="588"/>
      <c r="B90" s="592" t="s">
        <v>798</v>
      </c>
      <c r="C90" s="600">
        <f>SUM(C84+C85+C88)</f>
        <v>0.29385086916909259</v>
      </c>
      <c r="D90" s="600">
        <f>SUM(D84+D85+D88)</f>
        <v>0.28699520254750149</v>
      </c>
      <c r="E90" s="601">
        <f t="shared" si="9"/>
        <v>-6.8556666215910944E-3</v>
      </c>
    </row>
    <row r="91" spans="1:5" s="421" customFormat="1" x14ac:dyDescent="0.2">
      <c r="A91" s="588"/>
      <c r="B91" s="592" t="s">
        <v>799</v>
      </c>
      <c r="C91" s="600">
        <f>SUM(C83+C90)</f>
        <v>0.38602644189181662</v>
      </c>
      <c r="D91" s="600">
        <f>SUM(D83+D90)</f>
        <v>0.37072319454380792</v>
      </c>
      <c r="E91" s="601">
        <f t="shared" si="9"/>
        <v>-1.5303247348008697E-2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0.25962424154626818</v>
      </c>
      <c r="D95" s="599">
        <f t="shared" si="10"/>
        <v>0.2518263251586782</v>
      </c>
      <c r="E95" s="599">
        <f t="shared" ref="E95:E103" si="11">D95-C95</f>
        <v>-7.797916387589976E-3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0.21957104000552452</v>
      </c>
      <c r="D96" s="599">
        <f t="shared" si="10"/>
        <v>0.23601365782849243</v>
      </c>
      <c r="E96" s="599">
        <f t="shared" si="11"/>
        <v>1.6442617822967909E-2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0.10605572671476572</v>
      </c>
      <c r="D97" s="599">
        <f t="shared" si="10"/>
        <v>0.11422075411477495</v>
      </c>
      <c r="E97" s="599">
        <f t="shared" si="11"/>
        <v>8.1650274000092254E-3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0.10367892926090616</v>
      </c>
      <c r="D98" s="599">
        <f t="shared" si="10"/>
        <v>0.11126219539825033</v>
      </c>
      <c r="E98" s="599">
        <f t="shared" si="11"/>
        <v>7.583266137344169E-3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2.376797453859561E-3</v>
      </c>
      <c r="D99" s="599">
        <f t="shared" si="10"/>
        <v>2.9585587165246244E-3</v>
      </c>
      <c r="E99" s="599">
        <f t="shared" si="11"/>
        <v>5.8176126266506339E-4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2.8722549841624975E-2</v>
      </c>
      <c r="D100" s="599">
        <f t="shared" si="10"/>
        <v>2.7216068354246465E-2</v>
      </c>
      <c r="E100" s="599">
        <f t="shared" si="11"/>
        <v>-1.5064814873785096E-3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1.2800429957968719E-2</v>
      </c>
      <c r="D101" s="599">
        <f t="shared" si="10"/>
        <v>1.0642937655613192E-2</v>
      </c>
      <c r="E101" s="599">
        <f t="shared" si="11"/>
        <v>-2.1574923023555265E-3</v>
      </c>
    </row>
    <row r="102" spans="1:5" s="421" customFormat="1" x14ac:dyDescent="0.2">
      <c r="A102" s="588"/>
      <c r="B102" s="592" t="s">
        <v>801</v>
      </c>
      <c r="C102" s="600">
        <f>SUM(C96+C97+C100)</f>
        <v>0.35434931656191521</v>
      </c>
      <c r="D102" s="600">
        <f>SUM(D96+D97+D100)</f>
        <v>0.37745048029751382</v>
      </c>
      <c r="E102" s="601">
        <f t="shared" si="11"/>
        <v>2.3101163735598618E-2</v>
      </c>
    </row>
    <row r="103" spans="1:5" s="421" customFormat="1" x14ac:dyDescent="0.2">
      <c r="A103" s="588"/>
      <c r="B103" s="592" t="s">
        <v>802</v>
      </c>
      <c r="C103" s="600">
        <f>SUM(C95+C102)</f>
        <v>0.61397355810818333</v>
      </c>
      <c r="D103" s="600">
        <f>SUM(D95+D102)</f>
        <v>0.62927680545619202</v>
      </c>
      <c r="E103" s="601">
        <f t="shared" si="11"/>
        <v>1.5303247348008697E-2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0.15687260872706679</v>
      </c>
      <c r="D109" s="599">
        <f t="shared" si="12"/>
        <v>0.1434431868057878</v>
      </c>
      <c r="E109" s="599">
        <f t="shared" ref="E109:E117" si="13">D109-C109</f>
        <v>-1.3429421921278994E-2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0.22873299727584229</v>
      </c>
      <c r="D110" s="599">
        <f t="shared" si="12"/>
        <v>0.20825463722116741</v>
      </c>
      <c r="E110" s="599">
        <f t="shared" si="13"/>
        <v>-2.0478360054674877E-2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4.9991798358519239E-2</v>
      </c>
      <c r="D111" s="599">
        <f t="shared" si="12"/>
        <v>5.2034157976134317E-2</v>
      </c>
      <c r="E111" s="599">
        <f t="shared" si="13"/>
        <v>2.0423596176150777E-3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4.8285295456470194E-2</v>
      </c>
      <c r="D112" s="599">
        <f t="shared" si="12"/>
        <v>4.9591550046145065E-2</v>
      </c>
      <c r="E112" s="599">
        <f t="shared" si="13"/>
        <v>1.3062545896748712E-3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1.7065029020490439E-3</v>
      </c>
      <c r="D113" s="599">
        <f t="shared" si="12"/>
        <v>2.4426079299892469E-3</v>
      </c>
      <c r="E113" s="599">
        <f t="shared" si="13"/>
        <v>7.3610502794020302E-4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1.5400965684938412E-2</v>
      </c>
      <c r="D114" s="599">
        <f t="shared" si="12"/>
        <v>1.3644504971204483E-2</v>
      </c>
      <c r="E114" s="599">
        <f t="shared" si="13"/>
        <v>-1.7564607137339292E-3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0</v>
      </c>
      <c r="D115" s="599">
        <f t="shared" si="12"/>
        <v>0</v>
      </c>
      <c r="E115" s="599">
        <f t="shared" si="13"/>
        <v>0</v>
      </c>
    </row>
    <row r="116" spans="1:5" s="421" customFormat="1" x14ac:dyDescent="0.2">
      <c r="A116" s="588"/>
      <c r="B116" s="592" t="s">
        <v>798</v>
      </c>
      <c r="C116" s="600">
        <f>SUM(C110+C111+C114)</f>
        <v>0.29412576131929996</v>
      </c>
      <c r="D116" s="600">
        <f>SUM(D110+D111+D114)</f>
        <v>0.27393330016850626</v>
      </c>
      <c r="E116" s="601">
        <f t="shared" si="13"/>
        <v>-2.0192461150793706E-2</v>
      </c>
    </row>
    <row r="117" spans="1:5" s="421" customFormat="1" x14ac:dyDescent="0.2">
      <c r="A117" s="588"/>
      <c r="B117" s="592" t="s">
        <v>799</v>
      </c>
      <c r="C117" s="600">
        <f>SUM(C109+C116)</f>
        <v>0.45099837004636678</v>
      </c>
      <c r="D117" s="600">
        <f>SUM(D109+D116)</f>
        <v>0.41737648697429408</v>
      </c>
      <c r="E117" s="601">
        <f t="shared" si="13"/>
        <v>-3.36218830720727E-2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0.3440980280065839</v>
      </c>
      <c r="D121" s="599">
        <f t="shared" si="14"/>
        <v>0.34202040234221298</v>
      </c>
      <c r="E121" s="599">
        <f t="shared" ref="E121:E129" si="15">D121-C121</f>
        <v>-2.077625664370919E-3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0.1282660162948133</v>
      </c>
      <c r="D122" s="599">
        <f t="shared" si="14"/>
        <v>0.15342900893987441</v>
      </c>
      <c r="E122" s="599">
        <f t="shared" si="15"/>
        <v>2.5162992645061111E-2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5.9499257516678498E-2</v>
      </c>
      <c r="D123" s="599">
        <f t="shared" si="14"/>
        <v>7.157933727586635E-2</v>
      </c>
      <c r="E123" s="599">
        <f t="shared" si="15"/>
        <v>1.2080079759187852E-2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5.8058744490028527E-2</v>
      </c>
      <c r="D124" s="599">
        <f t="shared" si="14"/>
        <v>6.8509502892813087E-2</v>
      </c>
      <c r="E124" s="599">
        <f t="shared" si="15"/>
        <v>1.045075840278456E-2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1.4405130266499752E-3</v>
      </c>
      <c r="D125" s="599">
        <f t="shared" si="14"/>
        <v>3.0698343830532562E-3</v>
      </c>
      <c r="E125" s="599">
        <f t="shared" si="15"/>
        <v>1.629321356403281E-3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1.7138328135557521E-2</v>
      </c>
      <c r="D126" s="599">
        <f t="shared" si="14"/>
        <v>1.5594764467752271E-2</v>
      </c>
      <c r="E126" s="599">
        <f t="shared" si="15"/>
        <v>-1.5435636678052499E-3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0</v>
      </c>
      <c r="D127" s="599">
        <f t="shared" si="14"/>
        <v>0</v>
      </c>
      <c r="E127" s="599">
        <f t="shared" si="15"/>
        <v>0</v>
      </c>
    </row>
    <row r="128" spans="1:5" s="421" customFormat="1" x14ac:dyDescent="0.2">
      <c r="A128" s="588"/>
      <c r="B128" s="592" t="s">
        <v>801</v>
      </c>
      <c r="C128" s="600">
        <f>SUM(C122+C123+C126)</f>
        <v>0.20490360194704932</v>
      </c>
      <c r="D128" s="600">
        <f>SUM(D122+D123+D126)</f>
        <v>0.24060311068349302</v>
      </c>
      <c r="E128" s="601">
        <f t="shared" si="15"/>
        <v>3.5699508736443702E-2</v>
      </c>
    </row>
    <row r="129" spans="1:5" s="421" customFormat="1" x14ac:dyDescent="0.2">
      <c r="A129" s="588"/>
      <c r="B129" s="592" t="s">
        <v>802</v>
      </c>
      <c r="C129" s="600">
        <f>SUM(C121+C128)</f>
        <v>0.54900162995363322</v>
      </c>
      <c r="D129" s="600">
        <f>SUM(D121+D128)</f>
        <v>0.58262351302570603</v>
      </c>
      <c r="E129" s="601">
        <f t="shared" si="15"/>
        <v>3.3621883072072811E-2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3795</v>
      </c>
      <c r="D137" s="606">
        <v>3521</v>
      </c>
      <c r="E137" s="607">
        <f t="shared" ref="E137:E145" si="16">D137-C137</f>
        <v>-274</v>
      </c>
    </row>
    <row r="138" spans="1:5" s="421" customFormat="1" x14ac:dyDescent="0.2">
      <c r="A138" s="588">
        <v>2</v>
      </c>
      <c r="B138" s="587" t="s">
        <v>637</v>
      </c>
      <c r="C138" s="606">
        <v>6362</v>
      </c>
      <c r="D138" s="606">
        <v>6527</v>
      </c>
      <c r="E138" s="607">
        <f t="shared" si="16"/>
        <v>165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3138</v>
      </c>
      <c r="D139" s="606">
        <f>D140+D141</f>
        <v>3210</v>
      </c>
      <c r="E139" s="607">
        <f t="shared" si="16"/>
        <v>72</v>
      </c>
    </row>
    <row r="140" spans="1:5" s="421" customFormat="1" x14ac:dyDescent="0.2">
      <c r="A140" s="588">
        <v>4</v>
      </c>
      <c r="B140" s="587" t="s">
        <v>115</v>
      </c>
      <c r="C140" s="606">
        <v>3032</v>
      </c>
      <c r="D140" s="606">
        <v>3087</v>
      </c>
      <c r="E140" s="607">
        <f t="shared" si="16"/>
        <v>55</v>
      </c>
    </row>
    <row r="141" spans="1:5" s="421" customFormat="1" x14ac:dyDescent="0.2">
      <c r="A141" s="588">
        <v>5</v>
      </c>
      <c r="B141" s="587" t="s">
        <v>745</v>
      </c>
      <c r="C141" s="606">
        <v>106</v>
      </c>
      <c r="D141" s="606">
        <v>123</v>
      </c>
      <c r="E141" s="607">
        <f t="shared" si="16"/>
        <v>17</v>
      </c>
    </row>
    <row r="142" spans="1:5" s="421" customFormat="1" x14ac:dyDescent="0.2">
      <c r="A142" s="588">
        <v>6</v>
      </c>
      <c r="B142" s="587" t="s">
        <v>424</v>
      </c>
      <c r="C142" s="606">
        <v>855</v>
      </c>
      <c r="D142" s="606">
        <v>812</v>
      </c>
      <c r="E142" s="607">
        <f t="shared" si="16"/>
        <v>-43</v>
      </c>
    </row>
    <row r="143" spans="1:5" s="421" customFormat="1" x14ac:dyDescent="0.2">
      <c r="A143" s="588">
        <v>7</v>
      </c>
      <c r="B143" s="587" t="s">
        <v>760</v>
      </c>
      <c r="C143" s="606">
        <v>89</v>
      </c>
      <c r="D143" s="606">
        <v>59</v>
      </c>
      <c r="E143" s="607">
        <f t="shared" si="16"/>
        <v>-30</v>
      </c>
    </row>
    <row r="144" spans="1:5" s="421" customFormat="1" x14ac:dyDescent="0.2">
      <c r="A144" s="588"/>
      <c r="B144" s="592" t="s">
        <v>809</v>
      </c>
      <c r="C144" s="608">
        <f>SUM(C138+C139+C142)</f>
        <v>10355</v>
      </c>
      <c r="D144" s="608">
        <f>SUM(D138+D139+D142)</f>
        <v>10549</v>
      </c>
      <c r="E144" s="609">
        <f t="shared" si="16"/>
        <v>194</v>
      </c>
    </row>
    <row r="145" spans="1:5" s="421" customFormat="1" x14ac:dyDescent="0.2">
      <c r="A145" s="588"/>
      <c r="B145" s="592" t="s">
        <v>138</v>
      </c>
      <c r="C145" s="608">
        <f>SUM(C137+C144)</f>
        <v>14150</v>
      </c>
      <c r="D145" s="608">
        <f>SUM(D137+D144)</f>
        <v>14070</v>
      </c>
      <c r="E145" s="609">
        <f t="shared" si="16"/>
        <v>-80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14569</v>
      </c>
      <c r="D149" s="610">
        <v>12808</v>
      </c>
      <c r="E149" s="607">
        <f t="shared" ref="E149:E157" si="17">D149-C149</f>
        <v>-1761</v>
      </c>
    </row>
    <row r="150" spans="1:5" s="421" customFormat="1" x14ac:dyDescent="0.2">
      <c r="A150" s="588">
        <v>2</v>
      </c>
      <c r="B150" s="587" t="s">
        <v>637</v>
      </c>
      <c r="C150" s="610">
        <v>35103</v>
      </c>
      <c r="D150" s="610">
        <v>32565</v>
      </c>
      <c r="E150" s="607">
        <f t="shared" si="17"/>
        <v>-2538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13978</v>
      </c>
      <c r="D151" s="610">
        <f>D152+D153</f>
        <v>14318</v>
      </c>
      <c r="E151" s="607">
        <f t="shared" si="17"/>
        <v>340</v>
      </c>
    </row>
    <row r="152" spans="1:5" s="421" customFormat="1" x14ac:dyDescent="0.2">
      <c r="A152" s="588">
        <v>4</v>
      </c>
      <c r="B152" s="587" t="s">
        <v>115</v>
      </c>
      <c r="C152" s="610">
        <v>13576</v>
      </c>
      <c r="D152" s="610">
        <v>13835</v>
      </c>
      <c r="E152" s="607">
        <f t="shared" si="17"/>
        <v>259</v>
      </c>
    </row>
    <row r="153" spans="1:5" s="421" customFormat="1" x14ac:dyDescent="0.2">
      <c r="A153" s="588">
        <v>5</v>
      </c>
      <c r="B153" s="587" t="s">
        <v>745</v>
      </c>
      <c r="C153" s="611">
        <v>402</v>
      </c>
      <c r="D153" s="610">
        <v>483</v>
      </c>
      <c r="E153" s="607">
        <f t="shared" si="17"/>
        <v>81</v>
      </c>
    </row>
    <row r="154" spans="1:5" s="421" customFormat="1" x14ac:dyDescent="0.2">
      <c r="A154" s="588">
        <v>6</v>
      </c>
      <c r="B154" s="587" t="s">
        <v>424</v>
      </c>
      <c r="C154" s="610">
        <v>2682</v>
      </c>
      <c r="D154" s="610">
        <v>2528</v>
      </c>
      <c r="E154" s="607">
        <f t="shared" si="17"/>
        <v>-154</v>
      </c>
    </row>
    <row r="155" spans="1:5" s="421" customFormat="1" x14ac:dyDescent="0.2">
      <c r="A155" s="588">
        <v>7</v>
      </c>
      <c r="B155" s="587" t="s">
        <v>760</v>
      </c>
      <c r="C155" s="610">
        <v>259</v>
      </c>
      <c r="D155" s="610">
        <v>166</v>
      </c>
      <c r="E155" s="607">
        <f t="shared" si="17"/>
        <v>-93</v>
      </c>
    </row>
    <row r="156" spans="1:5" s="421" customFormat="1" x14ac:dyDescent="0.2">
      <c r="A156" s="588"/>
      <c r="B156" s="592" t="s">
        <v>810</v>
      </c>
      <c r="C156" s="608">
        <f>SUM(C150+C151+C154)</f>
        <v>51763</v>
      </c>
      <c r="D156" s="608">
        <f>SUM(D150+D151+D154)</f>
        <v>49411</v>
      </c>
      <c r="E156" s="609">
        <f t="shared" si="17"/>
        <v>-2352</v>
      </c>
    </row>
    <row r="157" spans="1:5" s="421" customFormat="1" x14ac:dyDescent="0.2">
      <c r="A157" s="588"/>
      <c r="B157" s="592" t="s">
        <v>140</v>
      </c>
      <c r="C157" s="608">
        <f>SUM(C149+C156)</f>
        <v>66332</v>
      </c>
      <c r="D157" s="608">
        <f>SUM(D149+D156)</f>
        <v>62219</v>
      </c>
      <c r="E157" s="609">
        <f t="shared" si="17"/>
        <v>-4113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3.8389986824769435</v>
      </c>
      <c r="D161" s="612">
        <f t="shared" si="18"/>
        <v>3.6376029537063332</v>
      </c>
      <c r="E161" s="613">
        <f t="shared" ref="E161:E169" si="19">D161-C161</f>
        <v>-0.20139572877061029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5.5176045268783405</v>
      </c>
      <c r="D162" s="612">
        <f t="shared" si="18"/>
        <v>4.9892753179102192</v>
      </c>
      <c r="E162" s="613">
        <f t="shared" si="19"/>
        <v>-0.5283292089681213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4.4544295729764185</v>
      </c>
      <c r="D163" s="612">
        <f t="shared" si="18"/>
        <v>4.4604361370716514</v>
      </c>
      <c r="E163" s="613">
        <f t="shared" si="19"/>
        <v>6.0065640952329247E-3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4.477572559366755</v>
      </c>
      <c r="D164" s="612">
        <f t="shared" si="18"/>
        <v>4.4816974408811143</v>
      </c>
      <c r="E164" s="613">
        <f t="shared" si="19"/>
        <v>4.1248815143593021E-3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3.7924528301886791</v>
      </c>
      <c r="D165" s="612">
        <f t="shared" si="18"/>
        <v>3.9268292682926829</v>
      </c>
      <c r="E165" s="613">
        <f t="shared" si="19"/>
        <v>0.13437643810400379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3.1368421052631579</v>
      </c>
      <c r="D166" s="612">
        <f t="shared" si="18"/>
        <v>3.1133004926108376</v>
      </c>
      <c r="E166" s="613">
        <f t="shared" si="19"/>
        <v>-2.3541612652320243E-2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2.9101123595505616</v>
      </c>
      <c r="D167" s="612">
        <f t="shared" si="18"/>
        <v>2.8135593220338984</v>
      </c>
      <c r="E167" s="613">
        <f t="shared" si="19"/>
        <v>-9.655303751666322E-2</v>
      </c>
    </row>
    <row r="168" spans="1:5" s="421" customFormat="1" x14ac:dyDescent="0.2">
      <c r="A168" s="588"/>
      <c r="B168" s="592" t="s">
        <v>812</v>
      </c>
      <c r="C168" s="614">
        <f t="shared" si="18"/>
        <v>4.998841139546113</v>
      </c>
      <c r="D168" s="614">
        <f t="shared" si="18"/>
        <v>4.6839510854109392</v>
      </c>
      <c r="E168" s="615">
        <f t="shared" si="19"/>
        <v>-0.31489005413517379</v>
      </c>
    </row>
    <row r="169" spans="1:5" s="421" customFormat="1" x14ac:dyDescent="0.2">
      <c r="A169" s="588"/>
      <c r="B169" s="592" t="s">
        <v>746</v>
      </c>
      <c r="C169" s="614">
        <f t="shared" si="18"/>
        <v>4.687773851590106</v>
      </c>
      <c r="D169" s="614">
        <f t="shared" si="18"/>
        <v>4.4221037668798866</v>
      </c>
      <c r="E169" s="615">
        <f t="shared" si="19"/>
        <v>-0.26567008471021936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1.1585000000000001</v>
      </c>
      <c r="D173" s="617">
        <f t="shared" si="20"/>
        <v>1.1632</v>
      </c>
      <c r="E173" s="618">
        <f t="shared" ref="E173:E181" si="21">D173-C173</f>
        <v>4.6999999999999265E-3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1.4456</v>
      </c>
      <c r="D174" s="617">
        <f t="shared" si="20"/>
        <v>1.4419999999999999</v>
      </c>
      <c r="E174" s="618">
        <f t="shared" si="21"/>
        <v>-3.6000000000000476E-3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1.0485226896112174</v>
      </c>
      <c r="D175" s="617">
        <f t="shared" si="20"/>
        <v>1.1052656074766356</v>
      </c>
      <c r="E175" s="618">
        <f t="shared" si="21"/>
        <v>5.6742917865418185E-2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1.0516000000000001</v>
      </c>
      <c r="D176" s="617">
        <f t="shared" si="20"/>
        <v>1.1125</v>
      </c>
      <c r="E176" s="618">
        <f t="shared" si="21"/>
        <v>6.0899999999999954E-2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0.96050000000000002</v>
      </c>
      <c r="D177" s="617">
        <f t="shared" si="20"/>
        <v>0.92369999999999997</v>
      </c>
      <c r="E177" s="618">
        <f t="shared" si="21"/>
        <v>-3.6800000000000055E-2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0.99039999999999995</v>
      </c>
      <c r="D178" s="617">
        <f t="shared" si="20"/>
        <v>0.94130000000000003</v>
      </c>
      <c r="E178" s="618">
        <f t="shared" si="21"/>
        <v>-4.9099999999999921E-2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1.0591999999999999</v>
      </c>
      <c r="D179" s="617">
        <f t="shared" si="20"/>
        <v>1.0829</v>
      </c>
      <c r="E179" s="618">
        <f t="shared" si="21"/>
        <v>2.3700000000000054E-2</v>
      </c>
    </row>
    <row r="180" spans="1:5" s="421" customFormat="1" x14ac:dyDescent="0.2">
      <c r="A180" s="588"/>
      <c r="B180" s="592" t="s">
        <v>814</v>
      </c>
      <c r="C180" s="619">
        <f t="shared" si="20"/>
        <v>1.287683573153066</v>
      </c>
      <c r="D180" s="619">
        <f t="shared" si="20"/>
        <v>1.30099271968907</v>
      </c>
      <c r="E180" s="620">
        <f t="shared" si="21"/>
        <v>1.3309146536004013E-2</v>
      </c>
    </row>
    <row r="181" spans="1:5" s="421" customFormat="1" x14ac:dyDescent="0.2">
      <c r="A181" s="588"/>
      <c r="B181" s="592" t="s">
        <v>725</v>
      </c>
      <c r="C181" s="619">
        <f t="shared" si="20"/>
        <v>1.253036812720848</v>
      </c>
      <c r="D181" s="619">
        <f t="shared" si="20"/>
        <v>1.26651026297086</v>
      </c>
      <c r="E181" s="620">
        <f t="shared" si="21"/>
        <v>1.3473450250012009E-2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250404746</v>
      </c>
      <c r="D185" s="589">
        <v>257118682</v>
      </c>
      <c r="E185" s="590">
        <f>D185-C185</f>
        <v>6713936</v>
      </c>
    </row>
    <row r="186" spans="1:5" s="421" customFormat="1" ht="25.5" x14ac:dyDescent="0.2">
      <c r="A186" s="588">
        <v>2</v>
      </c>
      <c r="B186" s="587" t="s">
        <v>817</v>
      </c>
      <c r="C186" s="589">
        <v>161193549</v>
      </c>
      <c r="D186" s="589">
        <v>160242760</v>
      </c>
      <c r="E186" s="590">
        <f>D186-C186</f>
        <v>-950789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89211197</v>
      </c>
      <c r="D188" s="622">
        <f>+D185-D186</f>
        <v>96875922</v>
      </c>
      <c r="E188" s="590">
        <f t="shared" ref="E188:E197" si="22">D188-C188</f>
        <v>7664725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0.35626799581506335</v>
      </c>
      <c r="D189" s="623">
        <f>IF(D185=0,0,+D188/D185)</f>
        <v>0.37677511897015714</v>
      </c>
      <c r="E189" s="599">
        <f t="shared" si="22"/>
        <v>2.0507123155093787E-2</v>
      </c>
    </row>
    <row r="190" spans="1:5" s="421" customFormat="1" x14ac:dyDescent="0.2">
      <c r="A190" s="588">
        <v>5</v>
      </c>
      <c r="B190" s="587" t="s">
        <v>764</v>
      </c>
      <c r="C190" s="589">
        <v>15460356</v>
      </c>
      <c r="D190" s="589">
        <v>14516181</v>
      </c>
      <c r="E190" s="622">
        <f t="shared" si="22"/>
        <v>-944175</v>
      </c>
    </row>
    <row r="191" spans="1:5" s="421" customFormat="1" x14ac:dyDescent="0.2">
      <c r="A191" s="588">
        <v>6</v>
      </c>
      <c r="B191" s="587" t="s">
        <v>750</v>
      </c>
      <c r="C191" s="589">
        <v>7483372</v>
      </c>
      <c r="D191" s="589">
        <v>6858523</v>
      </c>
      <c r="E191" s="622">
        <f t="shared" si="22"/>
        <v>-624849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2681674</v>
      </c>
      <c r="D193" s="589">
        <v>2248341</v>
      </c>
      <c r="E193" s="622">
        <f t="shared" si="22"/>
        <v>-433333</v>
      </c>
    </row>
    <row r="194" spans="1:5" s="421" customFormat="1" x14ac:dyDescent="0.2">
      <c r="A194" s="588">
        <v>9</v>
      </c>
      <c r="B194" s="587" t="s">
        <v>820</v>
      </c>
      <c r="C194" s="589">
        <v>14966698</v>
      </c>
      <c r="D194" s="589">
        <v>12798310</v>
      </c>
      <c r="E194" s="622">
        <f t="shared" si="22"/>
        <v>-2168388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17648372</v>
      </c>
      <c r="D195" s="589">
        <f>+D193+D194</f>
        <v>15046651</v>
      </c>
      <c r="E195" s="625">
        <f t="shared" si="22"/>
        <v>-2601721</v>
      </c>
    </row>
    <row r="196" spans="1:5" s="421" customFormat="1" x14ac:dyDescent="0.2">
      <c r="A196" s="588">
        <v>11</v>
      </c>
      <c r="B196" s="587" t="s">
        <v>822</v>
      </c>
      <c r="C196" s="589">
        <v>29607174</v>
      </c>
      <c r="D196" s="589">
        <v>30854159</v>
      </c>
      <c r="E196" s="622">
        <f t="shared" si="22"/>
        <v>1246985</v>
      </c>
    </row>
    <row r="197" spans="1:5" s="421" customFormat="1" x14ac:dyDescent="0.2">
      <c r="A197" s="588">
        <v>12</v>
      </c>
      <c r="B197" s="587" t="s">
        <v>712</v>
      </c>
      <c r="C197" s="589">
        <v>348525480</v>
      </c>
      <c r="D197" s="589">
        <v>350127953</v>
      </c>
      <c r="E197" s="622">
        <f t="shared" si="22"/>
        <v>1602473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4396.5075000000006</v>
      </c>
      <c r="D203" s="629">
        <v>4095.6271999999999</v>
      </c>
      <c r="E203" s="630">
        <f t="shared" ref="E203:E211" si="23">D203-C203</f>
        <v>-300.88030000000072</v>
      </c>
    </row>
    <row r="204" spans="1:5" s="421" customFormat="1" x14ac:dyDescent="0.2">
      <c r="A204" s="588">
        <v>2</v>
      </c>
      <c r="B204" s="587" t="s">
        <v>637</v>
      </c>
      <c r="C204" s="629">
        <v>9196.9071999999996</v>
      </c>
      <c r="D204" s="629">
        <v>9411.9339999999993</v>
      </c>
      <c r="E204" s="630">
        <f t="shared" si="23"/>
        <v>215.02679999999964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3290.2642000000005</v>
      </c>
      <c r="D205" s="629">
        <f>D206+D207</f>
        <v>3547.9026000000003</v>
      </c>
      <c r="E205" s="630">
        <f t="shared" si="23"/>
        <v>257.63839999999982</v>
      </c>
    </row>
    <row r="206" spans="1:5" s="421" customFormat="1" x14ac:dyDescent="0.2">
      <c r="A206" s="588">
        <v>4</v>
      </c>
      <c r="B206" s="587" t="s">
        <v>115</v>
      </c>
      <c r="C206" s="629">
        <v>3188.4512000000004</v>
      </c>
      <c r="D206" s="629">
        <v>3434.2875000000004</v>
      </c>
      <c r="E206" s="630">
        <f t="shared" si="23"/>
        <v>245.83629999999994</v>
      </c>
    </row>
    <row r="207" spans="1:5" s="421" customFormat="1" x14ac:dyDescent="0.2">
      <c r="A207" s="588">
        <v>5</v>
      </c>
      <c r="B207" s="587" t="s">
        <v>745</v>
      </c>
      <c r="C207" s="629">
        <v>101.813</v>
      </c>
      <c r="D207" s="629">
        <v>113.6151</v>
      </c>
      <c r="E207" s="630">
        <f t="shared" si="23"/>
        <v>11.802099999999996</v>
      </c>
    </row>
    <row r="208" spans="1:5" s="421" customFormat="1" x14ac:dyDescent="0.2">
      <c r="A208" s="588">
        <v>6</v>
      </c>
      <c r="B208" s="587" t="s">
        <v>424</v>
      </c>
      <c r="C208" s="629">
        <v>846.79199999999992</v>
      </c>
      <c r="D208" s="629">
        <v>764.3356</v>
      </c>
      <c r="E208" s="630">
        <f t="shared" si="23"/>
        <v>-82.456399999999917</v>
      </c>
    </row>
    <row r="209" spans="1:5" s="421" customFormat="1" x14ac:dyDescent="0.2">
      <c r="A209" s="588">
        <v>7</v>
      </c>
      <c r="B209" s="587" t="s">
        <v>760</v>
      </c>
      <c r="C209" s="629">
        <v>94.268799999999999</v>
      </c>
      <c r="D209" s="629">
        <v>63.891100000000002</v>
      </c>
      <c r="E209" s="630">
        <f t="shared" si="23"/>
        <v>-30.377699999999997</v>
      </c>
    </row>
    <row r="210" spans="1:5" s="421" customFormat="1" x14ac:dyDescent="0.2">
      <c r="A210" s="588"/>
      <c r="B210" s="592" t="s">
        <v>825</v>
      </c>
      <c r="C210" s="631">
        <f>C204+C205+C208</f>
        <v>13333.963399999999</v>
      </c>
      <c r="D210" s="631">
        <f>D204+D205+D208</f>
        <v>13724.172199999999</v>
      </c>
      <c r="E210" s="632">
        <f t="shared" si="23"/>
        <v>390.20880000000034</v>
      </c>
    </row>
    <row r="211" spans="1:5" s="421" customFormat="1" x14ac:dyDescent="0.2">
      <c r="A211" s="588"/>
      <c r="B211" s="592" t="s">
        <v>726</v>
      </c>
      <c r="C211" s="631">
        <f>C210+C203</f>
        <v>17730.4709</v>
      </c>
      <c r="D211" s="631">
        <f>D210+D203</f>
        <v>17819.7994</v>
      </c>
      <c r="E211" s="632">
        <f t="shared" si="23"/>
        <v>89.328499999999622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10689.100892618464</v>
      </c>
      <c r="D215" s="633">
        <f>IF(D14*D137=0,0,D25/D14*D137)</f>
        <v>10590.012608003557</v>
      </c>
      <c r="E215" s="633">
        <f t="shared" ref="E215:E223" si="24">D215-C215</f>
        <v>-99.088284614907025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6639.7658549835123</v>
      </c>
      <c r="D216" s="633">
        <f>IF(D15*D138=0,0,D26/D15*D138)</f>
        <v>7665.9960457466541</v>
      </c>
      <c r="E216" s="633">
        <f t="shared" si="24"/>
        <v>1026.2301907631418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4787.5186685324861</v>
      </c>
      <c r="D217" s="633">
        <f>D218+D219</f>
        <v>5022.8362154359202</v>
      </c>
      <c r="E217" s="633">
        <f t="shared" si="24"/>
        <v>235.31754690343405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4673.1837288802872</v>
      </c>
      <c r="D218" s="633">
        <f t="shared" si="25"/>
        <v>4880.1466071608511</v>
      </c>
      <c r="E218" s="633">
        <f t="shared" si="24"/>
        <v>206.96287828056393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114.33493965219904</v>
      </c>
      <c r="D219" s="633">
        <f t="shared" si="25"/>
        <v>142.68960827506945</v>
      </c>
      <c r="E219" s="633">
        <f t="shared" si="24"/>
        <v>28.354668622870406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1754.8764103582844</v>
      </c>
      <c r="D220" s="633">
        <f t="shared" si="25"/>
        <v>1684.7613734021754</v>
      </c>
      <c r="E220" s="633">
        <f t="shared" si="24"/>
        <v>-70.115036956108952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683.98554061023333</v>
      </c>
      <c r="D221" s="633">
        <f t="shared" si="25"/>
        <v>499.85220415696853</v>
      </c>
      <c r="E221" s="633">
        <f t="shared" si="24"/>
        <v>-184.1333364532648</v>
      </c>
    </row>
    <row r="222" spans="1:5" s="421" customFormat="1" x14ac:dyDescent="0.2">
      <c r="A222" s="588"/>
      <c r="B222" s="592" t="s">
        <v>827</v>
      </c>
      <c r="C222" s="634">
        <f>C216+C218+C219+C220</f>
        <v>13182.160933874282</v>
      </c>
      <c r="D222" s="634">
        <f>D216+D218+D219+D220</f>
        <v>14373.593634584751</v>
      </c>
      <c r="E222" s="634">
        <f t="shared" si="24"/>
        <v>1191.4327007104694</v>
      </c>
    </row>
    <row r="223" spans="1:5" s="421" customFormat="1" x14ac:dyDescent="0.2">
      <c r="A223" s="588"/>
      <c r="B223" s="592" t="s">
        <v>828</v>
      </c>
      <c r="C223" s="634">
        <f>C215+C222</f>
        <v>23871.261826492744</v>
      </c>
      <c r="D223" s="634">
        <f>D215+D222</f>
        <v>24963.606242588306</v>
      </c>
      <c r="E223" s="634">
        <f t="shared" si="24"/>
        <v>1092.3444160955623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11604.071186049379</v>
      </c>
      <c r="D227" s="636">
        <f t="shared" si="26"/>
        <v>11831.769502849284</v>
      </c>
      <c r="E227" s="636">
        <f t="shared" ref="E227:E235" si="27">D227-C227</f>
        <v>227.69831679990421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8088.315819909546</v>
      </c>
      <c r="D228" s="636">
        <f t="shared" si="26"/>
        <v>7474.9105762960098</v>
      </c>
      <c r="E228" s="636">
        <f t="shared" si="27"/>
        <v>-613.40524361353619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4941.2755364751556</v>
      </c>
      <c r="D229" s="636">
        <f t="shared" si="26"/>
        <v>4954.5821804691022</v>
      </c>
      <c r="E229" s="636">
        <f t="shared" si="27"/>
        <v>13.306643993946636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4924.999636186998</v>
      </c>
      <c r="D230" s="636">
        <f t="shared" si="26"/>
        <v>4878.2182621577249</v>
      </c>
      <c r="E230" s="636">
        <f t="shared" si="27"/>
        <v>-46.781374029273138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5450.9836661330082</v>
      </c>
      <c r="D231" s="636">
        <f t="shared" si="26"/>
        <v>7262.8638270793235</v>
      </c>
      <c r="E231" s="636">
        <f t="shared" si="27"/>
        <v>1811.8801609463153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5914.8303243299424</v>
      </c>
      <c r="D232" s="636">
        <f t="shared" si="26"/>
        <v>6030.6467473188477</v>
      </c>
      <c r="E232" s="636">
        <f t="shared" si="27"/>
        <v>115.81642298890529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0</v>
      </c>
      <c r="D233" s="636">
        <f t="shared" si="26"/>
        <v>0</v>
      </c>
      <c r="E233" s="636">
        <f t="shared" si="27"/>
        <v>0</v>
      </c>
    </row>
    <row r="234" spans="1:5" x14ac:dyDescent="0.2">
      <c r="A234" s="588"/>
      <c r="B234" s="592" t="s">
        <v>830</v>
      </c>
      <c r="C234" s="637">
        <f t="shared" si="26"/>
        <v>7173.7277304960962</v>
      </c>
      <c r="D234" s="637">
        <f t="shared" si="26"/>
        <v>6742.9333187760503</v>
      </c>
      <c r="E234" s="637">
        <f t="shared" si="27"/>
        <v>-430.7944117200459</v>
      </c>
    </row>
    <row r="235" spans="1:5" s="421" customFormat="1" x14ac:dyDescent="0.2">
      <c r="A235" s="588"/>
      <c r="B235" s="592" t="s">
        <v>831</v>
      </c>
      <c r="C235" s="637">
        <f t="shared" si="26"/>
        <v>8272.2906699562045</v>
      </c>
      <c r="D235" s="637">
        <f t="shared" si="26"/>
        <v>7912.5298683216379</v>
      </c>
      <c r="E235" s="637">
        <f t="shared" si="27"/>
        <v>-359.76080163456663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10469.166127646762</v>
      </c>
      <c r="D239" s="636">
        <f t="shared" si="28"/>
        <v>10910.527048162056</v>
      </c>
      <c r="E239" s="638">
        <f t="shared" ref="E239:E247" si="29">D239-C239</f>
        <v>441.3609205152934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6282.4628023127152</v>
      </c>
      <c r="D240" s="636">
        <f t="shared" si="28"/>
        <v>6761.2825118476385</v>
      </c>
      <c r="E240" s="638">
        <f t="shared" si="29"/>
        <v>478.81970953492328</v>
      </c>
    </row>
    <row r="241" spans="1:5" x14ac:dyDescent="0.2">
      <c r="A241" s="588">
        <v>3</v>
      </c>
      <c r="B241" s="587" t="s">
        <v>779</v>
      </c>
      <c r="C241" s="636">
        <f t="shared" si="28"/>
        <v>4041.7751532092429</v>
      </c>
      <c r="D241" s="636">
        <f t="shared" si="28"/>
        <v>4814.2523392834482</v>
      </c>
      <c r="E241" s="638">
        <f t="shared" si="29"/>
        <v>772.47718607420529</v>
      </c>
    </row>
    <row r="242" spans="1:5" x14ac:dyDescent="0.2">
      <c r="A242" s="588">
        <v>4</v>
      </c>
      <c r="B242" s="587" t="s">
        <v>115</v>
      </c>
      <c r="C242" s="636">
        <f t="shared" si="28"/>
        <v>4040.414007973126</v>
      </c>
      <c r="D242" s="636">
        <f t="shared" si="28"/>
        <v>4742.5087529213979</v>
      </c>
      <c r="E242" s="638">
        <f t="shared" si="29"/>
        <v>702.09474494827191</v>
      </c>
    </row>
    <row r="243" spans="1:5" x14ac:dyDescent="0.2">
      <c r="A243" s="588">
        <v>5</v>
      </c>
      <c r="B243" s="587" t="s">
        <v>745</v>
      </c>
      <c r="C243" s="636">
        <f t="shared" si="28"/>
        <v>4097.4089060184297</v>
      </c>
      <c r="D243" s="636">
        <f t="shared" si="28"/>
        <v>7267.9644477038937</v>
      </c>
      <c r="E243" s="638">
        <f t="shared" si="29"/>
        <v>3170.555541685464</v>
      </c>
    </row>
    <row r="244" spans="1:5" x14ac:dyDescent="0.2">
      <c r="A244" s="588">
        <v>6</v>
      </c>
      <c r="B244" s="587" t="s">
        <v>424</v>
      </c>
      <c r="C244" s="636">
        <f t="shared" si="28"/>
        <v>3176.0914712290514</v>
      </c>
      <c r="D244" s="636">
        <f t="shared" si="28"/>
        <v>3127.0196973719371</v>
      </c>
      <c r="E244" s="638">
        <f t="shared" si="29"/>
        <v>-49.071773857114295</v>
      </c>
    </row>
    <row r="245" spans="1:5" x14ac:dyDescent="0.2">
      <c r="A245" s="588">
        <v>7</v>
      </c>
      <c r="B245" s="587" t="s">
        <v>760</v>
      </c>
      <c r="C245" s="636">
        <f t="shared" si="28"/>
        <v>0</v>
      </c>
      <c r="D245" s="636">
        <f t="shared" si="28"/>
        <v>0</v>
      </c>
      <c r="E245" s="638">
        <f t="shared" si="29"/>
        <v>0</v>
      </c>
    </row>
    <row r="246" spans="1:5" ht="25.5" x14ac:dyDescent="0.2">
      <c r="A246" s="588"/>
      <c r="B246" s="592" t="s">
        <v>833</v>
      </c>
      <c r="C246" s="637">
        <f t="shared" si="28"/>
        <v>5055.1502393481187</v>
      </c>
      <c r="D246" s="637">
        <f t="shared" si="28"/>
        <v>5654.9148435938923</v>
      </c>
      <c r="E246" s="639">
        <f t="shared" si="29"/>
        <v>599.76460424577363</v>
      </c>
    </row>
    <row r="247" spans="1:5" x14ac:dyDescent="0.2">
      <c r="A247" s="588"/>
      <c r="B247" s="592" t="s">
        <v>834</v>
      </c>
      <c r="C247" s="637">
        <f t="shared" si="28"/>
        <v>7479.444459104755</v>
      </c>
      <c r="D247" s="637">
        <f t="shared" si="28"/>
        <v>7884.4404565320792</v>
      </c>
      <c r="E247" s="639">
        <f t="shared" si="29"/>
        <v>404.99599742732426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10477505.945063435</v>
      </c>
      <c r="D251" s="622">
        <f>((IF((IF(D15=0,0,D26/D15)*D138)=0,0,D59/(IF(D15=0,0,D26/D15)*D138)))-(IF((IF(D17=0,0,D28/D17)*D140)=0,0,D61/(IF(D17=0,0,D28/D17)*D140))))*(IF(D17=0,0,D28/D17)*D140)</f>
        <v>9851911.91024925</v>
      </c>
      <c r="E251" s="622">
        <f>D251-C251</f>
        <v>-625594.03481418453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518342.70394206018</v>
      </c>
      <c r="D252" s="622">
        <f>IF(D231=0,0,(D228-D231)*D207)+IF(D243=0,0,(D240-D243)*D219)</f>
        <v>-48206.534330454189</v>
      </c>
      <c r="E252" s="622">
        <f>D252-C252</f>
        <v>-566549.23827251443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0</v>
      </c>
      <c r="D253" s="622">
        <f>IF(D233=0,0,(D228-D233)*D209+IF(D221=0,0,(D240-D245)*D221))</f>
        <v>0</v>
      </c>
      <c r="E253" s="622">
        <f>D253-C253</f>
        <v>0</v>
      </c>
    </row>
    <row r="254" spans="1:5" ht="15" customHeight="1" x14ac:dyDescent="0.2">
      <c r="A254" s="588"/>
      <c r="B254" s="592" t="s">
        <v>761</v>
      </c>
      <c r="C254" s="640">
        <f>+C251+C252+C253</f>
        <v>10995848.649005495</v>
      </c>
      <c r="D254" s="640">
        <f>+D251+D252+D253</f>
        <v>9803705.3759187963</v>
      </c>
      <c r="E254" s="640">
        <f>D254-C254</f>
        <v>-1192143.2730866987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788136573</v>
      </c>
      <c r="D258" s="625">
        <f>+D44</f>
        <v>839272510</v>
      </c>
      <c r="E258" s="622">
        <f t="shared" ref="E258:E271" si="30">D258-C258</f>
        <v>51135937</v>
      </c>
    </row>
    <row r="259" spans="1:5" x14ac:dyDescent="0.2">
      <c r="A259" s="588">
        <v>2</v>
      </c>
      <c r="B259" s="587" t="s">
        <v>744</v>
      </c>
      <c r="C259" s="622">
        <f>+(C43-C76)</f>
        <v>348578246</v>
      </c>
      <c r="D259" s="625">
        <f>+(D43-D76)</f>
        <v>383828370</v>
      </c>
      <c r="E259" s="622">
        <f t="shared" si="30"/>
        <v>35250124</v>
      </c>
    </row>
    <row r="260" spans="1:5" x14ac:dyDescent="0.2">
      <c r="A260" s="588">
        <v>3</v>
      </c>
      <c r="B260" s="587" t="s">
        <v>748</v>
      </c>
      <c r="C260" s="622">
        <f>C195</f>
        <v>17648372</v>
      </c>
      <c r="D260" s="622">
        <f>D195</f>
        <v>15046651</v>
      </c>
      <c r="E260" s="622">
        <f t="shared" si="30"/>
        <v>-2601721</v>
      </c>
    </row>
    <row r="261" spans="1:5" x14ac:dyDescent="0.2">
      <c r="A261" s="588">
        <v>4</v>
      </c>
      <c r="B261" s="587" t="s">
        <v>749</v>
      </c>
      <c r="C261" s="622">
        <f>C188</f>
        <v>89211197</v>
      </c>
      <c r="D261" s="622">
        <f>D188</f>
        <v>96875922</v>
      </c>
      <c r="E261" s="622">
        <f t="shared" si="30"/>
        <v>7664725</v>
      </c>
    </row>
    <row r="262" spans="1:5" x14ac:dyDescent="0.2">
      <c r="A262" s="588">
        <v>5</v>
      </c>
      <c r="B262" s="587" t="s">
        <v>750</v>
      </c>
      <c r="C262" s="622">
        <f>C191</f>
        <v>7483372</v>
      </c>
      <c r="D262" s="622">
        <f>D191</f>
        <v>6858523</v>
      </c>
      <c r="E262" s="622">
        <f t="shared" si="30"/>
        <v>-624849</v>
      </c>
    </row>
    <row r="263" spans="1:5" x14ac:dyDescent="0.2">
      <c r="A263" s="588">
        <v>6</v>
      </c>
      <c r="B263" s="587" t="s">
        <v>751</v>
      </c>
      <c r="C263" s="622">
        <f>+C259+C260+C261+C262</f>
        <v>462921187</v>
      </c>
      <c r="D263" s="622">
        <f>+D259+D260+D261+D262</f>
        <v>502609466</v>
      </c>
      <c r="E263" s="622">
        <f t="shared" si="30"/>
        <v>39688279</v>
      </c>
    </row>
    <row r="264" spans="1:5" x14ac:dyDescent="0.2">
      <c r="A264" s="588">
        <v>7</v>
      </c>
      <c r="B264" s="587" t="s">
        <v>656</v>
      </c>
      <c r="C264" s="622">
        <f>+C258-C263</f>
        <v>325215386</v>
      </c>
      <c r="D264" s="622">
        <f>+D258-D263</f>
        <v>336663044</v>
      </c>
      <c r="E264" s="622">
        <f t="shared" si="30"/>
        <v>11447658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325215386</v>
      </c>
      <c r="D266" s="622">
        <f>+D264+D265</f>
        <v>336663044</v>
      </c>
      <c r="E266" s="641">
        <f t="shared" si="30"/>
        <v>11447658</v>
      </c>
    </row>
    <row r="267" spans="1:5" x14ac:dyDescent="0.2">
      <c r="A267" s="588">
        <v>10</v>
      </c>
      <c r="B267" s="587" t="s">
        <v>839</v>
      </c>
      <c r="C267" s="642">
        <f>IF(C258=0,0,C266/C258)</f>
        <v>0.41263836388417419</v>
      </c>
      <c r="D267" s="642">
        <f>IF(D258=0,0,D266/D258)</f>
        <v>0.40113674639480329</v>
      </c>
      <c r="E267" s="643">
        <f t="shared" si="30"/>
        <v>-1.1501617489370897E-2</v>
      </c>
    </row>
    <row r="268" spans="1:5" x14ac:dyDescent="0.2">
      <c r="A268" s="588">
        <v>11</v>
      </c>
      <c r="B268" s="587" t="s">
        <v>718</v>
      </c>
      <c r="C268" s="622">
        <f>+C260*C267</f>
        <v>7282395.3472992713</v>
      </c>
      <c r="D268" s="644">
        <f>+D260*D267</f>
        <v>6035764.6262781136</v>
      </c>
      <c r="E268" s="622">
        <f t="shared" si="30"/>
        <v>-1246630.7210211577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21475904.54304865</v>
      </c>
      <c r="D269" s="644">
        <f>((D17+D18+D28+D29)*D267)-(D50+D51+D61+D62)</f>
        <v>21247386.729354031</v>
      </c>
      <c r="E269" s="622">
        <f t="shared" si="30"/>
        <v>-228517.81369461864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28758299.89034792</v>
      </c>
      <c r="D271" s="622">
        <f>+D268+D269+D270</f>
        <v>27283151.355632145</v>
      </c>
      <c r="E271" s="625">
        <f t="shared" si="30"/>
        <v>-1475148.5347157754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0.70226476159904327</v>
      </c>
      <c r="D276" s="623">
        <f t="shared" si="31"/>
        <v>0.68959871725590172</v>
      </c>
      <c r="E276" s="650">
        <f t="shared" ref="E276:E284" si="32">D276-C276</f>
        <v>-1.2666044343141558E-2</v>
      </c>
    </row>
    <row r="277" spans="1:5" x14ac:dyDescent="0.2">
      <c r="A277" s="588">
        <v>2</v>
      </c>
      <c r="B277" s="587" t="s">
        <v>637</v>
      </c>
      <c r="C277" s="623">
        <f t="shared" si="31"/>
        <v>0.44862396014063255</v>
      </c>
      <c r="D277" s="623">
        <f t="shared" si="31"/>
        <v>0.41715717596569996</v>
      </c>
      <c r="E277" s="650">
        <f t="shared" si="32"/>
        <v>-3.1466784174932594E-2</v>
      </c>
    </row>
    <row r="278" spans="1:5" x14ac:dyDescent="0.2">
      <c r="A278" s="588">
        <v>3</v>
      </c>
      <c r="B278" s="587" t="s">
        <v>779</v>
      </c>
      <c r="C278" s="623">
        <f t="shared" si="31"/>
        <v>0.29693617775147779</v>
      </c>
      <c r="D278" s="623">
        <f t="shared" si="31"/>
        <v>0.28718755683935288</v>
      </c>
      <c r="E278" s="650">
        <f t="shared" si="32"/>
        <v>-9.7486209121249168E-3</v>
      </c>
    </row>
    <row r="279" spans="1:5" x14ac:dyDescent="0.2">
      <c r="A279" s="588">
        <v>4</v>
      </c>
      <c r="B279" s="587" t="s">
        <v>115</v>
      </c>
      <c r="C279" s="623">
        <f t="shared" si="31"/>
        <v>0.29619495124949341</v>
      </c>
      <c r="D279" s="623">
        <f t="shared" si="31"/>
        <v>0.28362433663220443</v>
      </c>
      <c r="E279" s="650">
        <f t="shared" si="32"/>
        <v>-1.2570614617288978E-2</v>
      </c>
    </row>
    <row r="280" spans="1:5" x14ac:dyDescent="0.2">
      <c r="A280" s="588">
        <v>5</v>
      </c>
      <c r="B280" s="587" t="s">
        <v>745</v>
      </c>
      <c r="C280" s="623">
        <f t="shared" si="31"/>
        <v>0.31956378913134981</v>
      </c>
      <c r="D280" s="623">
        <f t="shared" si="31"/>
        <v>0.38552096449036516</v>
      </c>
      <c r="E280" s="650">
        <f t="shared" si="32"/>
        <v>6.5957175359015352E-2</v>
      </c>
    </row>
    <row r="281" spans="1:5" x14ac:dyDescent="0.2">
      <c r="A281" s="588">
        <v>6</v>
      </c>
      <c r="B281" s="587" t="s">
        <v>424</v>
      </c>
      <c r="C281" s="623">
        <f t="shared" si="31"/>
        <v>0.4541245553508364</v>
      </c>
      <c r="D281" s="623">
        <f t="shared" si="31"/>
        <v>0.41869903523068908</v>
      </c>
      <c r="E281" s="650">
        <f t="shared" si="32"/>
        <v>-3.5425520120147325E-2</v>
      </c>
    </row>
    <row r="282" spans="1:5" x14ac:dyDescent="0.2">
      <c r="A282" s="588">
        <v>7</v>
      </c>
      <c r="B282" s="587" t="s">
        <v>760</v>
      </c>
      <c r="C282" s="623">
        <f t="shared" si="31"/>
        <v>0</v>
      </c>
      <c r="D282" s="623">
        <f t="shared" si="31"/>
        <v>0</v>
      </c>
      <c r="E282" s="650">
        <f t="shared" si="32"/>
        <v>0</v>
      </c>
    </row>
    <row r="283" spans="1:5" ht="29.25" customHeight="1" x14ac:dyDescent="0.2">
      <c r="A283" s="588"/>
      <c r="B283" s="592" t="s">
        <v>846</v>
      </c>
      <c r="C283" s="651">
        <f t="shared" si="31"/>
        <v>0.41302437957787247</v>
      </c>
      <c r="D283" s="651">
        <f t="shared" si="31"/>
        <v>0.38420002452471896</v>
      </c>
      <c r="E283" s="652">
        <f t="shared" si="32"/>
        <v>-2.8824355053153505E-2</v>
      </c>
    </row>
    <row r="284" spans="1:5" x14ac:dyDescent="0.2">
      <c r="A284" s="588"/>
      <c r="B284" s="592" t="s">
        <v>847</v>
      </c>
      <c r="C284" s="651">
        <f t="shared" si="31"/>
        <v>0.48208933206320659</v>
      </c>
      <c r="D284" s="651">
        <f t="shared" si="31"/>
        <v>0.45317444985611616</v>
      </c>
      <c r="E284" s="652">
        <f t="shared" si="32"/>
        <v>-2.8914882207090431E-2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0.54689826514949513</v>
      </c>
      <c r="D287" s="623">
        <f t="shared" si="33"/>
        <v>0.54668616239517343</v>
      </c>
      <c r="E287" s="650">
        <f t="shared" ref="E287:E295" si="34">D287-C287</f>
        <v>-2.12102754321708E-4</v>
      </c>
    </row>
    <row r="288" spans="1:5" x14ac:dyDescent="0.2">
      <c r="A288" s="588">
        <v>2</v>
      </c>
      <c r="B288" s="587" t="s">
        <v>637</v>
      </c>
      <c r="C288" s="623">
        <f t="shared" si="33"/>
        <v>0.24104945308133943</v>
      </c>
      <c r="D288" s="623">
        <f t="shared" si="33"/>
        <v>0.26167217223464639</v>
      </c>
      <c r="E288" s="650">
        <f t="shared" si="34"/>
        <v>2.0622719153306962E-2</v>
      </c>
    </row>
    <row r="289" spans="1:5" x14ac:dyDescent="0.2">
      <c r="A289" s="588">
        <v>3</v>
      </c>
      <c r="B289" s="587" t="s">
        <v>779</v>
      </c>
      <c r="C289" s="623">
        <f t="shared" si="33"/>
        <v>0.23149788356112538</v>
      </c>
      <c r="D289" s="623">
        <f t="shared" si="33"/>
        <v>0.25224922792672522</v>
      </c>
      <c r="E289" s="650">
        <f t="shared" si="34"/>
        <v>2.0751344365599833E-2</v>
      </c>
    </row>
    <row r="290" spans="1:5" x14ac:dyDescent="0.2">
      <c r="A290" s="588">
        <v>4</v>
      </c>
      <c r="B290" s="587" t="s">
        <v>115</v>
      </c>
      <c r="C290" s="623">
        <f t="shared" si="33"/>
        <v>0.23107168936174732</v>
      </c>
      <c r="D290" s="623">
        <f t="shared" si="33"/>
        <v>0.24785083529538485</v>
      </c>
      <c r="E290" s="650">
        <f t="shared" si="34"/>
        <v>1.6779145933637524E-2</v>
      </c>
    </row>
    <row r="291" spans="1:5" x14ac:dyDescent="0.2">
      <c r="A291" s="588">
        <v>5</v>
      </c>
      <c r="B291" s="587" t="s">
        <v>745</v>
      </c>
      <c r="C291" s="623">
        <f t="shared" si="33"/>
        <v>0.250089016843001</v>
      </c>
      <c r="D291" s="623">
        <f t="shared" si="33"/>
        <v>0.41765910052890876</v>
      </c>
      <c r="E291" s="650">
        <f t="shared" si="34"/>
        <v>0.16757008368590776</v>
      </c>
    </row>
    <row r="292" spans="1:5" x14ac:dyDescent="0.2">
      <c r="A292" s="588">
        <v>6</v>
      </c>
      <c r="B292" s="587" t="s">
        <v>424</v>
      </c>
      <c r="C292" s="623">
        <f t="shared" si="33"/>
        <v>0.24621531586021861</v>
      </c>
      <c r="D292" s="623">
        <f t="shared" si="33"/>
        <v>0.23064318598380909</v>
      </c>
      <c r="E292" s="650">
        <f t="shared" si="34"/>
        <v>-1.5572129876409518E-2</v>
      </c>
    </row>
    <row r="293" spans="1:5" x14ac:dyDescent="0.2">
      <c r="A293" s="588">
        <v>7</v>
      </c>
      <c r="B293" s="587" t="s">
        <v>760</v>
      </c>
      <c r="C293" s="623">
        <f t="shared" si="33"/>
        <v>0</v>
      </c>
      <c r="D293" s="623">
        <f t="shared" si="33"/>
        <v>0</v>
      </c>
      <c r="E293" s="650">
        <f t="shared" si="34"/>
        <v>0</v>
      </c>
    </row>
    <row r="294" spans="1:5" ht="29.25" customHeight="1" x14ac:dyDescent="0.2">
      <c r="A294" s="588"/>
      <c r="B294" s="592" t="s">
        <v>849</v>
      </c>
      <c r="C294" s="651">
        <f t="shared" si="33"/>
        <v>0.23860942609333627</v>
      </c>
      <c r="D294" s="651">
        <f t="shared" si="33"/>
        <v>0.25658333829255137</v>
      </c>
      <c r="E294" s="652">
        <f t="shared" si="34"/>
        <v>1.7973912199215097E-2</v>
      </c>
    </row>
    <row r="295" spans="1:5" x14ac:dyDescent="0.2">
      <c r="A295" s="588"/>
      <c r="B295" s="592" t="s">
        <v>850</v>
      </c>
      <c r="C295" s="651">
        <f t="shared" si="33"/>
        <v>0.36897213464996714</v>
      </c>
      <c r="D295" s="651">
        <f t="shared" si="33"/>
        <v>0.37267776204770053</v>
      </c>
      <c r="E295" s="652">
        <f t="shared" si="34"/>
        <v>3.7056273977333909E-3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325215386</v>
      </c>
      <c r="D301" s="590">
        <f>+D48+D47+D50+D51+D52+D59+D58+D61+D62+D63</f>
        <v>337823762</v>
      </c>
      <c r="E301" s="590">
        <f>D301-C301</f>
        <v>12608376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325215386</v>
      </c>
      <c r="D303" s="593">
        <f>+D301+D302</f>
        <v>337823762</v>
      </c>
      <c r="E303" s="593">
        <f>D303-C303</f>
        <v>12608376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-6430155</v>
      </c>
      <c r="D305" s="654">
        <v>-12800916</v>
      </c>
      <c r="E305" s="655">
        <f>D305-C305</f>
        <v>-6370761</v>
      </c>
    </row>
    <row r="306" spans="1:5" x14ac:dyDescent="0.2">
      <c r="A306" s="588">
        <v>4</v>
      </c>
      <c r="B306" s="592" t="s">
        <v>857</v>
      </c>
      <c r="C306" s="593">
        <f>+C303+C305+C194+C190-C191</f>
        <v>341728913</v>
      </c>
      <c r="D306" s="593">
        <f>+D303+D305</f>
        <v>325022846</v>
      </c>
      <c r="E306" s="656">
        <f>D306-C306</f>
        <v>-16706067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318785233</v>
      </c>
      <c r="D308" s="589">
        <v>325022845</v>
      </c>
      <c r="E308" s="590">
        <f>D308-C308</f>
        <v>6237612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22943680</v>
      </c>
      <c r="D310" s="658">
        <f>D306-D308</f>
        <v>1</v>
      </c>
      <c r="E310" s="656">
        <f>D310-C310</f>
        <v>-22943679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788136573</v>
      </c>
      <c r="D314" s="590">
        <f>+D14+D15+D16+D19+D25+D26+D27+D30</f>
        <v>839272510</v>
      </c>
      <c r="E314" s="590">
        <f>D314-C314</f>
        <v>51135937</v>
      </c>
    </row>
    <row r="315" spans="1:5" x14ac:dyDescent="0.2">
      <c r="A315" s="588">
        <v>2</v>
      </c>
      <c r="B315" s="659" t="s">
        <v>862</v>
      </c>
      <c r="C315" s="589">
        <v>7150730</v>
      </c>
      <c r="D315" s="589">
        <v>3751716</v>
      </c>
      <c r="E315" s="590">
        <f>D315-C315</f>
        <v>-3399014</v>
      </c>
    </row>
    <row r="316" spans="1:5" x14ac:dyDescent="0.2">
      <c r="A316" s="588"/>
      <c r="B316" s="592" t="s">
        <v>863</v>
      </c>
      <c r="C316" s="657">
        <f>C314+C315</f>
        <v>795287303</v>
      </c>
      <c r="D316" s="657">
        <f>D314+D315</f>
        <v>843024226</v>
      </c>
      <c r="E316" s="593">
        <f>D316-C316</f>
        <v>47736923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795287303</v>
      </c>
      <c r="D318" s="589">
        <v>843024228</v>
      </c>
      <c r="E318" s="590">
        <f>D318-C318</f>
        <v>47736925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0</v>
      </c>
      <c r="D320" s="657">
        <f>D316-D318</f>
        <v>-2</v>
      </c>
      <c r="E320" s="593">
        <f>D320-C320</f>
        <v>-2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17648372</v>
      </c>
      <c r="D324" s="589">
        <f>+D193+D194</f>
        <v>15046651</v>
      </c>
      <c r="E324" s="590">
        <f>D324-C324</f>
        <v>-2601721</v>
      </c>
    </row>
    <row r="325" spans="1:5" x14ac:dyDescent="0.2">
      <c r="A325" s="588">
        <v>2</v>
      </c>
      <c r="B325" s="587" t="s">
        <v>867</v>
      </c>
      <c r="C325" s="589">
        <v>2730999</v>
      </c>
      <c r="D325" s="589">
        <v>3202503</v>
      </c>
      <c r="E325" s="590">
        <f>D325-C325</f>
        <v>471504</v>
      </c>
    </row>
    <row r="326" spans="1:5" x14ac:dyDescent="0.2">
      <c r="A326" s="588"/>
      <c r="B326" s="592" t="s">
        <v>868</v>
      </c>
      <c r="C326" s="657">
        <f>C324+C325</f>
        <v>20379371</v>
      </c>
      <c r="D326" s="657">
        <f>D324+D325</f>
        <v>18249154</v>
      </c>
      <c r="E326" s="593">
        <f>D326-C326</f>
        <v>-2130217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20379371</v>
      </c>
      <c r="D328" s="589">
        <v>18249154</v>
      </c>
      <c r="E328" s="590">
        <f>D328-C328</f>
        <v>-2130217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FILING&amp;RLAWRENCE AND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70270602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168649538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61208693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59068288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2140405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11008953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1054326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240867184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311137786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211350912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198079775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95862339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93379302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2483037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22841698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8932325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316783812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528134724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281621514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557650996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839272510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48458517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70353365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17578375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16753204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825171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4609438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92541178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140999695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115542619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51831965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24181201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23144138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1037063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5268282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81281448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196824067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164001136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173822626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337823762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3521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6527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3210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3087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123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812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59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10549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14070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1.1632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1.4419999999999999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1.1052656074766356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1.1125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0.92369999999999997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0.94130000000000003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1.0829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1.30099271968907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1.26651026297086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257118682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160242760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96875922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0.37677511897015714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14516181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6858523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2248341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12798310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15046651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30854159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350127953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337823762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337823762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-12800916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325022846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325022845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839272510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3751716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843024226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843024228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-2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15046651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3202503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18249154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18249154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FILING&amp;RLAWRENCE AND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884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885</v>
      </c>
      <c r="D12" s="185">
        <v>675</v>
      </c>
      <c r="E12" s="185">
        <f>+D12-C12</f>
        <v>-210</v>
      </c>
      <c r="F12" s="77">
        <f>IF(C12=0,0,+E12/C12)</f>
        <v>-0.23728813559322035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763</v>
      </c>
      <c r="D13" s="185">
        <v>545</v>
      </c>
      <c r="E13" s="185">
        <f>+D13-C13</f>
        <v>-218</v>
      </c>
      <c r="F13" s="77">
        <f>IF(C13=0,0,+E13/C13)</f>
        <v>-0.2857142857142857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2681674</v>
      </c>
      <c r="D15" s="76">
        <v>2248341</v>
      </c>
      <c r="E15" s="76">
        <f>+D15-C15</f>
        <v>-433333</v>
      </c>
      <c r="F15" s="77">
        <f>IF(C15=0,0,+E15/C15)</f>
        <v>-0.16159048415280902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3514.6448230668416</v>
      </c>
      <c r="D16" s="79">
        <f>IF(D13=0,0,+D15/+D13)</f>
        <v>4125.396330275229</v>
      </c>
      <c r="E16" s="79">
        <f>+D16-C16</f>
        <v>610.75150720838747</v>
      </c>
      <c r="F16" s="80">
        <f>IF(C16=0,0,+E16/C16)</f>
        <v>0.17377332218606723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0.42626599999999998</v>
      </c>
      <c r="D18" s="704">
        <v>0.42620400000000003</v>
      </c>
      <c r="E18" s="704">
        <f>+D18-C18</f>
        <v>-6.1999999999950983E-5</v>
      </c>
      <c r="F18" s="77">
        <f>IF(C18=0,0,+E18/C18)</f>
        <v>-1.4544908578200229E-4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1143106.4492839999</v>
      </c>
      <c r="D19" s="79">
        <f>+D15*D18</f>
        <v>958251.92756400001</v>
      </c>
      <c r="E19" s="79">
        <f>+D19-C19</f>
        <v>-184854.52171999984</v>
      </c>
      <c r="F19" s="80">
        <f>IF(C19=0,0,+E19/C19)</f>
        <v>-0.16171243005039992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1498.1735901494101</v>
      </c>
      <c r="D20" s="79">
        <f>IF(D13=0,0,+D19/D13)</f>
        <v>1758.2604175486238</v>
      </c>
      <c r="E20" s="79">
        <f>+D20-C20</f>
        <v>260.08682739921369</v>
      </c>
      <c r="F20" s="80">
        <f>IF(C20=0,0,+E20/C20)</f>
        <v>0.17360259792944002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478038</v>
      </c>
      <c r="D22" s="76">
        <v>520407</v>
      </c>
      <c r="E22" s="76">
        <f>+D22-C22</f>
        <v>42369</v>
      </c>
      <c r="F22" s="77">
        <f>IF(C22=0,0,+E22/C22)</f>
        <v>8.8631029332396166E-2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1612052</v>
      </c>
      <c r="D23" s="185">
        <v>1142151</v>
      </c>
      <c r="E23" s="185">
        <f>+D23-C23</f>
        <v>-469901</v>
      </c>
      <c r="F23" s="77">
        <f>IF(C23=0,0,+E23/C23)</f>
        <v>-0.29149245805966556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591584</v>
      </c>
      <c r="D24" s="185">
        <v>585783</v>
      </c>
      <c r="E24" s="185">
        <f>+D24-C24</f>
        <v>-5801</v>
      </c>
      <c r="F24" s="77">
        <f>IF(C24=0,0,+E24/C24)</f>
        <v>-9.8058771028290154E-3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2681674</v>
      </c>
      <c r="D25" s="79">
        <f>+D22+D23+D24</f>
        <v>2248341</v>
      </c>
      <c r="E25" s="79">
        <f>+E22+E23+E24</f>
        <v>-433333</v>
      </c>
      <c r="F25" s="80">
        <f>IF(C25=0,0,+E25/C25)</f>
        <v>-0.16159048415280902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96</v>
      </c>
      <c r="D27" s="185">
        <v>111</v>
      </c>
      <c r="E27" s="185">
        <f>+D27-C27</f>
        <v>15</v>
      </c>
      <c r="F27" s="77">
        <f>IF(C27=0,0,+E27/C27)</f>
        <v>0.15625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27</v>
      </c>
      <c r="D28" s="185">
        <v>32</v>
      </c>
      <c r="E28" s="185">
        <f>+D28-C28</f>
        <v>5</v>
      </c>
      <c r="F28" s="77">
        <f>IF(C28=0,0,+E28/C28)</f>
        <v>0.18518518518518517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448</v>
      </c>
      <c r="D29" s="185">
        <v>304</v>
      </c>
      <c r="E29" s="185">
        <f>+D29-C29</f>
        <v>-144</v>
      </c>
      <c r="F29" s="77">
        <f>IF(C29=0,0,+E29/C29)</f>
        <v>-0.32142857142857145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1026</v>
      </c>
      <c r="D30" s="185">
        <v>754</v>
      </c>
      <c r="E30" s="185">
        <f>+D30-C30</f>
        <v>-272</v>
      </c>
      <c r="F30" s="77">
        <f>IF(C30=0,0,+E30/C30)</f>
        <v>-0.26510721247563351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3910121</v>
      </c>
      <c r="D33" s="76">
        <v>3602658</v>
      </c>
      <c r="E33" s="76">
        <f>+D33-C33</f>
        <v>-307463</v>
      </c>
      <c r="F33" s="77">
        <f>IF(C33=0,0,+E33/C33)</f>
        <v>-7.8632604975651652E-2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4632939</v>
      </c>
      <c r="D34" s="185">
        <v>3649610</v>
      </c>
      <c r="E34" s="185">
        <f>+D34-C34</f>
        <v>-983329</v>
      </c>
      <c r="F34" s="77">
        <f>IF(C34=0,0,+E34/C34)</f>
        <v>-0.21224734450421212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6423638</v>
      </c>
      <c r="D35" s="185">
        <v>5546042</v>
      </c>
      <c r="E35" s="185">
        <f>+D35-C35</f>
        <v>-877596</v>
      </c>
      <c r="F35" s="77">
        <f>IF(C35=0,0,+E35/C35)</f>
        <v>-0.1366197783872628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14966698</v>
      </c>
      <c r="D36" s="79">
        <f>+D33+D34+D35</f>
        <v>12798310</v>
      </c>
      <c r="E36" s="79">
        <f>+E33+E34+E35</f>
        <v>-2168388</v>
      </c>
      <c r="F36" s="80">
        <f>IF(C36=0,0,+E36/C36)</f>
        <v>-0.14488085481513691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2681674</v>
      </c>
      <c r="D39" s="76">
        <f>+D25</f>
        <v>2248341</v>
      </c>
      <c r="E39" s="76">
        <f>+D39-C39</f>
        <v>-433333</v>
      </c>
      <c r="F39" s="77">
        <f>IF(C39=0,0,+E39/C39)</f>
        <v>-0.16159048415280902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14966698</v>
      </c>
      <c r="D40" s="185">
        <f>+D36</f>
        <v>12798310</v>
      </c>
      <c r="E40" s="185">
        <f>+D40-C40</f>
        <v>-2168388</v>
      </c>
      <c r="F40" s="77">
        <f>IF(C40=0,0,+E40/C40)</f>
        <v>-0.14488085481513691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17648372</v>
      </c>
      <c r="D41" s="79">
        <f>+D39+D40</f>
        <v>15046651</v>
      </c>
      <c r="E41" s="79">
        <f>+E39+E40</f>
        <v>-2601721</v>
      </c>
      <c r="F41" s="80">
        <f>IF(C41=0,0,+E41/C41)</f>
        <v>-0.14741988666150055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4388159</v>
      </c>
      <c r="D43" s="76">
        <f t="shared" si="0"/>
        <v>4123065</v>
      </c>
      <c r="E43" s="76">
        <f>+D43-C43</f>
        <v>-265094</v>
      </c>
      <c r="F43" s="77">
        <f>IF(C43=0,0,+E43/C43)</f>
        <v>-6.0411211170789389E-2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6244991</v>
      </c>
      <c r="D44" s="185">
        <f t="shared" si="0"/>
        <v>4791761</v>
      </c>
      <c r="E44" s="185">
        <f>+D44-C44</f>
        <v>-1453230</v>
      </c>
      <c r="F44" s="77">
        <f>IF(C44=0,0,+E44/C44)</f>
        <v>-0.23270329773093348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7015222</v>
      </c>
      <c r="D45" s="185">
        <f t="shared" si="0"/>
        <v>6131825</v>
      </c>
      <c r="E45" s="185">
        <f>+D45-C45</f>
        <v>-883397</v>
      </c>
      <c r="F45" s="77">
        <f>IF(C45=0,0,+E45/C45)</f>
        <v>-0.12592573691894568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17648372</v>
      </c>
      <c r="D46" s="79">
        <f>+D43+D44+D45</f>
        <v>15046651</v>
      </c>
      <c r="E46" s="79">
        <f>+E43+E44+E45</f>
        <v>-2601721</v>
      </c>
      <c r="F46" s="80">
        <f>IF(C46=0,0,+E46/C46)</f>
        <v>-0.14741988666150055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913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FILING&amp;RLAWRENCE AND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914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915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250404746</v>
      </c>
      <c r="D15" s="76">
        <v>257118682</v>
      </c>
      <c r="E15" s="76">
        <f>+D15-C15</f>
        <v>6713936</v>
      </c>
      <c r="F15" s="77">
        <f>IF(C15=0,0,E15/C15)</f>
        <v>2.6812335258214314E-2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89211197</v>
      </c>
      <c r="D17" s="76">
        <v>96875922</v>
      </c>
      <c r="E17" s="76">
        <f>+D17-C17</f>
        <v>7664725</v>
      </c>
      <c r="F17" s="77">
        <f>IF(C17=0,0,E17/C17)</f>
        <v>8.5916625465747312E-2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161193549</v>
      </c>
      <c r="D19" s="79">
        <f>+D15-D17</f>
        <v>160242760</v>
      </c>
      <c r="E19" s="79">
        <f>+D19-C19</f>
        <v>-950789</v>
      </c>
      <c r="F19" s="80">
        <f>IF(C19=0,0,E19/C19)</f>
        <v>-5.8984308360876155E-3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0.35626799581506335</v>
      </c>
      <c r="D21" s="720">
        <f>IF(D15=0,0,D17/D15)</f>
        <v>0.37677511897015714</v>
      </c>
      <c r="E21" s="720">
        <f>+D21-C21</f>
        <v>2.0507123155093787E-2</v>
      </c>
      <c r="F21" s="80">
        <f>IF(C21=0,0,E21/C21)</f>
        <v>5.7560946804042751E-2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FILING&amp;R&amp;12LAWRENCE AND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293047902</v>
      </c>
      <c r="D10" s="744">
        <v>304241557</v>
      </c>
      <c r="E10" s="744">
        <v>311137786</v>
      </c>
    </row>
    <row r="11" spans="1:6" ht="26.1" customHeight="1" x14ac:dyDescent="0.25">
      <c r="A11" s="742">
        <v>2</v>
      </c>
      <c r="B11" s="743" t="s">
        <v>934</v>
      </c>
      <c r="C11" s="744">
        <v>416279962</v>
      </c>
      <c r="D11" s="744">
        <v>483895016</v>
      </c>
      <c r="E11" s="744">
        <v>528134724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709327864</v>
      </c>
      <c r="D12" s="744">
        <f>+D11+D10</f>
        <v>788136573</v>
      </c>
      <c r="E12" s="744">
        <f>+E11+E10</f>
        <v>839272510</v>
      </c>
    </row>
    <row r="13" spans="1:6" ht="26.1" customHeight="1" x14ac:dyDescent="0.25">
      <c r="A13" s="742">
        <v>4</v>
      </c>
      <c r="B13" s="743" t="s">
        <v>507</v>
      </c>
      <c r="C13" s="744">
        <v>298930165</v>
      </c>
      <c r="D13" s="744">
        <v>318785233</v>
      </c>
      <c r="E13" s="744">
        <v>325022845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312019235</v>
      </c>
      <c r="D16" s="744">
        <v>348525480</v>
      </c>
      <c r="E16" s="744">
        <v>350127953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67153</v>
      </c>
      <c r="D19" s="747">
        <v>66332</v>
      </c>
      <c r="E19" s="747">
        <v>62219</v>
      </c>
    </row>
    <row r="20" spans="1:5" ht="26.1" customHeight="1" x14ac:dyDescent="0.25">
      <c r="A20" s="742">
        <v>2</v>
      </c>
      <c r="B20" s="743" t="s">
        <v>381</v>
      </c>
      <c r="C20" s="748">
        <v>14649</v>
      </c>
      <c r="D20" s="748">
        <v>14150</v>
      </c>
      <c r="E20" s="748">
        <v>14070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4.584135435865929</v>
      </c>
      <c r="D21" s="749">
        <f>IF(D20=0,0,+D19/D20)</f>
        <v>4.687773851590106</v>
      </c>
      <c r="E21" s="749">
        <f>IF(E20=0,0,+E19/E20)</f>
        <v>4.4221037668798866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162545.07787328231</v>
      </c>
      <c r="D22" s="748">
        <f>IF(D10=0,0,D19*(D12/D10))</f>
        <v>171832.78864246674</v>
      </c>
      <c r="E22" s="748">
        <f>IF(E10=0,0,E19*(E12/E10))</f>
        <v>167831.41954892615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35458.175297689049</v>
      </c>
      <c r="D23" s="748">
        <f>IF(D10=0,0,D20*(D12/D10))</f>
        <v>36655.520100266906</v>
      </c>
      <c r="E23" s="748">
        <f>IF(E10=0,0,E20*(E12/E10))</f>
        <v>37952.84516069675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1.2109870434841967</v>
      </c>
      <c r="D26" s="750">
        <v>1.2530368127208484</v>
      </c>
      <c r="E26" s="750">
        <v>1.26651026297086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81321.412931094266</v>
      </c>
      <c r="D27" s="748">
        <f>D19*D26</f>
        <v>83116.437861399318</v>
      </c>
      <c r="E27" s="748">
        <f>E19*E26</f>
        <v>78801.002051783944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17739.749199999998</v>
      </c>
      <c r="D28" s="748">
        <f>D20*D26</f>
        <v>17730.470900000004</v>
      </c>
      <c r="E28" s="748">
        <f>E20*E26</f>
        <v>17819.7994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196839.98328667466</v>
      </c>
      <c r="D29" s="748">
        <f>D22*D26</f>
        <v>215312.80980149173</v>
      </c>
      <c r="E29" s="748">
        <f>E22*E26</f>
        <v>212560.21530768319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42939.390871092837</v>
      </c>
      <c r="D30" s="748">
        <f>D23*D26</f>
        <v>45930.716075063436</v>
      </c>
      <c r="E30" s="748">
        <f>E23*E26</f>
        <v>48067.667904966373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10562.861882566676</v>
      </c>
      <c r="D33" s="744">
        <f>IF(D19=0,0,D12/D19)</f>
        <v>11881.694702406079</v>
      </c>
      <c r="E33" s="744">
        <f>IF(E19=0,0,E12/E19)</f>
        <v>13489.006734277311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48421.589460031399</v>
      </c>
      <c r="D34" s="744">
        <f>IF(D20=0,0,D12/D20)</f>
        <v>55698.697738515904</v>
      </c>
      <c r="E34" s="744">
        <f>IF(E20=0,0,E12/E20)</f>
        <v>59649.787491115851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4363.8839962473749</v>
      </c>
      <c r="D35" s="744">
        <f>IF(D22=0,0,D12/D22)</f>
        <v>4586.6483296146662</v>
      </c>
      <c r="E35" s="744">
        <f>IF(E22=0,0,E12/E22)</f>
        <v>5000.6876677542232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20004.635265205812</v>
      </c>
      <c r="D36" s="744">
        <f>IF(D23=0,0,D12/D23)</f>
        <v>21501.17010600707</v>
      </c>
      <c r="E36" s="744">
        <f>IF(E23=0,0,E12/E23)</f>
        <v>22113.559772565739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3603.5761238962618</v>
      </c>
      <c r="D37" s="744">
        <f>IF(D29=0,0,D12/D29)</f>
        <v>3660.4258414844189</v>
      </c>
      <c r="E37" s="744">
        <f>IF(E29=0,0,E12/E29)</f>
        <v>3948.3988515214105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16519.281005393244</v>
      </c>
      <c r="D38" s="744">
        <f>IF(D30=0,0,D12/D30)</f>
        <v>17159.24854539537</v>
      </c>
      <c r="E38" s="744">
        <f>IF(E30=0,0,E12/E30)</f>
        <v>17460.229434457044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1802.8715838965959</v>
      </c>
      <c r="D39" s="744">
        <f>IF(D22=0,0,D10/D22)</f>
        <v>1770.5675348901937</v>
      </c>
      <c r="E39" s="744">
        <f>IF(E22=0,0,E10/E22)</f>
        <v>1853.8709071056701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8264.6075140561188</v>
      </c>
      <c r="D40" s="744">
        <f>IF(D23=0,0,D10/D23)</f>
        <v>8300.0201925326019</v>
      </c>
      <c r="E40" s="744">
        <f>IF(E23=0,0,E10/E23)</f>
        <v>8198.0095216210138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4451.4789361607072</v>
      </c>
      <c r="D43" s="744">
        <f>IF(D19=0,0,D13/D19)</f>
        <v>4805.9041337514318</v>
      </c>
      <c r="E43" s="744">
        <f>IF(E19=0,0,E13/E19)</f>
        <v>5223.8519584049891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20406.182333265071</v>
      </c>
      <c r="D44" s="744">
        <f>IF(D20=0,0,D13/D20)</f>
        <v>22528.991731448765</v>
      </c>
      <c r="E44" s="744">
        <f>IF(E20=0,0,E13/E20)</f>
        <v>23100.415422885573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1839.060086661261</v>
      </c>
      <c r="D45" s="744">
        <f>IF(D22=0,0,D13/D22)</f>
        <v>1855.2060728252388</v>
      </c>
      <c r="E45" s="744">
        <f>IF(E22=0,0,E13/E22)</f>
        <v>1936.6030858438248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8430.5005119505531</v>
      </c>
      <c r="D46" s="744">
        <f>IF(D23=0,0,D13/D23)</f>
        <v>8696.786517501323</v>
      </c>
      <c r="E46" s="744">
        <f>IF(E23=0,0,E13/E23)</f>
        <v>8563.859800861188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1518.6455516237411</v>
      </c>
      <c r="D47" s="744">
        <f>IF(D29=0,0,D13/D29)</f>
        <v>1480.5678923325786</v>
      </c>
      <c r="E47" s="744">
        <f>IF(E29=0,0,E13/E29)</f>
        <v>1529.0859793754253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6961.6768877185523</v>
      </c>
      <c r="D48" s="744">
        <f>IF(D30=0,0,D13/D30)</f>
        <v>6940.5674511805382</v>
      </c>
      <c r="E48" s="744">
        <f>IF(E30=0,0,E13/E30)</f>
        <v>6761.776869279287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4646.3930874272182</v>
      </c>
      <c r="D51" s="744">
        <f>IF(D19=0,0,D16/D19)</f>
        <v>5254.2585780618701</v>
      </c>
      <c r="E51" s="744">
        <f>IF(E19=0,0,E16/E19)</f>
        <v>5627.34780372555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21299.695201037612</v>
      </c>
      <c r="D52" s="744">
        <f>IF(D20=0,0,D16/D20)</f>
        <v>24630.775971731447</v>
      </c>
      <c r="E52" s="744">
        <f>IF(E20=0,0,E16/E20)</f>
        <v>24884.715920398008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1919.5858717004369</v>
      </c>
      <c r="D53" s="744">
        <f>IF(D22=0,0,D16/D22)</f>
        <v>2028.2827436687799</v>
      </c>
      <c r="E53" s="744">
        <f>IF(E22=0,0,E16/E22)</f>
        <v>2086.1883546062177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8799.6416166495619</v>
      </c>
      <c r="D54" s="744">
        <f>IF(D23=0,0,D16/D23)</f>
        <v>9508.1308094019441</v>
      </c>
      <c r="E54" s="744">
        <f>IF(E23=0,0,E16/E23)</f>
        <v>9225.3413813251063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1585.1415438578863</v>
      </c>
      <c r="D55" s="744">
        <f>IF(D29=0,0,D16/D29)</f>
        <v>1618.6936593383555</v>
      </c>
      <c r="E55" s="744">
        <f>IF(E29=0,0,E16/E29)</f>
        <v>1647.1941962101705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7266.503522062163</v>
      </c>
      <c r="D56" s="744">
        <f>IF(D30=0,0,D16/D30)</f>
        <v>7588.0698099810461</v>
      </c>
      <c r="E56" s="744">
        <f>IF(E30=0,0,E16/E30)</f>
        <v>7284.0636598436813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43409289</v>
      </c>
      <c r="D59" s="752">
        <v>40921636</v>
      </c>
      <c r="E59" s="752">
        <v>40670258</v>
      </c>
    </row>
    <row r="60" spans="1:6" ht="26.1" customHeight="1" x14ac:dyDescent="0.25">
      <c r="A60" s="742">
        <v>2</v>
      </c>
      <c r="B60" s="743" t="s">
        <v>970</v>
      </c>
      <c r="C60" s="752">
        <v>13009754</v>
      </c>
      <c r="D60" s="752">
        <v>14645164</v>
      </c>
      <c r="E60" s="752">
        <v>14949101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56419043</v>
      </c>
      <c r="D61" s="755">
        <f>D59+D60</f>
        <v>55566800</v>
      </c>
      <c r="E61" s="755">
        <f>E59+E60</f>
        <v>55619359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376629</v>
      </c>
      <c r="D64" s="744">
        <v>367754</v>
      </c>
      <c r="E64" s="752">
        <v>389032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112876</v>
      </c>
      <c r="D65" s="752">
        <v>131613</v>
      </c>
      <c r="E65" s="752">
        <v>142996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489505</v>
      </c>
      <c r="D66" s="757">
        <f>D64+D65</f>
        <v>499367</v>
      </c>
      <c r="E66" s="757">
        <f>E64+E65</f>
        <v>532028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100758446</v>
      </c>
      <c r="D69" s="752">
        <v>101054229</v>
      </c>
      <c r="E69" s="752">
        <v>99580813</v>
      </c>
    </row>
    <row r="70" spans="1:6" ht="26.1" customHeight="1" x14ac:dyDescent="0.25">
      <c r="A70" s="742">
        <v>2</v>
      </c>
      <c r="B70" s="743" t="s">
        <v>978</v>
      </c>
      <c r="C70" s="752">
        <v>30197282</v>
      </c>
      <c r="D70" s="752">
        <v>36165592</v>
      </c>
      <c r="E70" s="752">
        <v>36602758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130955728</v>
      </c>
      <c r="D71" s="755">
        <f>D69+D70</f>
        <v>137219821</v>
      </c>
      <c r="E71" s="755">
        <f>E69+E70</f>
        <v>136183571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144544364</v>
      </c>
      <c r="D75" s="744">
        <f t="shared" si="0"/>
        <v>142343619</v>
      </c>
      <c r="E75" s="744">
        <f t="shared" si="0"/>
        <v>140640103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43319912</v>
      </c>
      <c r="D76" s="744">
        <f t="shared" si="0"/>
        <v>50942369</v>
      </c>
      <c r="E76" s="744">
        <f t="shared" si="0"/>
        <v>51694855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187864276</v>
      </c>
      <c r="D77" s="757">
        <f>D75+D76</f>
        <v>193285988</v>
      </c>
      <c r="E77" s="757">
        <f>E75+E76</f>
        <v>192334958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452.3</v>
      </c>
      <c r="D80" s="749">
        <v>407.3</v>
      </c>
      <c r="E80" s="749">
        <v>417.1</v>
      </c>
    </row>
    <row r="81" spans="1:5" ht="26.1" customHeight="1" x14ac:dyDescent="0.25">
      <c r="A81" s="742">
        <v>2</v>
      </c>
      <c r="B81" s="743" t="s">
        <v>617</v>
      </c>
      <c r="C81" s="749">
        <v>1.7</v>
      </c>
      <c r="D81" s="749">
        <v>1.6</v>
      </c>
      <c r="E81" s="749">
        <v>1.6</v>
      </c>
    </row>
    <row r="82" spans="1:5" ht="26.1" customHeight="1" x14ac:dyDescent="0.25">
      <c r="A82" s="742">
        <v>3</v>
      </c>
      <c r="B82" s="743" t="s">
        <v>984</v>
      </c>
      <c r="C82" s="749">
        <v>1467</v>
      </c>
      <c r="D82" s="749">
        <v>1440.2</v>
      </c>
      <c r="E82" s="749">
        <v>1407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1921</v>
      </c>
      <c r="D83" s="759">
        <f>D80+D81+D82</f>
        <v>1849.1000000000001</v>
      </c>
      <c r="E83" s="759">
        <f>E80+E81+E82</f>
        <v>1825.7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95974.550077382271</v>
      </c>
      <c r="D86" s="752">
        <f>IF(D80=0,0,D59/D80)</f>
        <v>100470.50331451019</v>
      </c>
      <c r="E86" s="752">
        <f>IF(E80=0,0,E59/E80)</f>
        <v>97507.211699832173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28763.550740658855</v>
      </c>
      <c r="D87" s="752">
        <f>IF(D80=0,0,D60/D80)</f>
        <v>35956.700220967345</v>
      </c>
      <c r="E87" s="752">
        <f>IF(E80=0,0,E60/E80)</f>
        <v>35840.568209062571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124738.10081804113</v>
      </c>
      <c r="D88" s="755">
        <f>+D86+D87</f>
        <v>136427.20353547754</v>
      </c>
      <c r="E88" s="755">
        <f>+E86+E87</f>
        <v>133347.77990889474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221546.4705882353</v>
      </c>
      <c r="D91" s="744">
        <f>IF(D81=0,0,D64/D81)</f>
        <v>229846.25</v>
      </c>
      <c r="E91" s="744">
        <f>IF(E81=0,0,E64/E81)</f>
        <v>243145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66397.647058823524</v>
      </c>
      <c r="D92" s="744">
        <f>IF(D81=0,0,D65/D81)</f>
        <v>82258.125</v>
      </c>
      <c r="E92" s="744">
        <f>IF(E81=0,0,E65/E81)</f>
        <v>89372.5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287944.1176470588</v>
      </c>
      <c r="D93" s="757">
        <f>+D91+D92</f>
        <v>312104.375</v>
      </c>
      <c r="E93" s="757">
        <f>+E91+E92</f>
        <v>332517.5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68683.330606680305</v>
      </c>
      <c r="D96" s="752">
        <f>IF(D82=0,0,D69/D82)</f>
        <v>70166.802527426742</v>
      </c>
      <c r="E96" s="752">
        <f>IF(E82=0,0,E69/E82)</f>
        <v>70775.275764036953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20584.377641445128</v>
      </c>
      <c r="D97" s="752">
        <f>IF(D82=0,0,D70/D82)</f>
        <v>25111.50673517567</v>
      </c>
      <c r="E97" s="752">
        <f>IF(E82=0,0,E70/E82)</f>
        <v>26014.753375977256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89267.708248125433</v>
      </c>
      <c r="D98" s="757">
        <f>+D96+D97</f>
        <v>95278.309262602415</v>
      </c>
      <c r="E98" s="757">
        <f>+E96+E97</f>
        <v>96790.029140014201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75244.333159812595</v>
      </c>
      <c r="D101" s="744">
        <f>IF(D83=0,0,D75/D83)</f>
        <v>76979.946460440202</v>
      </c>
      <c r="E101" s="744">
        <f>IF(E83=0,0,E75/E83)</f>
        <v>77033.523032261597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22550.709005726185</v>
      </c>
      <c r="D102" s="761">
        <f>IF(D83=0,0,D76/D83)</f>
        <v>27549.818289978906</v>
      </c>
      <c r="E102" s="761">
        <f>IF(E83=0,0,E76/E83)</f>
        <v>28315.087363750888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97795.042165538776</v>
      </c>
      <c r="D103" s="757">
        <f>+D101+D102</f>
        <v>104529.76475041911</v>
      </c>
      <c r="E103" s="757">
        <f>+E101+E102</f>
        <v>105348.61039601249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2797.5559692046522</v>
      </c>
      <c r="D108" s="744">
        <f>IF(D19=0,0,D77/D19)</f>
        <v>2913.917686787674</v>
      </c>
      <c r="E108" s="744">
        <f>IF(E19=0,0,E77/E19)</f>
        <v>3091.2576222697248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12824.3754522493</v>
      </c>
      <c r="D109" s="744">
        <f>IF(D20=0,0,D77/D20)</f>
        <v>13659.787137809188</v>
      </c>
      <c r="E109" s="744">
        <f>IF(E20=0,0,E77/E20)</f>
        <v>13669.861975835111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1155.7672398204279</v>
      </c>
      <c r="D110" s="744">
        <f>IF(D22=0,0,D77/D22)</f>
        <v>1124.849276596279</v>
      </c>
      <c r="E110" s="744">
        <f>IF(E22=0,0,E77/E22)</f>
        <v>1146.0009008857282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5298.1935596737785</v>
      </c>
      <c r="D111" s="744">
        <f>IF(D23=0,0,D77/D23)</f>
        <v>5273.0390258080824</v>
      </c>
      <c r="E111" s="744">
        <f>IF(E23=0,0,E77/E23)</f>
        <v>5067.7349006545219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954.40099548473052</v>
      </c>
      <c r="D112" s="744">
        <f>IF(D29=0,0,D77/D29)</f>
        <v>897.69850747942291</v>
      </c>
      <c r="E112" s="744">
        <f>IF(E29=0,0,E77/E29)</f>
        <v>904.84928104534094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4375.1034234272711</v>
      </c>
      <c r="D113" s="744">
        <f>IF(D30=0,0,D77/D30)</f>
        <v>4208.2075899735046</v>
      </c>
      <c r="E113" s="744">
        <f>IF(E30=0,0,E77/E30)</f>
        <v>4001.3374141691584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FILING&amp;R&amp;"Arial,Bold"&amp;12LAWRENCE AND MEMORIAL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788136574</v>
      </c>
      <c r="D12" s="76">
        <v>839272512</v>
      </c>
      <c r="E12" s="76">
        <f t="shared" ref="E12:E21" si="0">D12-C12</f>
        <v>51135938</v>
      </c>
      <c r="F12" s="77">
        <f t="shared" ref="F12:F21" si="1">IF(C12=0,0,E12/C12)</f>
        <v>6.4882077151262874E-2</v>
      </c>
    </row>
    <row r="13" spans="1:8" ht="23.1" customHeight="1" x14ac:dyDescent="0.2">
      <c r="A13" s="74">
        <v>2</v>
      </c>
      <c r="B13" s="75" t="s">
        <v>72</v>
      </c>
      <c r="C13" s="76">
        <v>446477554</v>
      </c>
      <c r="D13" s="76">
        <v>483222533</v>
      </c>
      <c r="E13" s="76">
        <f t="shared" si="0"/>
        <v>36744979</v>
      </c>
      <c r="F13" s="77">
        <f t="shared" si="1"/>
        <v>8.2299722955389606E-2</v>
      </c>
    </row>
    <row r="14" spans="1:8" ht="23.1" customHeight="1" x14ac:dyDescent="0.2">
      <c r="A14" s="74">
        <v>3</v>
      </c>
      <c r="B14" s="75" t="s">
        <v>73</v>
      </c>
      <c r="C14" s="76">
        <v>5449069</v>
      </c>
      <c r="D14" s="76">
        <v>5405542</v>
      </c>
      <c r="E14" s="76">
        <f t="shared" si="0"/>
        <v>-43527</v>
      </c>
      <c r="F14" s="77">
        <f t="shared" si="1"/>
        <v>-7.9879700550681224E-3</v>
      </c>
    </row>
    <row r="15" spans="1:8" ht="23.1" customHeight="1" x14ac:dyDescent="0.2">
      <c r="A15" s="74">
        <v>4</v>
      </c>
      <c r="B15" s="75" t="s">
        <v>74</v>
      </c>
      <c r="C15" s="76">
        <v>2458020</v>
      </c>
      <c r="D15" s="76">
        <v>12823282</v>
      </c>
      <c r="E15" s="76">
        <f t="shared" si="0"/>
        <v>10365262</v>
      </c>
      <c r="F15" s="77">
        <f t="shared" si="1"/>
        <v>4.2169152407222077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333751931</v>
      </c>
      <c r="D16" s="79">
        <f>D12-D13-D14-D15</f>
        <v>337821155</v>
      </c>
      <c r="E16" s="79">
        <f t="shared" si="0"/>
        <v>4069224</v>
      </c>
      <c r="F16" s="80">
        <f t="shared" si="1"/>
        <v>1.2192360918505068E-2</v>
      </c>
    </row>
    <row r="17" spans="1:7" ht="23.1" customHeight="1" x14ac:dyDescent="0.2">
      <c r="A17" s="74">
        <v>5</v>
      </c>
      <c r="B17" s="75" t="s">
        <v>76</v>
      </c>
      <c r="C17" s="76">
        <v>14966698</v>
      </c>
      <c r="D17" s="76">
        <v>12798310</v>
      </c>
      <c r="E17" s="76">
        <f t="shared" si="0"/>
        <v>-2168388</v>
      </c>
      <c r="F17" s="77">
        <f t="shared" si="1"/>
        <v>-0.14488085481513691</v>
      </c>
      <c r="G17" s="65"/>
    </row>
    <row r="18" spans="1:7" ht="31.5" customHeight="1" x14ac:dyDescent="0.25">
      <c r="A18" s="71"/>
      <c r="B18" s="81" t="s">
        <v>77</v>
      </c>
      <c r="C18" s="79">
        <f>C16-C17</f>
        <v>318785233</v>
      </c>
      <c r="D18" s="79">
        <f>D16-D17</f>
        <v>325022845</v>
      </c>
      <c r="E18" s="79">
        <f t="shared" si="0"/>
        <v>6237612</v>
      </c>
      <c r="F18" s="80">
        <f t="shared" si="1"/>
        <v>1.9566816007440344E-2</v>
      </c>
    </row>
    <row r="19" spans="1:7" ht="23.1" customHeight="1" x14ac:dyDescent="0.2">
      <c r="A19" s="74">
        <v>6</v>
      </c>
      <c r="B19" s="75" t="s">
        <v>78</v>
      </c>
      <c r="C19" s="76">
        <v>29607174</v>
      </c>
      <c r="D19" s="76">
        <v>30854159</v>
      </c>
      <c r="E19" s="76">
        <f t="shared" si="0"/>
        <v>1246985</v>
      </c>
      <c r="F19" s="77">
        <f t="shared" si="1"/>
        <v>4.2117663779731224E-2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671797</v>
      </c>
      <c r="D20" s="76">
        <v>577092</v>
      </c>
      <c r="E20" s="76">
        <f t="shared" si="0"/>
        <v>-94705</v>
      </c>
      <c r="F20" s="77">
        <f t="shared" si="1"/>
        <v>-0.14097264501032306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349064204</v>
      </c>
      <c r="D21" s="79">
        <f>SUM(D18:D20)</f>
        <v>356454096</v>
      </c>
      <c r="E21" s="79">
        <f t="shared" si="0"/>
        <v>7389892</v>
      </c>
      <c r="F21" s="80">
        <f t="shared" si="1"/>
        <v>2.1170580985726054E-2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142343619</v>
      </c>
      <c r="D24" s="76">
        <v>140640103</v>
      </c>
      <c r="E24" s="76">
        <f t="shared" ref="E24:E33" si="2">D24-C24</f>
        <v>-1703516</v>
      </c>
      <c r="F24" s="77">
        <f t="shared" ref="F24:F33" si="3">IF(C24=0,0,E24/C24)</f>
        <v>-1.1967631650562431E-2</v>
      </c>
    </row>
    <row r="25" spans="1:7" ht="23.1" customHeight="1" x14ac:dyDescent="0.2">
      <c r="A25" s="74">
        <v>2</v>
      </c>
      <c r="B25" s="75" t="s">
        <v>83</v>
      </c>
      <c r="C25" s="76">
        <v>50942369</v>
      </c>
      <c r="D25" s="76">
        <v>51694855</v>
      </c>
      <c r="E25" s="76">
        <f t="shared" si="2"/>
        <v>752486</v>
      </c>
      <c r="F25" s="77">
        <f t="shared" si="3"/>
        <v>1.4771319331458652E-2</v>
      </c>
    </row>
    <row r="26" spans="1:7" ht="23.1" customHeight="1" x14ac:dyDescent="0.2">
      <c r="A26" s="74">
        <v>3</v>
      </c>
      <c r="B26" s="75" t="s">
        <v>84</v>
      </c>
      <c r="C26" s="76">
        <v>0</v>
      </c>
      <c r="D26" s="76">
        <v>0</v>
      </c>
      <c r="E26" s="76">
        <f t="shared" si="2"/>
        <v>0</v>
      </c>
      <c r="F26" s="77">
        <f t="shared" si="3"/>
        <v>0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52151445</v>
      </c>
      <c r="D27" s="76">
        <v>56133288</v>
      </c>
      <c r="E27" s="76">
        <f t="shared" si="2"/>
        <v>3981843</v>
      </c>
      <c r="F27" s="77">
        <f t="shared" si="3"/>
        <v>7.6351537335159175E-2</v>
      </c>
    </row>
    <row r="28" spans="1:7" ht="23.1" customHeight="1" x14ac:dyDescent="0.2">
      <c r="A28" s="74">
        <v>5</v>
      </c>
      <c r="B28" s="75" t="s">
        <v>86</v>
      </c>
      <c r="C28" s="76">
        <v>22635125</v>
      </c>
      <c r="D28" s="76">
        <v>23641535</v>
      </c>
      <c r="E28" s="76">
        <f t="shared" si="2"/>
        <v>1006410</v>
      </c>
      <c r="F28" s="77">
        <f t="shared" si="3"/>
        <v>4.4462312445811544E-2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3542721</v>
      </c>
      <c r="D30" s="76">
        <v>3553690</v>
      </c>
      <c r="E30" s="76">
        <f t="shared" si="2"/>
        <v>10969</v>
      </c>
      <c r="F30" s="77">
        <f t="shared" si="3"/>
        <v>3.0962076889486921E-3</v>
      </c>
    </row>
    <row r="31" spans="1:7" ht="23.1" customHeight="1" x14ac:dyDescent="0.2">
      <c r="A31" s="74">
        <v>8</v>
      </c>
      <c r="B31" s="75" t="s">
        <v>89</v>
      </c>
      <c r="C31" s="76">
        <v>4538822</v>
      </c>
      <c r="D31" s="76">
        <v>4818820</v>
      </c>
      <c r="E31" s="76">
        <f t="shared" si="2"/>
        <v>279998</v>
      </c>
      <c r="F31" s="77">
        <f t="shared" si="3"/>
        <v>6.1689574960198924E-2</v>
      </c>
    </row>
    <row r="32" spans="1:7" ht="23.1" customHeight="1" x14ac:dyDescent="0.2">
      <c r="A32" s="74">
        <v>9</v>
      </c>
      <c r="B32" s="75" t="s">
        <v>90</v>
      </c>
      <c r="C32" s="76">
        <v>72371379</v>
      </c>
      <c r="D32" s="76">
        <v>69645662</v>
      </c>
      <c r="E32" s="76">
        <f t="shared" si="2"/>
        <v>-2725717</v>
      </c>
      <c r="F32" s="77">
        <f t="shared" si="3"/>
        <v>-3.7662913677518846E-2</v>
      </c>
    </row>
    <row r="33" spans="1:6" ht="23.1" customHeight="1" x14ac:dyDescent="0.25">
      <c r="A33" s="71"/>
      <c r="B33" s="78" t="s">
        <v>91</v>
      </c>
      <c r="C33" s="79">
        <f>SUM(C24:C32)</f>
        <v>348525480</v>
      </c>
      <c r="D33" s="79">
        <f>SUM(D24:D32)</f>
        <v>350127953</v>
      </c>
      <c r="E33" s="79">
        <f t="shared" si="2"/>
        <v>1602473</v>
      </c>
      <c r="F33" s="80">
        <f t="shared" si="3"/>
        <v>4.5978646955740507E-3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538724</v>
      </c>
      <c r="D35" s="79">
        <f>+D21-D33</f>
        <v>6326143</v>
      </c>
      <c r="E35" s="79">
        <f>D35-C35</f>
        <v>5787419</v>
      </c>
      <c r="F35" s="80">
        <f>IF(C35=0,0,E35/C35)</f>
        <v>10.742827496083338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8788601</v>
      </c>
      <c r="D38" s="76">
        <v>9936909</v>
      </c>
      <c r="E38" s="76">
        <f>D38-C38</f>
        <v>1148308</v>
      </c>
      <c r="F38" s="77">
        <f>IF(C38=0,0,E38/C38)</f>
        <v>0.13065879313442491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8788601</v>
      </c>
      <c r="D41" s="79">
        <f>SUM(D38:D40)</f>
        <v>9936909</v>
      </c>
      <c r="E41" s="79">
        <f>D41-C41</f>
        <v>1148308</v>
      </c>
      <c r="F41" s="80">
        <f>IF(C41=0,0,E41/C41)</f>
        <v>0.13065879313442491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9327325</v>
      </c>
      <c r="D43" s="79">
        <f>D35+D41</f>
        <v>16263052</v>
      </c>
      <c r="E43" s="79">
        <f>D43-C43</f>
        <v>6935727</v>
      </c>
      <c r="F43" s="80">
        <f>IF(C43=0,0,E43/C43)</f>
        <v>0.74359229468255905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9327325</v>
      </c>
      <c r="D50" s="79">
        <f>D43+D48</f>
        <v>16263052</v>
      </c>
      <c r="E50" s="79">
        <f>D50-C50</f>
        <v>6935727</v>
      </c>
      <c r="F50" s="80">
        <f>IF(C50=0,0,E50/C50)</f>
        <v>0.74359229468255905</v>
      </c>
    </row>
    <row r="51" spans="1:6" ht="23.1" customHeight="1" x14ac:dyDescent="0.2">
      <c r="A51" s="85"/>
      <c r="B51" s="75" t="s">
        <v>104</v>
      </c>
      <c r="C51" s="76">
        <v>3210000</v>
      </c>
      <c r="D51" s="76">
        <v>3370000</v>
      </c>
      <c r="E51" s="76">
        <f>D51-C51</f>
        <v>160000</v>
      </c>
      <c r="F51" s="77">
        <f>IF(C51=0,0,E51/C51)</f>
        <v>4.9844236760124609E-2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0" orientation="portrait" horizontalDpi="1200" verticalDpi="1200" r:id="rId1"/>
  <headerFooter>
    <oddHeader>&amp;LOFFICE OF HEALTH CARE ACCESS&amp;CTWELVE MONTHS ACTUAL FILING&amp;RLAWRENCE AND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142964177</v>
      </c>
      <c r="D14" s="113">
        <v>142133356</v>
      </c>
      <c r="E14" s="113">
        <f t="shared" ref="E14:E25" si="0">D14-C14</f>
        <v>-830821</v>
      </c>
      <c r="F14" s="114">
        <f t="shared" ref="F14:F25" si="1">IF(C14=0,0,E14/C14)</f>
        <v>-5.8113928778116214E-3</v>
      </c>
    </row>
    <row r="15" spans="1:6" x14ac:dyDescent="0.2">
      <c r="A15" s="115">
        <v>2</v>
      </c>
      <c r="B15" s="116" t="s">
        <v>114</v>
      </c>
      <c r="C15" s="113">
        <v>22848389</v>
      </c>
      <c r="D15" s="113">
        <v>26516182</v>
      </c>
      <c r="E15" s="113">
        <f t="shared" si="0"/>
        <v>3667793</v>
      </c>
      <c r="F15" s="114">
        <f t="shared" si="1"/>
        <v>0.1605274227430214</v>
      </c>
    </row>
    <row r="16" spans="1:6" x14ac:dyDescent="0.2">
      <c r="A16" s="115">
        <v>3</v>
      </c>
      <c r="B16" s="116" t="s">
        <v>115</v>
      </c>
      <c r="C16" s="113">
        <v>53016167</v>
      </c>
      <c r="D16" s="113">
        <v>59068288</v>
      </c>
      <c r="E16" s="113">
        <f t="shared" si="0"/>
        <v>6052121</v>
      </c>
      <c r="F16" s="114">
        <f t="shared" si="1"/>
        <v>0.11415614033357033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11029201</v>
      </c>
      <c r="D18" s="113">
        <v>11008953</v>
      </c>
      <c r="E18" s="113">
        <f t="shared" si="0"/>
        <v>-20248</v>
      </c>
      <c r="F18" s="114">
        <f t="shared" si="1"/>
        <v>-1.8358537486079E-3</v>
      </c>
    </row>
    <row r="19" spans="1:6" x14ac:dyDescent="0.2">
      <c r="A19" s="115">
        <v>6</v>
      </c>
      <c r="B19" s="116" t="s">
        <v>118</v>
      </c>
      <c r="C19" s="113">
        <v>8214775</v>
      </c>
      <c r="D19" s="113">
        <v>7857016</v>
      </c>
      <c r="E19" s="113">
        <f t="shared" si="0"/>
        <v>-357759</v>
      </c>
      <c r="F19" s="114">
        <f t="shared" si="1"/>
        <v>-4.355067545976609E-2</v>
      </c>
    </row>
    <row r="20" spans="1:6" x14ac:dyDescent="0.2">
      <c r="A20" s="115">
        <v>7</v>
      </c>
      <c r="B20" s="116" t="s">
        <v>119</v>
      </c>
      <c r="C20" s="113">
        <v>60930139</v>
      </c>
      <c r="D20" s="113">
        <v>58048390</v>
      </c>
      <c r="E20" s="113">
        <f t="shared" si="0"/>
        <v>-2881749</v>
      </c>
      <c r="F20" s="114">
        <f t="shared" si="1"/>
        <v>-4.7295953157106697E-2</v>
      </c>
    </row>
    <row r="21" spans="1:6" x14ac:dyDescent="0.2">
      <c r="A21" s="115">
        <v>8</v>
      </c>
      <c r="B21" s="116" t="s">
        <v>120</v>
      </c>
      <c r="C21" s="113">
        <v>2189315</v>
      </c>
      <c r="D21" s="113">
        <v>3310870</v>
      </c>
      <c r="E21" s="113">
        <f t="shared" si="0"/>
        <v>1121555</v>
      </c>
      <c r="F21" s="114">
        <f t="shared" si="1"/>
        <v>0.51228580629100884</v>
      </c>
    </row>
    <row r="22" spans="1:6" x14ac:dyDescent="0.2">
      <c r="A22" s="115">
        <v>9</v>
      </c>
      <c r="B22" s="116" t="s">
        <v>121</v>
      </c>
      <c r="C22" s="113">
        <v>1312711</v>
      </c>
      <c r="D22" s="113">
        <v>1054326</v>
      </c>
      <c r="E22" s="113">
        <f t="shared" si="0"/>
        <v>-258385</v>
      </c>
      <c r="F22" s="114">
        <f t="shared" si="1"/>
        <v>-0.19683311863768949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1736683</v>
      </c>
      <c r="D24" s="113">
        <v>2140405</v>
      </c>
      <c r="E24" s="113">
        <f t="shared" si="0"/>
        <v>403722</v>
      </c>
      <c r="F24" s="114">
        <f t="shared" si="1"/>
        <v>0.23246729541315253</v>
      </c>
    </row>
    <row r="25" spans="1:6" ht="15.75" x14ac:dyDescent="0.25">
      <c r="A25" s="117"/>
      <c r="B25" s="118" t="s">
        <v>124</v>
      </c>
      <c r="C25" s="119">
        <f>SUM(C14:C24)</f>
        <v>304241557</v>
      </c>
      <c r="D25" s="119">
        <f>SUM(D14:D24)</f>
        <v>311137786</v>
      </c>
      <c r="E25" s="119">
        <f t="shared" si="0"/>
        <v>6896229</v>
      </c>
      <c r="F25" s="120">
        <f t="shared" si="1"/>
        <v>2.2666952759514046E-2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143948555</v>
      </c>
      <c r="D27" s="113">
        <v>162870608</v>
      </c>
      <c r="E27" s="113">
        <f t="shared" ref="E27:E38" si="2">D27-C27</f>
        <v>18922053</v>
      </c>
      <c r="F27" s="114">
        <f t="shared" ref="F27:F38" si="3">IF(C27=0,0,E27/C27)</f>
        <v>0.13145010729701315</v>
      </c>
    </row>
    <row r="28" spans="1:6" x14ac:dyDescent="0.2">
      <c r="A28" s="115">
        <v>2</v>
      </c>
      <c r="B28" s="116" t="s">
        <v>114</v>
      </c>
      <c r="C28" s="113">
        <v>29103412</v>
      </c>
      <c r="D28" s="113">
        <v>35209167</v>
      </c>
      <c r="E28" s="113">
        <f t="shared" si="2"/>
        <v>6105755</v>
      </c>
      <c r="F28" s="114">
        <f t="shared" si="3"/>
        <v>0.20979516078733312</v>
      </c>
    </row>
    <row r="29" spans="1:6" x14ac:dyDescent="0.2">
      <c r="A29" s="115">
        <v>3</v>
      </c>
      <c r="B29" s="116" t="s">
        <v>115</v>
      </c>
      <c r="C29" s="113">
        <v>81713156</v>
      </c>
      <c r="D29" s="113">
        <v>93379302</v>
      </c>
      <c r="E29" s="113">
        <f t="shared" si="2"/>
        <v>11666146</v>
      </c>
      <c r="F29" s="114">
        <f t="shared" si="3"/>
        <v>0.14276949479224618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22637292</v>
      </c>
      <c r="D31" s="113">
        <v>22841698</v>
      </c>
      <c r="E31" s="113">
        <f t="shared" si="2"/>
        <v>204406</v>
      </c>
      <c r="F31" s="114">
        <f t="shared" si="3"/>
        <v>9.0296136127943211E-3</v>
      </c>
    </row>
    <row r="32" spans="1:6" x14ac:dyDescent="0.2">
      <c r="A32" s="115">
        <v>6</v>
      </c>
      <c r="B32" s="116" t="s">
        <v>118</v>
      </c>
      <c r="C32" s="113">
        <v>17698069</v>
      </c>
      <c r="D32" s="113">
        <v>18888687</v>
      </c>
      <c r="E32" s="113">
        <f t="shared" si="2"/>
        <v>1190618</v>
      </c>
      <c r="F32" s="114">
        <f t="shared" si="3"/>
        <v>6.7273892987986431E-2</v>
      </c>
    </row>
    <row r="33" spans="1:6" x14ac:dyDescent="0.2">
      <c r="A33" s="115">
        <v>7</v>
      </c>
      <c r="B33" s="116" t="s">
        <v>119</v>
      </c>
      <c r="C33" s="113">
        <v>168710858</v>
      </c>
      <c r="D33" s="113">
        <v>175015092</v>
      </c>
      <c r="E33" s="113">
        <f t="shared" si="2"/>
        <v>6304234</v>
      </c>
      <c r="F33" s="114">
        <f t="shared" si="3"/>
        <v>3.7367091097361381E-2</v>
      </c>
    </row>
    <row r="34" spans="1:6" x14ac:dyDescent="0.2">
      <c r="A34" s="115">
        <v>8</v>
      </c>
      <c r="B34" s="116" t="s">
        <v>120</v>
      </c>
      <c r="C34" s="113">
        <v>8121946</v>
      </c>
      <c r="D34" s="113">
        <v>8514808</v>
      </c>
      <c r="E34" s="113">
        <f t="shared" si="2"/>
        <v>392862</v>
      </c>
      <c r="F34" s="114">
        <f t="shared" si="3"/>
        <v>4.837042748129574E-2</v>
      </c>
    </row>
    <row r="35" spans="1:6" x14ac:dyDescent="0.2">
      <c r="A35" s="115">
        <v>9</v>
      </c>
      <c r="B35" s="116" t="s">
        <v>121</v>
      </c>
      <c r="C35" s="113">
        <v>10088487</v>
      </c>
      <c r="D35" s="113">
        <v>8932325</v>
      </c>
      <c r="E35" s="113">
        <f t="shared" si="2"/>
        <v>-1156162</v>
      </c>
      <c r="F35" s="114">
        <f t="shared" si="3"/>
        <v>-0.11460212021881973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1873241</v>
      </c>
      <c r="D37" s="113">
        <v>2483037</v>
      </c>
      <c r="E37" s="113">
        <f t="shared" si="2"/>
        <v>609796</v>
      </c>
      <c r="F37" s="114">
        <f t="shared" si="3"/>
        <v>0.32552992380585305</v>
      </c>
    </row>
    <row r="38" spans="1:6" ht="15.75" x14ac:dyDescent="0.25">
      <c r="A38" s="117"/>
      <c r="B38" s="118" t="s">
        <v>126</v>
      </c>
      <c r="C38" s="119">
        <f>SUM(C27:C37)</f>
        <v>483895016</v>
      </c>
      <c r="D38" s="119">
        <f>SUM(D27:D37)</f>
        <v>528134724</v>
      </c>
      <c r="E38" s="119">
        <f t="shared" si="2"/>
        <v>44239708</v>
      </c>
      <c r="F38" s="120">
        <f t="shared" si="3"/>
        <v>9.142418610899683E-2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286912732</v>
      </c>
      <c r="D41" s="119">
        <f t="shared" si="4"/>
        <v>305003964</v>
      </c>
      <c r="E41" s="123">
        <f t="shared" ref="E41:E52" si="5">D41-C41</f>
        <v>18091232</v>
      </c>
      <c r="F41" s="124">
        <f t="shared" ref="F41:F52" si="6">IF(C41=0,0,E41/C41)</f>
        <v>6.3054824628695813E-2</v>
      </c>
    </row>
    <row r="42" spans="1:6" ht="15.75" x14ac:dyDescent="0.25">
      <c r="A42" s="121">
        <v>2</v>
      </c>
      <c r="B42" s="122" t="s">
        <v>114</v>
      </c>
      <c r="C42" s="119">
        <f t="shared" si="4"/>
        <v>51951801</v>
      </c>
      <c r="D42" s="119">
        <f t="shared" si="4"/>
        <v>61725349</v>
      </c>
      <c r="E42" s="123">
        <f t="shared" si="5"/>
        <v>9773548</v>
      </c>
      <c r="F42" s="124">
        <f t="shared" si="6"/>
        <v>0.1881272219994837</v>
      </c>
    </row>
    <row r="43" spans="1:6" ht="15.75" x14ac:dyDescent="0.25">
      <c r="A43" s="121">
        <v>3</v>
      </c>
      <c r="B43" s="122" t="s">
        <v>115</v>
      </c>
      <c r="C43" s="119">
        <f t="shared" si="4"/>
        <v>134729323</v>
      </c>
      <c r="D43" s="119">
        <f t="shared" si="4"/>
        <v>152447590</v>
      </c>
      <c r="E43" s="123">
        <f t="shared" si="5"/>
        <v>17718267</v>
      </c>
      <c r="F43" s="124">
        <f t="shared" si="6"/>
        <v>0.13151010192487941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33666493</v>
      </c>
      <c r="D45" s="119">
        <f t="shared" si="4"/>
        <v>33850651</v>
      </c>
      <c r="E45" s="123">
        <f t="shared" si="5"/>
        <v>184158</v>
      </c>
      <c r="F45" s="124">
        <f t="shared" si="6"/>
        <v>5.4700678208448976E-3</v>
      </c>
    </row>
    <row r="46" spans="1:6" ht="15.75" x14ac:dyDescent="0.25">
      <c r="A46" s="121">
        <v>6</v>
      </c>
      <c r="B46" s="122" t="s">
        <v>118</v>
      </c>
      <c r="C46" s="119">
        <f t="shared" si="4"/>
        <v>25912844</v>
      </c>
      <c r="D46" s="119">
        <f t="shared" si="4"/>
        <v>26745703</v>
      </c>
      <c r="E46" s="123">
        <f t="shared" si="5"/>
        <v>832859</v>
      </c>
      <c r="F46" s="124">
        <f t="shared" si="6"/>
        <v>3.2140779298482254E-2</v>
      </c>
    </row>
    <row r="47" spans="1:6" ht="15.75" x14ac:dyDescent="0.25">
      <c r="A47" s="121">
        <v>7</v>
      </c>
      <c r="B47" s="122" t="s">
        <v>119</v>
      </c>
      <c r="C47" s="119">
        <f t="shared" si="4"/>
        <v>229640997</v>
      </c>
      <c r="D47" s="119">
        <f t="shared" si="4"/>
        <v>233063482</v>
      </c>
      <c r="E47" s="123">
        <f t="shared" si="5"/>
        <v>3422485</v>
      </c>
      <c r="F47" s="124">
        <f t="shared" si="6"/>
        <v>1.4903632385814804E-2</v>
      </c>
    </row>
    <row r="48" spans="1:6" ht="15.75" x14ac:dyDescent="0.25">
      <c r="A48" s="121">
        <v>8</v>
      </c>
      <c r="B48" s="122" t="s">
        <v>120</v>
      </c>
      <c r="C48" s="119">
        <f t="shared" si="4"/>
        <v>10311261</v>
      </c>
      <c r="D48" s="119">
        <f t="shared" si="4"/>
        <v>11825678</v>
      </c>
      <c r="E48" s="123">
        <f t="shared" si="5"/>
        <v>1514417</v>
      </c>
      <c r="F48" s="124">
        <f t="shared" si="6"/>
        <v>0.1468702033630998</v>
      </c>
    </row>
    <row r="49" spans="1:6" ht="15.75" x14ac:dyDescent="0.25">
      <c r="A49" s="121">
        <v>9</v>
      </c>
      <c r="B49" s="122" t="s">
        <v>121</v>
      </c>
      <c r="C49" s="119">
        <f t="shared" si="4"/>
        <v>11401198</v>
      </c>
      <c r="D49" s="119">
        <f t="shared" si="4"/>
        <v>9986651</v>
      </c>
      <c r="E49" s="123">
        <f t="shared" si="5"/>
        <v>-1414547</v>
      </c>
      <c r="F49" s="124">
        <f t="shared" si="6"/>
        <v>-0.1240700319387489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3609924</v>
      </c>
      <c r="D51" s="119">
        <f t="shared" si="4"/>
        <v>4623442</v>
      </c>
      <c r="E51" s="123">
        <f t="shared" si="5"/>
        <v>1013518</v>
      </c>
      <c r="F51" s="124">
        <f t="shared" si="6"/>
        <v>0.28075881929924285</v>
      </c>
    </row>
    <row r="52" spans="1:6" ht="18.75" customHeight="1" thickBot="1" x14ac:dyDescent="0.3">
      <c r="A52" s="125"/>
      <c r="B52" s="126" t="s">
        <v>128</v>
      </c>
      <c r="C52" s="127">
        <f>SUM(C41:C51)</f>
        <v>788136573</v>
      </c>
      <c r="D52" s="128">
        <f>SUM(D41:D51)</f>
        <v>839272510</v>
      </c>
      <c r="E52" s="127">
        <f t="shared" si="5"/>
        <v>51135937</v>
      </c>
      <c r="F52" s="129">
        <f t="shared" si="6"/>
        <v>6.4882075964770636E-2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65139841</v>
      </c>
      <c r="D57" s="113">
        <v>59195122</v>
      </c>
      <c r="E57" s="113">
        <f t="shared" ref="E57:E68" si="7">D57-C57</f>
        <v>-5944719</v>
      </c>
      <c r="F57" s="114">
        <f t="shared" ref="F57:F68" si="8">IF(C57=0,0,E57/C57)</f>
        <v>-9.1260876734408983E-2</v>
      </c>
    </row>
    <row r="58" spans="1:6" x14ac:dyDescent="0.2">
      <c r="A58" s="115">
        <v>2</v>
      </c>
      <c r="B58" s="116" t="s">
        <v>114</v>
      </c>
      <c r="C58" s="113">
        <v>9247649</v>
      </c>
      <c r="D58" s="113">
        <v>11158243</v>
      </c>
      <c r="E58" s="113">
        <f t="shared" si="7"/>
        <v>1910594</v>
      </c>
      <c r="F58" s="114">
        <f t="shared" si="8"/>
        <v>0.20660321342213572</v>
      </c>
    </row>
    <row r="59" spans="1:6" x14ac:dyDescent="0.2">
      <c r="A59" s="115">
        <v>3</v>
      </c>
      <c r="B59" s="116" t="s">
        <v>115</v>
      </c>
      <c r="C59" s="113">
        <v>15703121</v>
      </c>
      <c r="D59" s="113">
        <v>16753204</v>
      </c>
      <c r="E59" s="113">
        <f t="shared" si="7"/>
        <v>1050083</v>
      </c>
      <c r="F59" s="114">
        <f t="shared" si="8"/>
        <v>6.6870974247730752E-2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5008631</v>
      </c>
      <c r="D61" s="113">
        <v>4609438</v>
      </c>
      <c r="E61" s="113">
        <f t="shared" si="7"/>
        <v>-399193</v>
      </c>
      <c r="F61" s="114">
        <f t="shared" si="8"/>
        <v>-7.970102009910493E-2</v>
      </c>
    </row>
    <row r="62" spans="1:6" x14ac:dyDescent="0.2">
      <c r="A62" s="115">
        <v>6</v>
      </c>
      <c r="B62" s="116" t="s">
        <v>118</v>
      </c>
      <c r="C62" s="113">
        <v>3134633</v>
      </c>
      <c r="D62" s="113">
        <v>2333081</v>
      </c>
      <c r="E62" s="113">
        <f t="shared" si="7"/>
        <v>-801552</v>
      </c>
      <c r="F62" s="114">
        <f t="shared" si="8"/>
        <v>-0.25570840350369567</v>
      </c>
    </row>
    <row r="63" spans="1:6" x14ac:dyDescent="0.2">
      <c r="A63" s="115">
        <v>7</v>
      </c>
      <c r="B63" s="116" t="s">
        <v>119</v>
      </c>
      <c r="C63" s="113">
        <v>45965805</v>
      </c>
      <c r="D63" s="113">
        <v>43494998</v>
      </c>
      <c r="E63" s="113">
        <f t="shared" si="7"/>
        <v>-2470807</v>
      </c>
      <c r="F63" s="114">
        <f t="shared" si="8"/>
        <v>-5.3753154110974449E-2</v>
      </c>
    </row>
    <row r="64" spans="1:6" x14ac:dyDescent="0.2">
      <c r="A64" s="115">
        <v>8</v>
      </c>
      <c r="B64" s="116" t="s">
        <v>120</v>
      </c>
      <c r="C64" s="113">
        <v>1916948</v>
      </c>
      <c r="D64" s="113">
        <v>2630438</v>
      </c>
      <c r="E64" s="113">
        <f t="shared" si="7"/>
        <v>713490</v>
      </c>
      <c r="F64" s="114">
        <f t="shared" si="8"/>
        <v>0.37220101953730617</v>
      </c>
    </row>
    <row r="65" spans="1:6" x14ac:dyDescent="0.2">
      <c r="A65" s="115">
        <v>9</v>
      </c>
      <c r="B65" s="116" t="s">
        <v>121</v>
      </c>
      <c r="C65" s="113">
        <v>0</v>
      </c>
      <c r="D65" s="113">
        <v>0</v>
      </c>
      <c r="E65" s="113">
        <f t="shared" si="7"/>
        <v>0</v>
      </c>
      <c r="F65" s="114">
        <f t="shared" si="8"/>
        <v>0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554981</v>
      </c>
      <c r="D67" s="113">
        <v>825171</v>
      </c>
      <c r="E67" s="113">
        <f t="shared" si="7"/>
        <v>270190</v>
      </c>
      <c r="F67" s="114">
        <f t="shared" si="8"/>
        <v>0.48684549561156149</v>
      </c>
    </row>
    <row r="68" spans="1:6" ht="15.75" x14ac:dyDescent="0.25">
      <c r="A68" s="117"/>
      <c r="B68" s="118" t="s">
        <v>131</v>
      </c>
      <c r="C68" s="119">
        <f>SUM(C57:C67)</f>
        <v>146671609</v>
      </c>
      <c r="D68" s="119">
        <f>SUM(D57:D67)</f>
        <v>140999695</v>
      </c>
      <c r="E68" s="119">
        <f t="shared" si="7"/>
        <v>-5671914</v>
      </c>
      <c r="F68" s="120">
        <f t="shared" si="8"/>
        <v>-3.8670837789745664E-2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35003824</v>
      </c>
      <c r="D70" s="113">
        <v>43097148</v>
      </c>
      <c r="E70" s="113">
        <f t="shared" ref="E70:E81" si="9">D70-C70</f>
        <v>8093324</v>
      </c>
      <c r="F70" s="114">
        <f t="shared" ref="F70:F81" si="10">IF(C70=0,0,E70/C70)</f>
        <v>0.23121256694697129</v>
      </c>
    </row>
    <row r="71" spans="1:6" x14ac:dyDescent="0.2">
      <c r="A71" s="115">
        <v>2</v>
      </c>
      <c r="B71" s="116" t="s">
        <v>114</v>
      </c>
      <c r="C71" s="113">
        <v>6710258</v>
      </c>
      <c r="D71" s="113">
        <v>8734817</v>
      </c>
      <c r="E71" s="113">
        <f t="shared" si="9"/>
        <v>2024559</v>
      </c>
      <c r="F71" s="114">
        <f t="shared" si="10"/>
        <v>0.30171105194464953</v>
      </c>
    </row>
    <row r="72" spans="1:6" x14ac:dyDescent="0.2">
      <c r="A72" s="115">
        <v>3</v>
      </c>
      <c r="B72" s="116" t="s">
        <v>115</v>
      </c>
      <c r="C72" s="113">
        <v>18881597</v>
      </c>
      <c r="D72" s="113">
        <v>23144138</v>
      </c>
      <c r="E72" s="113">
        <f t="shared" si="9"/>
        <v>4262541</v>
      </c>
      <c r="F72" s="114">
        <f t="shared" si="10"/>
        <v>0.22575108450837078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5573648</v>
      </c>
      <c r="D74" s="113">
        <v>5268282</v>
      </c>
      <c r="E74" s="113">
        <f t="shared" si="9"/>
        <v>-305366</v>
      </c>
      <c r="F74" s="114">
        <f t="shared" si="10"/>
        <v>-5.4787456976113313E-2</v>
      </c>
    </row>
    <row r="75" spans="1:6" x14ac:dyDescent="0.2">
      <c r="A75" s="115">
        <v>6</v>
      </c>
      <c r="B75" s="116" t="s">
        <v>118</v>
      </c>
      <c r="C75" s="113">
        <v>5423978</v>
      </c>
      <c r="D75" s="113">
        <v>5360924</v>
      </c>
      <c r="E75" s="113">
        <f t="shared" si="9"/>
        <v>-63054</v>
      </c>
      <c r="F75" s="114">
        <f t="shared" si="10"/>
        <v>-1.1625047151739922E-2</v>
      </c>
    </row>
    <row r="76" spans="1:6" x14ac:dyDescent="0.2">
      <c r="A76" s="115">
        <v>7</v>
      </c>
      <c r="B76" s="116" t="s">
        <v>119</v>
      </c>
      <c r="C76" s="113">
        <v>101029807</v>
      </c>
      <c r="D76" s="113">
        <v>104092886</v>
      </c>
      <c r="E76" s="113">
        <f t="shared" si="9"/>
        <v>3063079</v>
      </c>
      <c r="F76" s="114">
        <f t="shared" si="10"/>
        <v>3.0318567271933914E-2</v>
      </c>
    </row>
    <row r="77" spans="1:6" x14ac:dyDescent="0.2">
      <c r="A77" s="115">
        <v>8</v>
      </c>
      <c r="B77" s="116" t="s">
        <v>120</v>
      </c>
      <c r="C77" s="113">
        <v>5452188</v>
      </c>
      <c r="D77" s="113">
        <v>6088809</v>
      </c>
      <c r="E77" s="113">
        <f t="shared" si="9"/>
        <v>636621</v>
      </c>
      <c r="F77" s="114">
        <f t="shared" si="10"/>
        <v>0.11676431553717517</v>
      </c>
    </row>
    <row r="78" spans="1:6" x14ac:dyDescent="0.2">
      <c r="A78" s="115">
        <v>9</v>
      </c>
      <c r="B78" s="116" t="s">
        <v>121</v>
      </c>
      <c r="C78" s="113">
        <v>0</v>
      </c>
      <c r="D78" s="113">
        <v>0</v>
      </c>
      <c r="E78" s="113">
        <f t="shared" si="9"/>
        <v>0</v>
      </c>
      <c r="F78" s="114">
        <f t="shared" si="10"/>
        <v>0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458477</v>
      </c>
      <c r="D80" s="113">
        <v>1037064</v>
      </c>
      <c r="E80" s="113">
        <f t="shared" si="9"/>
        <v>578587</v>
      </c>
      <c r="F80" s="114">
        <f t="shared" si="10"/>
        <v>1.2619760642300486</v>
      </c>
    </row>
    <row r="81" spans="1:6" ht="15.75" x14ac:dyDescent="0.25">
      <c r="A81" s="117"/>
      <c r="B81" s="118" t="s">
        <v>133</v>
      </c>
      <c r="C81" s="119">
        <f>SUM(C70:C80)</f>
        <v>178533777</v>
      </c>
      <c r="D81" s="119">
        <f>SUM(D70:D80)</f>
        <v>196824068</v>
      </c>
      <c r="E81" s="119">
        <f t="shared" si="9"/>
        <v>18290291</v>
      </c>
      <c r="F81" s="120">
        <f t="shared" si="10"/>
        <v>0.10244723047560911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100143665</v>
      </c>
      <c r="D84" s="119">
        <f t="shared" si="11"/>
        <v>102292270</v>
      </c>
      <c r="E84" s="119">
        <f t="shared" ref="E84:E95" si="12">D84-C84</f>
        <v>2148605</v>
      </c>
      <c r="F84" s="120">
        <f t="shared" ref="F84:F95" si="13">IF(C84=0,0,E84/C84)</f>
        <v>2.1455226349065614E-2</v>
      </c>
    </row>
    <row r="85" spans="1:6" ht="15.75" x14ac:dyDescent="0.25">
      <c r="A85" s="130">
        <v>2</v>
      </c>
      <c r="B85" s="122" t="s">
        <v>114</v>
      </c>
      <c r="C85" s="119">
        <f t="shared" si="11"/>
        <v>15957907</v>
      </c>
      <c r="D85" s="119">
        <f t="shared" si="11"/>
        <v>19893060</v>
      </c>
      <c r="E85" s="119">
        <f t="shared" si="12"/>
        <v>3935153</v>
      </c>
      <c r="F85" s="120">
        <f t="shared" si="13"/>
        <v>0.246595809838972</v>
      </c>
    </row>
    <row r="86" spans="1:6" ht="15.75" x14ac:dyDescent="0.25">
      <c r="A86" s="130">
        <v>3</v>
      </c>
      <c r="B86" s="122" t="s">
        <v>115</v>
      </c>
      <c r="C86" s="119">
        <f t="shared" si="11"/>
        <v>34584718</v>
      </c>
      <c r="D86" s="119">
        <f t="shared" si="11"/>
        <v>39897342</v>
      </c>
      <c r="E86" s="119">
        <f t="shared" si="12"/>
        <v>5312624</v>
      </c>
      <c r="F86" s="120">
        <f t="shared" si="13"/>
        <v>0.15361189297538871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10582279</v>
      </c>
      <c r="D88" s="119">
        <f t="shared" si="11"/>
        <v>9877720</v>
      </c>
      <c r="E88" s="119">
        <f t="shared" si="12"/>
        <v>-704559</v>
      </c>
      <c r="F88" s="120">
        <f t="shared" si="13"/>
        <v>-6.6579136686908374E-2</v>
      </c>
    </row>
    <row r="89" spans="1:6" ht="15.75" x14ac:dyDescent="0.25">
      <c r="A89" s="130">
        <v>6</v>
      </c>
      <c r="B89" s="122" t="s">
        <v>118</v>
      </c>
      <c r="C89" s="119">
        <f t="shared" si="11"/>
        <v>8558611</v>
      </c>
      <c r="D89" s="119">
        <f t="shared" si="11"/>
        <v>7694005</v>
      </c>
      <c r="E89" s="119">
        <f t="shared" si="12"/>
        <v>-864606</v>
      </c>
      <c r="F89" s="120">
        <f t="shared" si="13"/>
        <v>-0.10102176626557743</v>
      </c>
    </row>
    <row r="90" spans="1:6" ht="15.75" x14ac:dyDescent="0.25">
      <c r="A90" s="130">
        <v>7</v>
      </c>
      <c r="B90" s="122" t="s">
        <v>119</v>
      </c>
      <c r="C90" s="119">
        <f t="shared" si="11"/>
        <v>146995612</v>
      </c>
      <c r="D90" s="119">
        <f t="shared" si="11"/>
        <v>147587884</v>
      </c>
      <c r="E90" s="119">
        <f t="shared" si="12"/>
        <v>592272</v>
      </c>
      <c r="F90" s="120">
        <f t="shared" si="13"/>
        <v>4.029181496927949E-3</v>
      </c>
    </row>
    <row r="91" spans="1:6" ht="15.75" x14ac:dyDescent="0.25">
      <c r="A91" s="130">
        <v>8</v>
      </c>
      <c r="B91" s="122" t="s">
        <v>120</v>
      </c>
      <c r="C91" s="119">
        <f t="shared" si="11"/>
        <v>7369136</v>
      </c>
      <c r="D91" s="119">
        <f t="shared" si="11"/>
        <v>8719247</v>
      </c>
      <c r="E91" s="119">
        <f t="shared" si="12"/>
        <v>1350111</v>
      </c>
      <c r="F91" s="120">
        <f t="shared" si="13"/>
        <v>0.18321157324277906</v>
      </c>
    </row>
    <row r="92" spans="1:6" ht="15.75" x14ac:dyDescent="0.25">
      <c r="A92" s="130">
        <v>9</v>
      </c>
      <c r="B92" s="122" t="s">
        <v>121</v>
      </c>
      <c r="C92" s="119">
        <f t="shared" si="11"/>
        <v>0</v>
      </c>
      <c r="D92" s="119">
        <f t="shared" si="11"/>
        <v>0</v>
      </c>
      <c r="E92" s="119">
        <f t="shared" si="12"/>
        <v>0</v>
      </c>
      <c r="F92" s="120">
        <f t="shared" si="13"/>
        <v>0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1013458</v>
      </c>
      <c r="D94" s="119">
        <f t="shared" si="11"/>
        <v>1862235</v>
      </c>
      <c r="E94" s="119">
        <f t="shared" si="12"/>
        <v>848777</v>
      </c>
      <c r="F94" s="120">
        <f t="shared" si="13"/>
        <v>0.8375058463202224</v>
      </c>
    </row>
    <row r="95" spans="1:6" ht="18.75" customHeight="1" thickBot="1" x14ac:dyDescent="0.3">
      <c r="A95" s="131"/>
      <c r="B95" s="132" t="s">
        <v>134</v>
      </c>
      <c r="C95" s="128">
        <f>SUM(C84:C94)</f>
        <v>325205386</v>
      </c>
      <c r="D95" s="128">
        <f>SUM(D84:D94)</f>
        <v>337823763</v>
      </c>
      <c r="E95" s="128">
        <f t="shared" si="12"/>
        <v>12618377</v>
      </c>
      <c r="F95" s="129">
        <f t="shared" si="13"/>
        <v>3.8801254663106965E-2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5522</v>
      </c>
      <c r="D100" s="133">
        <v>5595</v>
      </c>
      <c r="E100" s="133">
        <f t="shared" ref="E100:E111" si="14">D100-C100</f>
        <v>73</v>
      </c>
      <c r="F100" s="114">
        <f t="shared" ref="F100:F111" si="15">IF(C100=0,0,E100/C100)</f>
        <v>1.3219847881202463E-2</v>
      </c>
    </row>
    <row r="101" spans="1:6" x14ac:dyDescent="0.2">
      <c r="A101" s="115">
        <v>2</v>
      </c>
      <c r="B101" s="116" t="s">
        <v>114</v>
      </c>
      <c r="C101" s="133">
        <v>840</v>
      </c>
      <c r="D101" s="133">
        <v>932</v>
      </c>
      <c r="E101" s="133">
        <f t="shared" si="14"/>
        <v>92</v>
      </c>
      <c r="F101" s="114">
        <f t="shared" si="15"/>
        <v>0.10952380952380952</v>
      </c>
    </row>
    <row r="102" spans="1:6" x14ac:dyDescent="0.2">
      <c r="A102" s="115">
        <v>3</v>
      </c>
      <c r="B102" s="116" t="s">
        <v>115</v>
      </c>
      <c r="C102" s="133">
        <v>3032</v>
      </c>
      <c r="D102" s="133">
        <v>3087</v>
      </c>
      <c r="E102" s="133">
        <f t="shared" si="14"/>
        <v>55</v>
      </c>
      <c r="F102" s="114">
        <f t="shared" si="15"/>
        <v>1.8139841688654353E-2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855</v>
      </c>
      <c r="D104" s="133">
        <v>812</v>
      </c>
      <c r="E104" s="133">
        <f t="shared" si="14"/>
        <v>-43</v>
      </c>
      <c r="F104" s="114">
        <f t="shared" si="15"/>
        <v>-5.0292397660818715E-2</v>
      </c>
    </row>
    <row r="105" spans="1:6" x14ac:dyDescent="0.2">
      <c r="A105" s="115">
        <v>6</v>
      </c>
      <c r="B105" s="116" t="s">
        <v>118</v>
      </c>
      <c r="C105" s="133">
        <v>469</v>
      </c>
      <c r="D105" s="133">
        <v>427</v>
      </c>
      <c r="E105" s="133">
        <f t="shared" si="14"/>
        <v>-42</v>
      </c>
      <c r="F105" s="114">
        <f t="shared" si="15"/>
        <v>-8.9552238805970144E-2</v>
      </c>
    </row>
    <row r="106" spans="1:6" x14ac:dyDescent="0.2">
      <c r="A106" s="115">
        <v>7</v>
      </c>
      <c r="B106" s="116" t="s">
        <v>119</v>
      </c>
      <c r="C106" s="133">
        <v>3167</v>
      </c>
      <c r="D106" s="133">
        <v>2938</v>
      </c>
      <c r="E106" s="133">
        <f t="shared" si="14"/>
        <v>-229</v>
      </c>
      <c r="F106" s="114">
        <f t="shared" si="15"/>
        <v>-7.2308178086517211E-2</v>
      </c>
    </row>
    <row r="107" spans="1:6" x14ac:dyDescent="0.2">
      <c r="A107" s="115">
        <v>8</v>
      </c>
      <c r="B107" s="116" t="s">
        <v>120</v>
      </c>
      <c r="C107" s="133">
        <v>70</v>
      </c>
      <c r="D107" s="133">
        <v>97</v>
      </c>
      <c r="E107" s="133">
        <f t="shared" si="14"/>
        <v>27</v>
      </c>
      <c r="F107" s="114">
        <f t="shared" si="15"/>
        <v>0.38571428571428573</v>
      </c>
    </row>
    <row r="108" spans="1:6" x14ac:dyDescent="0.2">
      <c r="A108" s="115">
        <v>9</v>
      </c>
      <c r="B108" s="116" t="s">
        <v>121</v>
      </c>
      <c r="C108" s="133">
        <v>89</v>
      </c>
      <c r="D108" s="133">
        <v>59</v>
      </c>
      <c r="E108" s="133">
        <f t="shared" si="14"/>
        <v>-30</v>
      </c>
      <c r="F108" s="114">
        <f t="shared" si="15"/>
        <v>-0.33707865168539325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106</v>
      </c>
      <c r="D110" s="133">
        <v>123</v>
      </c>
      <c r="E110" s="133">
        <f t="shared" si="14"/>
        <v>17</v>
      </c>
      <c r="F110" s="114">
        <f t="shared" si="15"/>
        <v>0.16037735849056603</v>
      </c>
    </row>
    <row r="111" spans="1:6" ht="15.75" x14ac:dyDescent="0.25">
      <c r="A111" s="117"/>
      <c r="B111" s="118" t="s">
        <v>138</v>
      </c>
      <c r="C111" s="134">
        <f>SUM(C100:C110)</f>
        <v>14150</v>
      </c>
      <c r="D111" s="134">
        <f>SUM(D100:D110)</f>
        <v>14070</v>
      </c>
      <c r="E111" s="134">
        <f t="shared" si="14"/>
        <v>-80</v>
      </c>
      <c r="F111" s="120">
        <f t="shared" si="15"/>
        <v>-5.6537102473498231E-3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30887</v>
      </c>
      <c r="D113" s="133">
        <v>27855</v>
      </c>
      <c r="E113" s="133">
        <f t="shared" ref="E113:E124" si="16">D113-C113</f>
        <v>-3032</v>
      </c>
      <c r="F113" s="114">
        <f t="shared" ref="F113:F124" si="17">IF(C113=0,0,E113/C113)</f>
        <v>-9.8164276232719269E-2</v>
      </c>
    </row>
    <row r="114" spans="1:6" x14ac:dyDescent="0.2">
      <c r="A114" s="115">
        <v>2</v>
      </c>
      <c r="B114" s="116" t="s">
        <v>114</v>
      </c>
      <c r="C114" s="133">
        <v>4216</v>
      </c>
      <c r="D114" s="133">
        <v>4710</v>
      </c>
      <c r="E114" s="133">
        <f t="shared" si="16"/>
        <v>494</v>
      </c>
      <c r="F114" s="114">
        <f t="shared" si="17"/>
        <v>0.11717267552182163</v>
      </c>
    </row>
    <row r="115" spans="1:6" x14ac:dyDescent="0.2">
      <c r="A115" s="115">
        <v>3</v>
      </c>
      <c r="B115" s="116" t="s">
        <v>115</v>
      </c>
      <c r="C115" s="133">
        <v>13576</v>
      </c>
      <c r="D115" s="133">
        <v>13835</v>
      </c>
      <c r="E115" s="133">
        <f t="shared" si="16"/>
        <v>259</v>
      </c>
      <c r="F115" s="114">
        <f t="shared" si="17"/>
        <v>1.9077784325279904E-2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2682</v>
      </c>
      <c r="D117" s="133">
        <v>2528</v>
      </c>
      <c r="E117" s="133">
        <f t="shared" si="16"/>
        <v>-154</v>
      </c>
      <c r="F117" s="114">
        <f t="shared" si="17"/>
        <v>-5.7419835943325878E-2</v>
      </c>
    </row>
    <row r="118" spans="1:6" x14ac:dyDescent="0.2">
      <c r="A118" s="115">
        <v>6</v>
      </c>
      <c r="B118" s="116" t="s">
        <v>118</v>
      </c>
      <c r="C118" s="133">
        <v>2009</v>
      </c>
      <c r="D118" s="133">
        <v>1726</v>
      </c>
      <c r="E118" s="133">
        <f t="shared" si="16"/>
        <v>-283</v>
      </c>
      <c r="F118" s="114">
        <f t="shared" si="17"/>
        <v>-0.1408661025385764</v>
      </c>
    </row>
    <row r="119" spans="1:6" x14ac:dyDescent="0.2">
      <c r="A119" s="115">
        <v>7</v>
      </c>
      <c r="B119" s="116" t="s">
        <v>119</v>
      </c>
      <c r="C119" s="133">
        <v>12061</v>
      </c>
      <c r="D119" s="133">
        <v>10607</v>
      </c>
      <c r="E119" s="133">
        <f t="shared" si="16"/>
        <v>-1454</v>
      </c>
      <c r="F119" s="114">
        <f t="shared" si="17"/>
        <v>-0.12055385125611474</v>
      </c>
    </row>
    <row r="120" spans="1:6" x14ac:dyDescent="0.2">
      <c r="A120" s="115">
        <v>8</v>
      </c>
      <c r="B120" s="116" t="s">
        <v>120</v>
      </c>
      <c r="C120" s="133">
        <v>240</v>
      </c>
      <c r="D120" s="133">
        <v>309</v>
      </c>
      <c r="E120" s="133">
        <f t="shared" si="16"/>
        <v>69</v>
      </c>
      <c r="F120" s="114">
        <f t="shared" si="17"/>
        <v>0.28749999999999998</v>
      </c>
    </row>
    <row r="121" spans="1:6" x14ac:dyDescent="0.2">
      <c r="A121" s="115">
        <v>9</v>
      </c>
      <c r="B121" s="116" t="s">
        <v>121</v>
      </c>
      <c r="C121" s="133">
        <v>259</v>
      </c>
      <c r="D121" s="133">
        <v>166</v>
      </c>
      <c r="E121" s="133">
        <f t="shared" si="16"/>
        <v>-93</v>
      </c>
      <c r="F121" s="114">
        <f t="shared" si="17"/>
        <v>-0.35907335907335908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402</v>
      </c>
      <c r="D123" s="133">
        <v>483</v>
      </c>
      <c r="E123" s="133">
        <f t="shared" si="16"/>
        <v>81</v>
      </c>
      <c r="F123" s="114">
        <f t="shared" si="17"/>
        <v>0.20149253731343283</v>
      </c>
    </row>
    <row r="124" spans="1:6" ht="15.75" x14ac:dyDescent="0.25">
      <c r="A124" s="117"/>
      <c r="B124" s="118" t="s">
        <v>140</v>
      </c>
      <c r="C124" s="134">
        <f>SUM(C113:C123)</f>
        <v>66332</v>
      </c>
      <c r="D124" s="134">
        <f>SUM(D113:D123)</f>
        <v>62219</v>
      </c>
      <c r="E124" s="134">
        <f t="shared" si="16"/>
        <v>-4113</v>
      </c>
      <c r="F124" s="120">
        <f t="shared" si="17"/>
        <v>-6.2006271482843878E-2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129103</v>
      </c>
      <c r="D126" s="133">
        <v>125896</v>
      </c>
      <c r="E126" s="133">
        <f t="shared" ref="E126:E137" si="18">D126-C126</f>
        <v>-3207</v>
      </c>
      <c r="F126" s="114">
        <f t="shared" ref="F126:F137" si="19">IF(C126=0,0,E126/C126)</f>
        <v>-2.4840631123986275E-2</v>
      </c>
    </row>
    <row r="127" spans="1:6" x14ac:dyDescent="0.2">
      <c r="A127" s="115">
        <v>2</v>
      </c>
      <c r="B127" s="116" t="s">
        <v>114</v>
      </c>
      <c r="C127" s="133">
        <v>24415</v>
      </c>
      <c r="D127" s="133">
        <v>26350</v>
      </c>
      <c r="E127" s="133">
        <f t="shared" si="18"/>
        <v>1935</v>
      </c>
      <c r="F127" s="114">
        <f t="shared" si="19"/>
        <v>7.9254556625025604E-2</v>
      </c>
    </row>
    <row r="128" spans="1:6" x14ac:dyDescent="0.2">
      <c r="A128" s="115">
        <v>3</v>
      </c>
      <c r="B128" s="116" t="s">
        <v>115</v>
      </c>
      <c r="C128" s="133">
        <v>42259</v>
      </c>
      <c r="D128" s="133">
        <v>45871</v>
      </c>
      <c r="E128" s="133">
        <f t="shared" si="18"/>
        <v>3612</v>
      </c>
      <c r="F128" s="114">
        <f t="shared" si="19"/>
        <v>8.547291701176081E-2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11430</v>
      </c>
      <c r="D130" s="133">
        <v>10972</v>
      </c>
      <c r="E130" s="133">
        <f t="shared" si="18"/>
        <v>-458</v>
      </c>
      <c r="F130" s="114">
        <f t="shared" si="19"/>
        <v>-4.006999125109361E-2</v>
      </c>
    </row>
    <row r="131" spans="1:6" x14ac:dyDescent="0.2">
      <c r="A131" s="115">
        <v>6</v>
      </c>
      <c r="B131" s="116" t="s">
        <v>118</v>
      </c>
      <c r="C131" s="133">
        <v>65832</v>
      </c>
      <c r="D131" s="133">
        <v>60023</v>
      </c>
      <c r="E131" s="133">
        <f t="shared" si="18"/>
        <v>-5809</v>
      </c>
      <c r="F131" s="114">
        <f t="shared" si="19"/>
        <v>-8.8239761817960866E-2</v>
      </c>
    </row>
    <row r="132" spans="1:6" x14ac:dyDescent="0.2">
      <c r="A132" s="115">
        <v>7</v>
      </c>
      <c r="B132" s="116" t="s">
        <v>119</v>
      </c>
      <c r="C132" s="133">
        <v>73734</v>
      </c>
      <c r="D132" s="133">
        <v>71298</v>
      </c>
      <c r="E132" s="133">
        <f t="shared" si="18"/>
        <v>-2436</v>
      </c>
      <c r="F132" s="114">
        <f t="shared" si="19"/>
        <v>-3.3037675970380015E-2</v>
      </c>
    </row>
    <row r="133" spans="1:6" x14ac:dyDescent="0.2">
      <c r="A133" s="115">
        <v>8</v>
      </c>
      <c r="B133" s="116" t="s">
        <v>120</v>
      </c>
      <c r="C133" s="133">
        <v>4338</v>
      </c>
      <c r="D133" s="133">
        <v>4505</v>
      </c>
      <c r="E133" s="133">
        <f t="shared" si="18"/>
        <v>167</v>
      </c>
      <c r="F133" s="114">
        <f t="shared" si="19"/>
        <v>3.8497003227293686E-2</v>
      </c>
    </row>
    <row r="134" spans="1:6" x14ac:dyDescent="0.2">
      <c r="A134" s="115">
        <v>9</v>
      </c>
      <c r="B134" s="116" t="s">
        <v>121</v>
      </c>
      <c r="C134" s="133">
        <v>2804</v>
      </c>
      <c r="D134" s="133">
        <v>2215</v>
      </c>
      <c r="E134" s="133">
        <f t="shared" si="18"/>
        <v>-589</v>
      </c>
      <c r="F134" s="114">
        <f t="shared" si="19"/>
        <v>-0.21005706134094151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1013</v>
      </c>
      <c r="D136" s="133">
        <v>1048</v>
      </c>
      <c r="E136" s="133">
        <f t="shared" si="18"/>
        <v>35</v>
      </c>
      <c r="F136" s="114">
        <f t="shared" si="19"/>
        <v>3.4550839091806514E-2</v>
      </c>
    </row>
    <row r="137" spans="1:6" ht="15.75" x14ac:dyDescent="0.25">
      <c r="A137" s="117"/>
      <c r="B137" s="118" t="s">
        <v>142</v>
      </c>
      <c r="C137" s="134">
        <f>SUM(C126:C136)</f>
        <v>354928</v>
      </c>
      <c r="D137" s="134">
        <f>SUM(D126:D136)</f>
        <v>348178</v>
      </c>
      <c r="E137" s="134">
        <f t="shared" si="18"/>
        <v>-6750</v>
      </c>
      <c r="F137" s="120">
        <f t="shared" si="19"/>
        <v>-1.9017941667042331E-2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17281868</v>
      </c>
      <c r="D142" s="113">
        <v>20036472</v>
      </c>
      <c r="E142" s="113">
        <f t="shared" ref="E142:E153" si="20">D142-C142</f>
        <v>2754604</v>
      </c>
      <c r="F142" s="114">
        <f t="shared" ref="F142:F153" si="21">IF(C142=0,0,E142/C142)</f>
        <v>0.15939272305516974</v>
      </c>
    </row>
    <row r="143" spans="1:6" x14ac:dyDescent="0.2">
      <c r="A143" s="115">
        <v>2</v>
      </c>
      <c r="B143" s="116" t="s">
        <v>114</v>
      </c>
      <c r="C143" s="113">
        <v>2766318</v>
      </c>
      <c r="D143" s="113">
        <v>3535453</v>
      </c>
      <c r="E143" s="113">
        <f t="shared" si="20"/>
        <v>769135</v>
      </c>
      <c r="F143" s="114">
        <f t="shared" si="21"/>
        <v>0.27803564160013416</v>
      </c>
    </row>
    <row r="144" spans="1:6" x14ac:dyDescent="0.2">
      <c r="A144" s="115">
        <v>3</v>
      </c>
      <c r="B144" s="116" t="s">
        <v>115</v>
      </c>
      <c r="C144" s="113">
        <v>29842422</v>
      </c>
      <c r="D144" s="113">
        <v>35391736</v>
      </c>
      <c r="E144" s="113">
        <f t="shared" si="20"/>
        <v>5549314</v>
      </c>
      <c r="F144" s="114">
        <f t="shared" si="21"/>
        <v>0.18595387465534802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6518888</v>
      </c>
      <c r="D146" s="113">
        <v>6817553</v>
      </c>
      <c r="E146" s="113">
        <f t="shared" si="20"/>
        <v>298665</v>
      </c>
      <c r="F146" s="114">
        <f t="shared" si="21"/>
        <v>4.5815329240201701E-2</v>
      </c>
    </row>
    <row r="147" spans="1:6" x14ac:dyDescent="0.2">
      <c r="A147" s="115">
        <v>6</v>
      </c>
      <c r="B147" s="116" t="s">
        <v>118</v>
      </c>
      <c r="C147" s="113">
        <v>3526549</v>
      </c>
      <c r="D147" s="113">
        <v>2452599</v>
      </c>
      <c r="E147" s="113">
        <f t="shared" si="20"/>
        <v>-1073950</v>
      </c>
      <c r="F147" s="114">
        <f t="shared" si="21"/>
        <v>-0.30453284499945982</v>
      </c>
    </row>
    <row r="148" spans="1:6" x14ac:dyDescent="0.2">
      <c r="A148" s="115">
        <v>7</v>
      </c>
      <c r="B148" s="116" t="s">
        <v>119</v>
      </c>
      <c r="C148" s="113">
        <v>23545359</v>
      </c>
      <c r="D148" s="113">
        <v>26684339</v>
      </c>
      <c r="E148" s="113">
        <f t="shared" si="20"/>
        <v>3138980</v>
      </c>
      <c r="F148" s="114">
        <f t="shared" si="21"/>
        <v>0.13331629388194929</v>
      </c>
    </row>
    <row r="149" spans="1:6" x14ac:dyDescent="0.2">
      <c r="A149" s="115">
        <v>8</v>
      </c>
      <c r="B149" s="116" t="s">
        <v>120</v>
      </c>
      <c r="C149" s="113">
        <v>1426993</v>
      </c>
      <c r="D149" s="113">
        <v>1684827</v>
      </c>
      <c r="E149" s="113">
        <f t="shared" si="20"/>
        <v>257834</v>
      </c>
      <c r="F149" s="114">
        <f t="shared" si="21"/>
        <v>0.1806834371296846</v>
      </c>
    </row>
    <row r="150" spans="1:6" x14ac:dyDescent="0.2">
      <c r="A150" s="115">
        <v>9</v>
      </c>
      <c r="B150" s="116" t="s">
        <v>121</v>
      </c>
      <c r="C150" s="113">
        <v>3737996</v>
      </c>
      <c r="D150" s="113">
        <v>3246970</v>
      </c>
      <c r="E150" s="113">
        <f t="shared" si="20"/>
        <v>-491026</v>
      </c>
      <c r="F150" s="114">
        <f t="shared" si="21"/>
        <v>-0.13136076122071827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881641</v>
      </c>
      <c r="D152" s="113">
        <v>1184517</v>
      </c>
      <c r="E152" s="113">
        <f t="shared" si="20"/>
        <v>302876</v>
      </c>
      <c r="F152" s="114">
        <f t="shared" si="21"/>
        <v>0.34353665494231778</v>
      </c>
    </row>
    <row r="153" spans="1:6" ht="33.75" customHeight="1" x14ac:dyDescent="0.25">
      <c r="A153" s="117"/>
      <c r="B153" s="118" t="s">
        <v>146</v>
      </c>
      <c r="C153" s="119">
        <f>SUM(C142:C152)</f>
        <v>89528034</v>
      </c>
      <c r="D153" s="119">
        <f>SUM(D142:D152)</f>
        <v>101034466</v>
      </c>
      <c r="E153" s="119">
        <f t="shared" si="20"/>
        <v>11506432</v>
      </c>
      <c r="F153" s="120">
        <f t="shared" si="21"/>
        <v>0.12852322882461598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3794546</v>
      </c>
      <c r="D155" s="113">
        <v>4005943</v>
      </c>
      <c r="E155" s="113">
        <f t="shared" ref="E155:E166" si="22">D155-C155</f>
        <v>211397</v>
      </c>
      <c r="F155" s="114">
        <f t="shared" ref="F155:F166" si="23">IF(C155=0,0,E155/C155)</f>
        <v>5.5710749059307757E-2</v>
      </c>
    </row>
    <row r="156" spans="1:6" x14ac:dyDescent="0.2">
      <c r="A156" s="115">
        <v>2</v>
      </c>
      <c r="B156" s="116" t="s">
        <v>114</v>
      </c>
      <c r="C156" s="113">
        <v>640299</v>
      </c>
      <c r="D156" s="113">
        <v>695379</v>
      </c>
      <c r="E156" s="113">
        <f t="shared" si="22"/>
        <v>55080</v>
      </c>
      <c r="F156" s="114">
        <f t="shared" si="23"/>
        <v>8.6022311451368808E-2</v>
      </c>
    </row>
    <row r="157" spans="1:6" x14ac:dyDescent="0.2">
      <c r="A157" s="115">
        <v>3</v>
      </c>
      <c r="B157" s="116" t="s">
        <v>115</v>
      </c>
      <c r="C157" s="113">
        <v>6816525</v>
      </c>
      <c r="D157" s="113">
        <v>7004849</v>
      </c>
      <c r="E157" s="113">
        <f t="shared" si="22"/>
        <v>188324</v>
      </c>
      <c r="F157" s="114">
        <f t="shared" si="23"/>
        <v>2.7627566832073527E-2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1770718</v>
      </c>
      <c r="D159" s="113">
        <v>1701437</v>
      </c>
      <c r="E159" s="113">
        <f t="shared" si="22"/>
        <v>-69281</v>
      </c>
      <c r="F159" s="114">
        <f t="shared" si="23"/>
        <v>-3.9125936484522096E-2</v>
      </c>
    </row>
    <row r="160" spans="1:6" x14ac:dyDescent="0.2">
      <c r="A160" s="115">
        <v>6</v>
      </c>
      <c r="B160" s="116" t="s">
        <v>118</v>
      </c>
      <c r="C160" s="113">
        <v>2307070</v>
      </c>
      <c r="D160" s="113">
        <v>1589547</v>
      </c>
      <c r="E160" s="113">
        <f t="shared" si="22"/>
        <v>-717523</v>
      </c>
      <c r="F160" s="114">
        <f t="shared" si="23"/>
        <v>-0.31101050249884055</v>
      </c>
    </row>
    <row r="161" spans="1:6" x14ac:dyDescent="0.2">
      <c r="A161" s="115">
        <v>7</v>
      </c>
      <c r="B161" s="116" t="s">
        <v>119</v>
      </c>
      <c r="C161" s="113">
        <v>13246729</v>
      </c>
      <c r="D161" s="113">
        <v>14957591</v>
      </c>
      <c r="E161" s="113">
        <f t="shared" si="22"/>
        <v>1710862</v>
      </c>
      <c r="F161" s="114">
        <f t="shared" si="23"/>
        <v>0.12915354424477168</v>
      </c>
    </row>
    <row r="162" spans="1:6" x14ac:dyDescent="0.2">
      <c r="A162" s="115">
        <v>8</v>
      </c>
      <c r="B162" s="116" t="s">
        <v>120</v>
      </c>
      <c r="C162" s="113">
        <v>1084760</v>
      </c>
      <c r="D162" s="113">
        <v>1142281</v>
      </c>
      <c r="E162" s="113">
        <f t="shared" si="22"/>
        <v>57521</v>
      </c>
      <c r="F162" s="114">
        <f t="shared" si="23"/>
        <v>5.3026475902503777E-2</v>
      </c>
    </row>
    <row r="163" spans="1:6" x14ac:dyDescent="0.2">
      <c r="A163" s="115">
        <v>9</v>
      </c>
      <c r="B163" s="116" t="s">
        <v>121</v>
      </c>
      <c r="C163" s="113">
        <v>0</v>
      </c>
      <c r="D163" s="113">
        <v>0</v>
      </c>
      <c r="E163" s="113">
        <f t="shared" si="22"/>
        <v>0</v>
      </c>
      <c r="F163" s="114">
        <f t="shared" si="23"/>
        <v>0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181477</v>
      </c>
      <c r="D165" s="113">
        <v>225624</v>
      </c>
      <c r="E165" s="113">
        <f t="shared" si="22"/>
        <v>44147</v>
      </c>
      <c r="F165" s="114">
        <f t="shared" si="23"/>
        <v>0.24326498674763194</v>
      </c>
    </row>
    <row r="166" spans="1:6" ht="33.75" customHeight="1" x14ac:dyDescent="0.25">
      <c r="A166" s="117"/>
      <c r="B166" s="118" t="s">
        <v>148</v>
      </c>
      <c r="C166" s="119">
        <f>SUM(C155:C165)</f>
        <v>29842124</v>
      </c>
      <c r="D166" s="119">
        <f>SUM(D155:D165)</f>
        <v>31322651</v>
      </c>
      <c r="E166" s="119">
        <f t="shared" si="22"/>
        <v>1480527</v>
      </c>
      <c r="F166" s="120">
        <f t="shared" si="23"/>
        <v>4.96119847233394E-2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11740</v>
      </c>
      <c r="D168" s="133">
        <v>12257</v>
      </c>
      <c r="E168" s="133">
        <f t="shared" ref="E168:E179" si="24">D168-C168</f>
        <v>517</v>
      </c>
      <c r="F168" s="114">
        <f t="shared" ref="F168:F179" si="25">IF(C168=0,0,E168/C168)</f>
        <v>4.4037478705281088E-2</v>
      </c>
    </row>
    <row r="169" spans="1:6" x14ac:dyDescent="0.2">
      <c r="A169" s="115">
        <v>2</v>
      </c>
      <c r="B169" s="116" t="s">
        <v>114</v>
      </c>
      <c r="C169" s="133">
        <v>1751</v>
      </c>
      <c r="D169" s="133">
        <v>2025</v>
      </c>
      <c r="E169" s="133">
        <f t="shared" si="24"/>
        <v>274</v>
      </c>
      <c r="F169" s="114">
        <f t="shared" si="25"/>
        <v>0.1564820102798401</v>
      </c>
    </row>
    <row r="170" spans="1:6" x14ac:dyDescent="0.2">
      <c r="A170" s="115">
        <v>3</v>
      </c>
      <c r="B170" s="116" t="s">
        <v>115</v>
      </c>
      <c r="C170" s="133">
        <v>27905</v>
      </c>
      <c r="D170" s="133">
        <v>29360</v>
      </c>
      <c r="E170" s="133">
        <f t="shared" si="24"/>
        <v>1455</v>
      </c>
      <c r="F170" s="114">
        <f t="shared" si="25"/>
        <v>5.2141193334527859E-2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5866</v>
      </c>
      <c r="D172" s="133">
        <v>5611</v>
      </c>
      <c r="E172" s="133">
        <f t="shared" si="24"/>
        <v>-255</v>
      </c>
      <c r="F172" s="114">
        <f t="shared" si="25"/>
        <v>-4.3470848960109103E-2</v>
      </c>
    </row>
    <row r="173" spans="1:6" x14ac:dyDescent="0.2">
      <c r="A173" s="115">
        <v>6</v>
      </c>
      <c r="B173" s="116" t="s">
        <v>118</v>
      </c>
      <c r="C173" s="133">
        <v>4319</v>
      </c>
      <c r="D173" s="133">
        <v>1729</v>
      </c>
      <c r="E173" s="133">
        <f t="shared" si="24"/>
        <v>-2590</v>
      </c>
      <c r="F173" s="114">
        <f t="shared" si="25"/>
        <v>-0.59967585089141007</v>
      </c>
    </row>
    <row r="174" spans="1:6" x14ac:dyDescent="0.2">
      <c r="A174" s="115">
        <v>7</v>
      </c>
      <c r="B174" s="116" t="s">
        <v>119</v>
      </c>
      <c r="C174" s="133">
        <v>18117</v>
      </c>
      <c r="D174" s="133">
        <v>19622</v>
      </c>
      <c r="E174" s="133">
        <f t="shared" si="24"/>
        <v>1505</v>
      </c>
      <c r="F174" s="114">
        <f t="shared" si="25"/>
        <v>8.3071148644919143E-2</v>
      </c>
    </row>
    <row r="175" spans="1:6" x14ac:dyDescent="0.2">
      <c r="A175" s="115">
        <v>8</v>
      </c>
      <c r="B175" s="116" t="s">
        <v>120</v>
      </c>
      <c r="C175" s="133">
        <v>1669</v>
      </c>
      <c r="D175" s="133">
        <v>1647</v>
      </c>
      <c r="E175" s="133">
        <f t="shared" si="24"/>
        <v>-22</v>
      </c>
      <c r="F175" s="114">
        <f t="shared" si="25"/>
        <v>-1.3181545835829839E-2</v>
      </c>
    </row>
    <row r="176" spans="1:6" x14ac:dyDescent="0.2">
      <c r="A176" s="115">
        <v>9</v>
      </c>
      <c r="B176" s="116" t="s">
        <v>121</v>
      </c>
      <c r="C176" s="133">
        <v>3682</v>
      </c>
      <c r="D176" s="133">
        <v>2595</v>
      </c>
      <c r="E176" s="133">
        <f t="shared" si="24"/>
        <v>-1087</v>
      </c>
      <c r="F176" s="114">
        <f t="shared" si="25"/>
        <v>-0.29521998913633896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418</v>
      </c>
      <c r="D178" s="133">
        <v>795</v>
      </c>
      <c r="E178" s="133">
        <f t="shared" si="24"/>
        <v>377</v>
      </c>
      <c r="F178" s="114">
        <f t="shared" si="25"/>
        <v>0.90191387559808611</v>
      </c>
    </row>
    <row r="179" spans="1:6" ht="33.75" customHeight="1" x14ac:dyDescent="0.25">
      <c r="A179" s="117"/>
      <c r="B179" s="118" t="s">
        <v>150</v>
      </c>
      <c r="C179" s="134">
        <f>SUM(C168:C178)</f>
        <v>75467</v>
      </c>
      <c r="D179" s="134">
        <f>SUM(D168:D178)</f>
        <v>75641</v>
      </c>
      <c r="E179" s="134">
        <f t="shared" si="24"/>
        <v>174</v>
      </c>
      <c r="F179" s="120">
        <f t="shared" si="25"/>
        <v>2.3056435263095129E-3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FILING&amp;RLAWRENCE AND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40921636</v>
      </c>
      <c r="D15" s="157">
        <v>40670258</v>
      </c>
      <c r="E15" s="157">
        <f>+D15-C15</f>
        <v>-251378</v>
      </c>
      <c r="F15" s="161">
        <f>IF(C15=0,0,E15/C15)</f>
        <v>-6.1429117838788265E-3</v>
      </c>
    </row>
    <row r="16" spans="1:6" ht="15" customHeight="1" x14ac:dyDescent="0.2">
      <c r="A16" s="147">
        <v>2</v>
      </c>
      <c r="B16" s="160" t="s">
        <v>157</v>
      </c>
      <c r="C16" s="157">
        <v>367754</v>
      </c>
      <c r="D16" s="157">
        <v>389032</v>
      </c>
      <c r="E16" s="157">
        <f>+D16-C16</f>
        <v>21278</v>
      </c>
      <c r="F16" s="161">
        <f>IF(C16=0,0,E16/C16)</f>
        <v>5.7859329878125053E-2</v>
      </c>
    </row>
    <row r="17" spans="1:6" ht="15" customHeight="1" x14ac:dyDescent="0.2">
      <c r="A17" s="147">
        <v>3</v>
      </c>
      <c r="B17" s="160" t="s">
        <v>158</v>
      </c>
      <c r="C17" s="157">
        <v>101054229</v>
      </c>
      <c r="D17" s="157">
        <v>99580813</v>
      </c>
      <c r="E17" s="157">
        <f>+D17-C17</f>
        <v>-1473416</v>
      </c>
      <c r="F17" s="161">
        <f>IF(C17=0,0,E17/C17)</f>
        <v>-1.4580448681667741E-2</v>
      </c>
    </row>
    <row r="18" spans="1:6" ht="15.75" customHeight="1" x14ac:dyDescent="0.25">
      <c r="A18" s="147"/>
      <c r="B18" s="162" t="s">
        <v>159</v>
      </c>
      <c r="C18" s="158">
        <f>SUM(C15:C17)</f>
        <v>142343619</v>
      </c>
      <c r="D18" s="158">
        <f>SUM(D15:D17)</f>
        <v>140640103</v>
      </c>
      <c r="E18" s="158">
        <f>+D18-C18</f>
        <v>-1703516</v>
      </c>
      <c r="F18" s="159">
        <f>IF(C18=0,0,E18/C18)</f>
        <v>-1.1967631650562431E-2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14645164</v>
      </c>
      <c r="D21" s="157">
        <v>14949101</v>
      </c>
      <c r="E21" s="157">
        <f>+D21-C21</f>
        <v>303937</v>
      </c>
      <c r="F21" s="161">
        <f>IF(C21=0,0,E21/C21)</f>
        <v>2.0753403649149984E-2</v>
      </c>
    </row>
    <row r="22" spans="1:6" ht="15" customHeight="1" x14ac:dyDescent="0.2">
      <c r="A22" s="147">
        <v>2</v>
      </c>
      <c r="B22" s="160" t="s">
        <v>162</v>
      </c>
      <c r="C22" s="157">
        <v>131613</v>
      </c>
      <c r="D22" s="157">
        <v>142996</v>
      </c>
      <c r="E22" s="157">
        <f>+D22-C22</f>
        <v>11383</v>
      </c>
      <c r="F22" s="161">
        <f>IF(C22=0,0,E22/C22)</f>
        <v>8.6488416797732753E-2</v>
      </c>
    </row>
    <row r="23" spans="1:6" ht="15" customHeight="1" x14ac:dyDescent="0.2">
      <c r="A23" s="147">
        <v>3</v>
      </c>
      <c r="B23" s="160" t="s">
        <v>163</v>
      </c>
      <c r="C23" s="157">
        <v>36165592</v>
      </c>
      <c r="D23" s="157">
        <v>36602758</v>
      </c>
      <c r="E23" s="157">
        <f>+D23-C23</f>
        <v>437166</v>
      </c>
      <c r="F23" s="161">
        <f>IF(C23=0,0,E23/C23)</f>
        <v>1.2087898353772282E-2</v>
      </c>
    </row>
    <row r="24" spans="1:6" ht="15.75" customHeight="1" x14ac:dyDescent="0.25">
      <c r="A24" s="147"/>
      <c r="B24" s="162" t="s">
        <v>164</v>
      </c>
      <c r="C24" s="158">
        <f>SUM(C21:C23)</f>
        <v>50942369</v>
      </c>
      <c r="D24" s="158">
        <f>SUM(D21:D23)</f>
        <v>51694855</v>
      </c>
      <c r="E24" s="158">
        <f>+D24-C24</f>
        <v>752486</v>
      </c>
      <c r="F24" s="159">
        <f>IF(C24=0,0,E24/C24)</f>
        <v>1.4771319331458652E-2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227632</v>
      </c>
      <c r="D27" s="157">
        <v>182310</v>
      </c>
      <c r="E27" s="157">
        <f>+D27-C27</f>
        <v>-45322</v>
      </c>
      <c r="F27" s="161">
        <f>IF(C27=0,0,E27/C27)</f>
        <v>-0.19910205946439868</v>
      </c>
    </row>
    <row r="28" spans="1:6" ht="15" customHeight="1" x14ac:dyDescent="0.2">
      <c r="A28" s="147">
        <v>2</v>
      </c>
      <c r="B28" s="160" t="s">
        <v>167</v>
      </c>
      <c r="C28" s="157">
        <v>0</v>
      </c>
      <c r="D28" s="157">
        <v>0</v>
      </c>
      <c r="E28" s="157">
        <f>+D28-C28</f>
        <v>0</v>
      </c>
      <c r="F28" s="161">
        <f>IF(C28=0,0,E28/C28)</f>
        <v>0</v>
      </c>
    </row>
    <row r="29" spans="1:6" ht="15" customHeight="1" x14ac:dyDescent="0.2">
      <c r="A29" s="147">
        <v>3</v>
      </c>
      <c r="B29" s="160" t="s">
        <v>168</v>
      </c>
      <c r="C29" s="157">
        <v>952405</v>
      </c>
      <c r="D29" s="157">
        <v>1062834</v>
      </c>
      <c r="E29" s="157">
        <f>+D29-C29</f>
        <v>110429</v>
      </c>
      <c r="F29" s="161">
        <f>IF(C29=0,0,E29/C29)</f>
        <v>0.11594752232506129</v>
      </c>
    </row>
    <row r="30" spans="1:6" ht="15.75" customHeight="1" x14ac:dyDescent="0.25">
      <c r="A30" s="147"/>
      <c r="B30" s="162" t="s">
        <v>169</v>
      </c>
      <c r="C30" s="158">
        <f>SUM(C27:C29)</f>
        <v>1180037</v>
      </c>
      <c r="D30" s="158">
        <f>SUM(D27:D29)</f>
        <v>1245144</v>
      </c>
      <c r="E30" s="158">
        <f>+D30-C30</f>
        <v>65107</v>
      </c>
      <c r="F30" s="159">
        <f>IF(C30=0,0,E30/C30)</f>
        <v>5.5173693706214298E-2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29345396</v>
      </c>
      <c r="D33" s="157">
        <v>30584247</v>
      </c>
      <c r="E33" s="157">
        <f>+D33-C33</f>
        <v>1238851</v>
      </c>
      <c r="F33" s="161">
        <f>IF(C33=0,0,E33/C33)</f>
        <v>4.2216196366884944E-2</v>
      </c>
    </row>
    <row r="34" spans="1:6" ht="15" customHeight="1" x14ac:dyDescent="0.2">
      <c r="A34" s="147">
        <v>2</v>
      </c>
      <c r="B34" s="160" t="s">
        <v>173</v>
      </c>
      <c r="C34" s="157">
        <v>22806049</v>
      </c>
      <c r="D34" s="157">
        <v>25549041</v>
      </c>
      <c r="E34" s="157">
        <f>+D34-C34</f>
        <v>2742992</v>
      </c>
      <c r="F34" s="161">
        <f>IF(C34=0,0,E34/C34)</f>
        <v>0.12027475692961985</v>
      </c>
    </row>
    <row r="35" spans="1:6" ht="15.75" customHeight="1" x14ac:dyDescent="0.25">
      <c r="A35" s="147"/>
      <c r="B35" s="162" t="s">
        <v>174</v>
      </c>
      <c r="C35" s="158">
        <f>SUM(C33:C34)</f>
        <v>52151445</v>
      </c>
      <c r="D35" s="158">
        <f>SUM(D33:D34)</f>
        <v>56133288</v>
      </c>
      <c r="E35" s="158">
        <f>+D35-C35</f>
        <v>3981843</v>
      </c>
      <c r="F35" s="159">
        <f>IF(C35=0,0,E35/C35)</f>
        <v>7.6351537335159175E-2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4329057</v>
      </c>
      <c r="D38" s="157">
        <v>4870793</v>
      </c>
      <c r="E38" s="157">
        <f>+D38-C38</f>
        <v>541736</v>
      </c>
      <c r="F38" s="161">
        <f>IF(C38=0,0,E38/C38)</f>
        <v>0.12513949342778347</v>
      </c>
    </row>
    <row r="39" spans="1:6" ht="15" customHeight="1" x14ac:dyDescent="0.2">
      <c r="A39" s="147">
        <v>2</v>
      </c>
      <c r="B39" s="160" t="s">
        <v>178</v>
      </c>
      <c r="C39" s="157">
        <v>17199741</v>
      </c>
      <c r="D39" s="157">
        <v>17811015</v>
      </c>
      <c r="E39" s="157">
        <f>+D39-C39</f>
        <v>611274</v>
      </c>
      <c r="F39" s="161">
        <f>IF(C39=0,0,E39/C39)</f>
        <v>3.5539721208592619E-2</v>
      </c>
    </row>
    <row r="40" spans="1:6" ht="15" customHeight="1" x14ac:dyDescent="0.2">
      <c r="A40" s="147">
        <v>3</v>
      </c>
      <c r="B40" s="160" t="s">
        <v>179</v>
      </c>
      <c r="C40" s="157">
        <v>1106327</v>
      </c>
      <c r="D40" s="157">
        <v>959727</v>
      </c>
      <c r="E40" s="157">
        <f>+D40-C40</f>
        <v>-146600</v>
      </c>
      <c r="F40" s="161">
        <f>IF(C40=0,0,E40/C40)</f>
        <v>-0.13251055067805451</v>
      </c>
    </row>
    <row r="41" spans="1:6" ht="15.75" customHeight="1" x14ac:dyDescent="0.25">
      <c r="A41" s="147"/>
      <c r="B41" s="162" t="s">
        <v>180</v>
      </c>
      <c r="C41" s="158">
        <f>SUM(C38:C40)</f>
        <v>22635125</v>
      </c>
      <c r="D41" s="158">
        <f>SUM(D38:D40)</f>
        <v>23641535</v>
      </c>
      <c r="E41" s="158">
        <f>+D41-C41</f>
        <v>1006410</v>
      </c>
      <c r="F41" s="159">
        <f>IF(C41=0,0,E41/C41)</f>
        <v>4.4462312445811544E-2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3542721</v>
      </c>
      <c r="D47" s="157">
        <v>3553690</v>
      </c>
      <c r="E47" s="157">
        <f>+D47-C47</f>
        <v>10969</v>
      </c>
      <c r="F47" s="161">
        <f>IF(C47=0,0,E47/C47)</f>
        <v>3.0962076889486921E-3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4538822</v>
      </c>
      <c r="D50" s="157">
        <v>4818820</v>
      </c>
      <c r="E50" s="157">
        <f>+D50-C50</f>
        <v>279998</v>
      </c>
      <c r="F50" s="161">
        <f>IF(C50=0,0,E50/C50)</f>
        <v>6.1689574960198924E-2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195930</v>
      </c>
      <c r="D53" s="157">
        <v>179870</v>
      </c>
      <c r="E53" s="157">
        <f t="shared" ref="E53:E59" si="0">+D53-C53</f>
        <v>-16060</v>
      </c>
      <c r="F53" s="161">
        <f t="shared" ref="F53:F59" si="1">IF(C53=0,0,E53/C53)</f>
        <v>-8.1968049813708976E-2</v>
      </c>
    </row>
    <row r="54" spans="1:6" ht="15" customHeight="1" x14ac:dyDescent="0.2">
      <c r="A54" s="147">
        <v>2</v>
      </c>
      <c r="B54" s="160" t="s">
        <v>189</v>
      </c>
      <c r="C54" s="157">
        <v>1026335</v>
      </c>
      <c r="D54" s="157">
        <v>1083143</v>
      </c>
      <c r="E54" s="157">
        <f t="shared" si="0"/>
        <v>56808</v>
      </c>
      <c r="F54" s="161">
        <f t="shared" si="1"/>
        <v>5.5350348570398555E-2</v>
      </c>
    </row>
    <row r="55" spans="1:6" ht="15" customHeight="1" x14ac:dyDescent="0.2">
      <c r="A55" s="147">
        <v>3</v>
      </c>
      <c r="B55" s="160" t="s">
        <v>190</v>
      </c>
      <c r="C55" s="157">
        <v>55080</v>
      </c>
      <c r="D55" s="157">
        <v>17093</v>
      </c>
      <c r="E55" s="157">
        <f t="shared" si="0"/>
        <v>-37987</v>
      </c>
      <c r="F55" s="161">
        <f t="shared" si="1"/>
        <v>-0.68966957153231667</v>
      </c>
    </row>
    <row r="56" spans="1:6" ht="15" customHeight="1" x14ac:dyDescent="0.2">
      <c r="A56" s="147">
        <v>4</v>
      </c>
      <c r="B56" s="160" t="s">
        <v>191</v>
      </c>
      <c r="C56" s="157">
        <v>3219818</v>
      </c>
      <c r="D56" s="157">
        <v>3177410</v>
      </c>
      <c r="E56" s="157">
        <f t="shared" si="0"/>
        <v>-42408</v>
      </c>
      <c r="F56" s="161">
        <f t="shared" si="1"/>
        <v>-1.3170930779317341E-2</v>
      </c>
    </row>
    <row r="57" spans="1:6" ht="15" customHeight="1" x14ac:dyDescent="0.2">
      <c r="A57" s="147">
        <v>5</v>
      </c>
      <c r="B57" s="160" t="s">
        <v>192</v>
      </c>
      <c r="C57" s="157">
        <v>465295</v>
      </c>
      <c r="D57" s="157">
        <v>903759</v>
      </c>
      <c r="E57" s="157">
        <f t="shared" si="0"/>
        <v>438464</v>
      </c>
      <c r="F57" s="161">
        <f t="shared" si="1"/>
        <v>0.94233550758121187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4962458</v>
      </c>
      <c r="D59" s="158">
        <f>SUM(D53:D58)</f>
        <v>5361275</v>
      </c>
      <c r="E59" s="158">
        <f t="shared" si="0"/>
        <v>398817</v>
      </c>
      <c r="F59" s="159">
        <f t="shared" si="1"/>
        <v>8.0366826278428963E-2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746696</v>
      </c>
      <c r="D62" s="157">
        <v>744087</v>
      </c>
      <c r="E62" s="157">
        <f t="shared" ref="E62:E90" si="2">+D62-C62</f>
        <v>-2609</v>
      </c>
      <c r="F62" s="161">
        <f t="shared" ref="F62:F90" si="3">IF(C62=0,0,E62/C62)</f>
        <v>-3.4940591619614944E-3</v>
      </c>
    </row>
    <row r="63" spans="1:6" ht="15" customHeight="1" x14ac:dyDescent="0.2">
      <c r="A63" s="147">
        <v>2</v>
      </c>
      <c r="B63" s="160" t="s">
        <v>198</v>
      </c>
      <c r="C63" s="157">
        <v>1972751</v>
      </c>
      <c r="D63" s="157">
        <v>938011</v>
      </c>
      <c r="E63" s="157">
        <f t="shared" si="2"/>
        <v>-1034740</v>
      </c>
      <c r="F63" s="161">
        <f t="shared" si="3"/>
        <v>-0.5245162719471439</v>
      </c>
    </row>
    <row r="64" spans="1:6" ht="15" customHeight="1" x14ac:dyDescent="0.2">
      <c r="A64" s="147">
        <v>3</v>
      </c>
      <c r="B64" s="160" t="s">
        <v>199</v>
      </c>
      <c r="C64" s="157">
        <v>3424587</v>
      </c>
      <c r="D64" s="157">
        <v>6596975</v>
      </c>
      <c r="E64" s="157">
        <f t="shared" si="2"/>
        <v>3172388</v>
      </c>
      <c r="F64" s="161">
        <f t="shared" si="3"/>
        <v>0.92635637523590431</v>
      </c>
    </row>
    <row r="65" spans="1:6" ht="15" customHeight="1" x14ac:dyDescent="0.2">
      <c r="A65" s="147">
        <v>4</v>
      </c>
      <c r="B65" s="160" t="s">
        <v>200</v>
      </c>
      <c r="C65" s="157">
        <v>397895</v>
      </c>
      <c r="D65" s="157">
        <v>385002</v>
      </c>
      <c r="E65" s="157">
        <f t="shared" si="2"/>
        <v>-12893</v>
      </c>
      <c r="F65" s="161">
        <f t="shared" si="3"/>
        <v>-3.2403020897472955E-2</v>
      </c>
    </row>
    <row r="66" spans="1:6" ht="15" customHeight="1" x14ac:dyDescent="0.2">
      <c r="A66" s="147">
        <v>5</v>
      </c>
      <c r="B66" s="160" t="s">
        <v>201</v>
      </c>
      <c r="C66" s="157">
        <v>2068236</v>
      </c>
      <c r="D66" s="157">
        <v>1945609</v>
      </c>
      <c r="E66" s="157">
        <f t="shared" si="2"/>
        <v>-122627</v>
      </c>
      <c r="F66" s="161">
        <f t="shared" si="3"/>
        <v>-5.929062254017433E-2</v>
      </c>
    </row>
    <row r="67" spans="1:6" ht="15" customHeight="1" x14ac:dyDescent="0.2">
      <c r="A67" s="147">
        <v>6</v>
      </c>
      <c r="B67" s="160" t="s">
        <v>202</v>
      </c>
      <c r="C67" s="157">
        <v>2363426</v>
      </c>
      <c r="D67" s="157">
        <v>2702266</v>
      </c>
      <c r="E67" s="157">
        <f t="shared" si="2"/>
        <v>338840</v>
      </c>
      <c r="F67" s="161">
        <f t="shared" si="3"/>
        <v>0.14336814438023446</v>
      </c>
    </row>
    <row r="68" spans="1:6" ht="15" customHeight="1" x14ac:dyDescent="0.2">
      <c r="A68" s="147">
        <v>7</v>
      </c>
      <c r="B68" s="160" t="s">
        <v>203</v>
      </c>
      <c r="C68" s="157">
        <v>10335192</v>
      </c>
      <c r="D68" s="157">
        <v>11575820</v>
      </c>
      <c r="E68" s="157">
        <f t="shared" si="2"/>
        <v>1240628</v>
      </c>
      <c r="F68" s="161">
        <f t="shared" si="3"/>
        <v>0.12003918262960185</v>
      </c>
    </row>
    <row r="69" spans="1:6" ht="15" customHeight="1" x14ac:dyDescent="0.2">
      <c r="A69" s="147">
        <v>8</v>
      </c>
      <c r="B69" s="160" t="s">
        <v>204</v>
      </c>
      <c r="C69" s="157">
        <v>1021372</v>
      </c>
      <c r="D69" s="157">
        <v>1040315</v>
      </c>
      <c r="E69" s="157">
        <f t="shared" si="2"/>
        <v>18943</v>
      </c>
      <c r="F69" s="161">
        <f t="shared" si="3"/>
        <v>1.8546621603098577E-2</v>
      </c>
    </row>
    <row r="70" spans="1:6" ht="15" customHeight="1" x14ac:dyDescent="0.2">
      <c r="A70" s="147">
        <v>9</v>
      </c>
      <c r="B70" s="160" t="s">
        <v>205</v>
      </c>
      <c r="C70" s="157">
        <v>327728</v>
      </c>
      <c r="D70" s="157">
        <v>343325</v>
      </c>
      <c r="E70" s="157">
        <f t="shared" si="2"/>
        <v>15597</v>
      </c>
      <c r="F70" s="161">
        <f t="shared" si="3"/>
        <v>4.7591295220426696E-2</v>
      </c>
    </row>
    <row r="71" spans="1:6" ht="15" customHeight="1" x14ac:dyDescent="0.2">
      <c r="A71" s="147">
        <v>10</v>
      </c>
      <c r="B71" s="160" t="s">
        <v>206</v>
      </c>
      <c r="C71" s="157">
        <v>4847</v>
      </c>
      <c r="D71" s="157">
        <v>13000</v>
      </c>
      <c r="E71" s="157">
        <f t="shared" si="2"/>
        <v>8153</v>
      </c>
      <c r="F71" s="161">
        <f t="shared" si="3"/>
        <v>1.6820713843614608</v>
      </c>
    </row>
    <row r="72" spans="1:6" ht="15" customHeight="1" x14ac:dyDescent="0.2">
      <c r="A72" s="147">
        <v>11</v>
      </c>
      <c r="B72" s="160" t="s">
        <v>207</v>
      </c>
      <c r="C72" s="157">
        <v>85101</v>
      </c>
      <c r="D72" s="157">
        <v>179170</v>
      </c>
      <c r="E72" s="157">
        <f t="shared" si="2"/>
        <v>94069</v>
      </c>
      <c r="F72" s="161">
        <f t="shared" si="3"/>
        <v>1.1053806653270819</v>
      </c>
    </row>
    <row r="73" spans="1:6" ht="15" customHeight="1" x14ac:dyDescent="0.2">
      <c r="A73" s="147">
        <v>12</v>
      </c>
      <c r="B73" s="160" t="s">
        <v>208</v>
      </c>
      <c r="C73" s="157">
        <v>1685365</v>
      </c>
      <c r="D73" s="157">
        <v>1779347</v>
      </c>
      <c r="E73" s="157">
        <f t="shared" si="2"/>
        <v>93982</v>
      </c>
      <c r="F73" s="161">
        <f t="shared" si="3"/>
        <v>5.5763588302830541E-2</v>
      </c>
    </row>
    <row r="74" spans="1:6" ht="15" customHeight="1" x14ac:dyDescent="0.2">
      <c r="A74" s="147">
        <v>13</v>
      </c>
      <c r="B74" s="160" t="s">
        <v>209</v>
      </c>
      <c r="C74" s="157">
        <v>515124</v>
      </c>
      <c r="D74" s="157">
        <v>640050</v>
      </c>
      <c r="E74" s="157">
        <f t="shared" si="2"/>
        <v>124926</v>
      </c>
      <c r="F74" s="161">
        <f t="shared" si="3"/>
        <v>0.24251636499173015</v>
      </c>
    </row>
    <row r="75" spans="1:6" ht="15" customHeight="1" x14ac:dyDescent="0.2">
      <c r="A75" s="147">
        <v>14</v>
      </c>
      <c r="B75" s="160" t="s">
        <v>210</v>
      </c>
      <c r="C75" s="157">
        <v>198776</v>
      </c>
      <c r="D75" s="157">
        <v>236255</v>
      </c>
      <c r="E75" s="157">
        <f t="shared" si="2"/>
        <v>37479</v>
      </c>
      <c r="F75" s="161">
        <f t="shared" si="3"/>
        <v>0.18854891938664628</v>
      </c>
    </row>
    <row r="76" spans="1:6" ht="15" customHeight="1" x14ac:dyDescent="0.2">
      <c r="A76" s="147">
        <v>15</v>
      </c>
      <c r="B76" s="160" t="s">
        <v>211</v>
      </c>
      <c r="C76" s="157">
        <v>1228879</v>
      </c>
      <c r="D76" s="157">
        <v>1322291</v>
      </c>
      <c r="E76" s="157">
        <f t="shared" si="2"/>
        <v>93412</v>
      </c>
      <c r="F76" s="161">
        <f t="shared" si="3"/>
        <v>7.6013993240994435E-2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374395</v>
      </c>
      <c r="D78" s="157">
        <v>632110</v>
      </c>
      <c r="E78" s="157">
        <f t="shared" si="2"/>
        <v>257715</v>
      </c>
      <c r="F78" s="161">
        <f t="shared" si="3"/>
        <v>0.68835053886937592</v>
      </c>
    </row>
    <row r="79" spans="1:6" ht="15" customHeight="1" x14ac:dyDescent="0.2">
      <c r="A79" s="147">
        <v>18</v>
      </c>
      <c r="B79" s="160" t="s">
        <v>214</v>
      </c>
      <c r="C79" s="157">
        <v>94323</v>
      </c>
      <c r="D79" s="157">
        <v>79882</v>
      </c>
      <c r="E79" s="157">
        <f t="shared" si="2"/>
        <v>-14441</v>
      </c>
      <c r="F79" s="161">
        <f t="shared" si="3"/>
        <v>-0.15310157649777892</v>
      </c>
    </row>
    <row r="80" spans="1:6" ht="15" customHeight="1" x14ac:dyDescent="0.2">
      <c r="A80" s="147">
        <v>19</v>
      </c>
      <c r="B80" s="160" t="s">
        <v>215</v>
      </c>
      <c r="C80" s="157">
        <v>2091455</v>
      </c>
      <c r="D80" s="157">
        <v>1982677</v>
      </c>
      <c r="E80" s="157">
        <f t="shared" si="2"/>
        <v>-108778</v>
      </c>
      <c r="F80" s="161">
        <f t="shared" si="3"/>
        <v>-5.2010681559010355E-2</v>
      </c>
    </row>
    <row r="81" spans="1:6" ht="15" customHeight="1" x14ac:dyDescent="0.2">
      <c r="A81" s="147">
        <v>20</v>
      </c>
      <c r="B81" s="160" t="s">
        <v>216</v>
      </c>
      <c r="C81" s="157">
        <v>1143749</v>
      </c>
      <c r="D81" s="157">
        <v>976698</v>
      </c>
      <c r="E81" s="157">
        <f t="shared" si="2"/>
        <v>-167051</v>
      </c>
      <c r="F81" s="161">
        <f t="shared" si="3"/>
        <v>-0.14605564682460925</v>
      </c>
    </row>
    <row r="82" spans="1:6" ht="15" customHeight="1" x14ac:dyDescent="0.2">
      <c r="A82" s="147">
        <v>21</v>
      </c>
      <c r="B82" s="160" t="s">
        <v>217</v>
      </c>
      <c r="C82" s="157">
        <v>538059</v>
      </c>
      <c r="D82" s="157">
        <v>487671</v>
      </c>
      <c r="E82" s="157">
        <f t="shared" si="2"/>
        <v>-50388</v>
      </c>
      <c r="F82" s="161">
        <f t="shared" si="3"/>
        <v>-9.3647722647516349E-2</v>
      </c>
    </row>
    <row r="83" spans="1:6" ht="15" customHeight="1" x14ac:dyDescent="0.2">
      <c r="A83" s="147">
        <v>22</v>
      </c>
      <c r="B83" s="160" t="s">
        <v>218</v>
      </c>
      <c r="C83" s="157">
        <v>517699</v>
      </c>
      <c r="D83" s="157">
        <v>363597</v>
      </c>
      <c r="E83" s="157">
        <f t="shared" si="2"/>
        <v>-154102</v>
      </c>
      <c r="F83" s="161">
        <f t="shared" si="3"/>
        <v>-0.29766717725937275</v>
      </c>
    </row>
    <row r="84" spans="1:6" ht="15" customHeight="1" x14ac:dyDescent="0.2">
      <c r="A84" s="147">
        <v>23</v>
      </c>
      <c r="B84" s="160" t="s">
        <v>219</v>
      </c>
      <c r="C84" s="157">
        <v>47630</v>
      </c>
      <c r="D84" s="157">
        <v>40977</v>
      </c>
      <c r="E84" s="157">
        <f t="shared" si="2"/>
        <v>-6653</v>
      </c>
      <c r="F84" s="161">
        <f t="shared" si="3"/>
        <v>-0.13968087339911819</v>
      </c>
    </row>
    <row r="85" spans="1:6" ht="15" customHeight="1" x14ac:dyDescent="0.2">
      <c r="A85" s="147">
        <v>24</v>
      </c>
      <c r="B85" s="160" t="s">
        <v>220</v>
      </c>
      <c r="C85" s="157">
        <v>5868901</v>
      </c>
      <c r="D85" s="157">
        <v>8776142</v>
      </c>
      <c r="E85" s="157">
        <f t="shared" si="2"/>
        <v>2907241</v>
      </c>
      <c r="F85" s="161">
        <f t="shared" si="3"/>
        <v>0.49536378275932752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15978684</v>
      </c>
      <c r="D87" s="157">
        <v>4768761</v>
      </c>
      <c r="E87" s="157">
        <f t="shared" si="2"/>
        <v>-11209923</v>
      </c>
      <c r="F87" s="161">
        <f t="shared" si="3"/>
        <v>-0.70155483392749995</v>
      </c>
    </row>
    <row r="88" spans="1:6" ht="15" customHeight="1" x14ac:dyDescent="0.2">
      <c r="A88" s="147">
        <v>27</v>
      </c>
      <c r="B88" s="160" t="s">
        <v>223</v>
      </c>
      <c r="C88" s="157">
        <v>11895602</v>
      </c>
      <c r="D88" s="157">
        <v>12719370</v>
      </c>
      <c r="E88" s="157">
        <f t="shared" si="2"/>
        <v>823768</v>
      </c>
      <c r="F88" s="161">
        <f t="shared" si="3"/>
        <v>6.9249795008272802E-2</v>
      </c>
    </row>
    <row r="89" spans="1:6" ht="15" customHeight="1" x14ac:dyDescent="0.2">
      <c r="A89" s="147">
        <v>28</v>
      </c>
      <c r="B89" s="160" t="s">
        <v>224</v>
      </c>
      <c r="C89" s="157">
        <v>608002</v>
      </c>
      <c r="D89" s="157">
        <v>1168984</v>
      </c>
      <c r="E89" s="157">
        <f t="shared" si="2"/>
        <v>560982</v>
      </c>
      <c r="F89" s="161">
        <f t="shared" si="3"/>
        <v>0.92266472807655242</v>
      </c>
    </row>
    <row r="90" spans="1:6" ht="15.75" customHeight="1" x14ac:dyDescent="0.25">
      <c r="A90" s="147"/>
      <c r="B90" s="162" t="s">
        <v>225</v>
      </c>
      <c r="C90" s="158">
        <f>SUM(C62:C89)</f>
        <v>65534474</v>
      </c>
      <c r="D90" s="158">
        <f>SUM(D62:D89)</f>
        <v>62438392</v>
      </c>
      <c r="E90" s="158">
        <f t="shared" si="2"/>
        <v>-3096082</v>
      </c>
      <c r="F90" s="159">
        <f t="shared" si="3"/>
        <v>-4.7243562220397162E-2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694410</v>
      </c>
      <c r="D93" s="157">
        <v>600851</v>
      </c>
      <c r="E93" s="157">
        <f>+D93-C93</f>
        <v>-93559</v>
      </c>
      <c r="F93" s="161">
        <f>IF(C93=0,0,E93/C93)</f>
        <v>-0.1347316426894774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348525480</v>
      </c>
      <c r="D95" s="158">
        <f>+D93+D90+D59+D50+D47+D44+D41+D35+D30+D24+D18</f>
        <v>350127953</v>
      </c>
      <c r="E95" s="158">
        <f>+D95-C95</f>
        <v>1602473</v>
      </c>
      <c r="F95" s="159">
        <f>IF(C95=0,0,E95/C95)</f>
        <v>4.5978646955740507E-3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22278004</v>
      </c>
      <c r="D103" s="157">
        <v>21854054</v>
      </c>
      <c r="E103" s="157">
        <f t="shared" ref="E103:E121" si="4">D103-C103</f>
        <v>-423950</v>
      </c>
      <c r="F103" s="161">
        <f t="shared" ref="F103:F121" si="5">IF(C103=0,0,E103/C103)</f>
        <v>-1.9029981321486433E-2</v>
      </c>
    </row>
    <row r="104" spans="1:6" ht="15" customHeight="1" x14ac:dyDescent="0.2">
      <c r="A104" s="147">
        <v>2</v>
      </c>
      <c r="B104" s="169" t="s">
        <v>234</v>
      </c>
      <c r="C104" s="157">
        <v>2357845</v>
      </c>
      <c r="D104" s="157">
        <v>2072390</v>
      </c>
      <c r="E104" s="157">
        <f t="shared" si="4"/>
        <v>-285455</v>
      </c>
      <c r="F104" s="161">
        <f t="shared" si="5"/>
        <v>-0.1210660582014509</v>
      </c>
    </row>
    <row r="105" spans="1:6" ht="15" customHeight="1" x14ac:dyDescent="0.2">
      <c r="A105" s="147">
        <v>3</v>
      </c>
      <c r="B105" s="169" t="s">
        <v>235</v>
      </c>
      <c r="C105" s="157">
        <v>5513327</v>
      </c>
      <c r="D105" s="157">
        <v>5452007</v>
      </c>
      <c r="E105" s="157">
        <f t="shared" si="4"/>
        <v>-61320</v>
      </c>
      <c r="F105" s="161">
        <f t="shared" si="5"/>
        <v>-1.1122140950464212E-2</v>
      </c>
    </row>
    <row r="106" spans="1:6" ht="15" customHeight="1" x14ac:dyDescent="0.2">
      <c r="A106" s="147">
        <v>4</v>
      </c>
      <c r="B106" s="169" t="s">
        <v>236</v>
      </c>
      <c r="C106" s="157">
        <v>6679269</v>
      </c>
      <c r="D106" s="157">
        <v>6592924</v>
      </c>
      <c r="E106" s="157">
        <f t="shared" si="4"/>
        <v>-86345</v>
      </c>
      <c r="F106" s="161">
        <f t="shared" si="5"/>
        <v>-1.2927312854146165E-2</v>
      </c>
    </row>
    <row r="107" spans="1:6" ht="15" customHeight="1" x14ac:dyDescent="0.2">
      <c r="A107" s="147">
        <v>5</v>
      </c>
      <c r="B107" s="169" t="s">
        <v>237</v>
      </c>
      <c r="C107" s="157">
        <v>9845104</v>
      </c>
      <c r="D107" s="157">
        <v>10695890</v>
      </c>
      <c r="E107" s="157">
        <f t="shared" si="4"/>
        <v>850786</v>
      </c>
      <c r="F107" s="161">
        <f t="shared" si="5"/>
        <v>8.6417167355469282E-2</v>
      </c>
    </row>
    <row r="108" spans="1:6" ht="15" customHeight="1" x14ac:dyDescent="0.2">
      <c r="A108" s="147">
        <v>6</v>
      </c>
      <c r="B108" s="169" t="s">
        <v>238</v>
      </c>
      <c r="C108" s="157">
        <v>366347</v>
      </c>
      <c r="D108" s="157">
        <v>364288</v>
      </c>
      <c r="E108" s="157">
        <f t="shared" si="4"/>
        <v>-2059</v>
      </c>
      <c r="F108" s="161">
        <f t="shared" si="5"/>
        <v>-5.6203544726720839E-3</v>
      </c>
    </row>
    <row r="109" spans="1:6" ht="15" customHeight="1" x14ac:dyDescent="0.2">
      <c r="A109" s="147">
        <v>7</v>
      </c>
      <c r="B109" s="169" t="s">
        <v>239</v>
      </c>
      <c r="C109" s="157">
        <v>53979813</v>
      </c>
      <c r="D109" s="157">
        <v>53660271</v>
      </c>
      <c r="E109" s="157">
        <f t="shared" si="4"/>
        <v>-319542</v>
      </c>
      <c r="F109" s="161">
        <f t="shared" si="5"/>
        <v>-5.9196574097061059E-3</v>
      </c>
    </row>
    <row r="110" spans="1:6" ht="15" customHeight="1" x14ac:dyDescent="0.2">
      <c r="A110" s="147">
        <v>8</v>
      </c>
      <c r="B110" s="169" t="s">
        <v>240</v>
      </c>
      <c r="C110" s="157">
        <v>755967</v>
      </c>
      <c r="D110" s="157">
        <v>1740465</v>
      </c>
      <c r="E110" s="157">
        <f t="shared" si="4"/>
        <v>984498</v>
      </c>
      <c r="F110" s="161">
        <f t="shared" si="5"/>
        <v>1.3023028783002433</v>
      </c>
    </row>
    <row r="111" spans="1:6" ht="15" customHeight="1" x14ac:dyDescent="0.2">
      <c r="A111" s="147">
        <v>9</v>
      </c>
      <c r="B111" s="169" t="s">
        <v>241</v>
      </c>
      <c r="C111" s="157">
        <v>1624797</v>
      </c>
      <c r="D111" s="157">
        <v>2537020</v>
      </c>
      <c r="E111" s="157">
        <f t="shared" si="4"/>
        <v>912223</v>
      </c>
      <c r="F111" s="161">
        <f t="shared" si="5"/>
        <v>0.56143813657952346</v>
      </c>
    </row>
    <row r="112" spans="1:6" ht="15" customHeight="1" x14ac:dyDescent="0.2">
      <c r="A112" s="147">
        <v>10</v>
      </c>
      <c r="B112" s="169" t="s">
        <v>242</v>
      </c>
      <c r="C112" s="157">
        <v>4907800</v>
      </c>
      <c r="D112" s="157">
        <v>4613598</v>
      </c>
      <c r="E112" s="157">
        <f t="shared" si="4"/>
        <v>-294202</v>
      </c>
      <c r="F112" s="161">
        <f t="shared" si="5"/>
        <v>-5.9945800562370102E-2</v>
      </c>
    </row>
    <row r="113" spans="1:6" ht="15" customHeight="1" x14ac:dyDescent="0.2">
      <c r="A113" s="147">
        <v>11</v>
      </c>
      <c r="B113" s="169" t="s">
        <v>243</v>
      </c>
      <c r="C113" s="157">
        <v>4184889</v>
      </c>
      <c r="D113" s="157">
        <v>4202487</v>
      </c>
      <c r="E113" s="157">
        <f t="shared" si="4"/>
        <v>17598</v>
      </c>
      <c r="F113" s="161">
        <f t="shared" si="5"/>
        <v>4.2051294550464781E-3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3803595</v>
      </c>
      <c r="D115" s="157">
        <v>4018508</v>
      </c>
      <c r="E115" s="157">
        <f t="shared" si="4"/>
        <v>214913</v>
      </c>
      <c r="F115" s="161">
        <f t="shared" si="5"/>
        <v>5.6502598199860921E-2</v>
      </c>
    </row>
    <row r="116" spans="1:6" ht="15" customHeight="1" x14ac:dyDescent="0.2">
      <c r="A116" s="147">
        <v>14</v>
      </c>
      <c r="B116" s="169" t="s">
        <v>246</v>
      </c>
      <c r="C116" s="157">
        <v>2241726</v>
      </c>
      <c r="D116" s="157">
        <v>1540180</v>
      </c>
      <c r="E116" s="157">
        <f t="shared" si="4"/>
        <v>-701546</v>
      </c>
      <c r="F116" s="161">
        <f t="shared" si="5"/>
        <v>-0.31294904015923447</v>
      </c>
    </row>
    <row r="117" spans="1:6" ht="15" customHeight="1" x14ac:dyDescent="0.2">
      <c r="A117" s="147">
        <v>15</v>
      </c>
      <c r="B117" s="169" t="s">
        <v>203</v>
      </c>
      <c r="C117" s="157">
        <v>5918384</v>
      </c>
      <c r="D117" s="157">
        <v>6089115</v>
      </c>
      <c r="E117" s="157">
        <f t="shared" si="4"/>
        <v>170731</v>
      </c>
      <c r="F117" s="161">
        <f t="shared" si="5"/>
        <v>2.8847570553042857E-2</v>
      </c>
    </row>
    <row r="118" spans="1:6" ht="15" customHeight="1" x14ac:dyDescent="0.2">
      <c r="A118" s="147">
        <v>16</v>
      </c>
      <c r="B118" s="169" t="s">
        <v>247</v>
      </c>
      <c r="C118" s="157">
        <v>1883816</v>
      </c>
      <c r="D118" s="157">
        <v>2028759</v>
      </c>
      <c r="E118" s="157">
        <f t="shared" si="4"/>
        <v>144943</v>
      </c>
      <c r="F118" s="161">
        <f t="shared" si="5"/>
        <v>7.6941166228548866E-2</v>
      </c>
    </row>
    <row r="119" spans="1:6" ht="15" customHeight="1" x14ac:dyDescent="0.2">
      <c r="A119" s="147">
        <v>17</v>
      </c>
      <c r="B119" s="169" t="s">
        <v>248</v>
      </c>
      <c r="C119" s="157">
        <v>26537072</v>
      </c>
      <c r="D119" s="157">
        <v>29691993</v>
      </c>
      <c r="E119" s="157">
        <f t="shared" si="4"/>
        <v>3154921</v>
      </c>
      <c r="F119" s="161">
        <f t="shared" si="5"/>
        <v>0.11888730602984383</v>
      </c>
    </row>
    <row r="120" spans="1:6" ht="15" customHeight="1" x14ac:dyDescent="0.2">
      <c r="A120" s="147">
        <v>18</v>
      </c>
      <c r="B120" s="169" t="s">
        <v>249</v>
      </c>
      <c r="C120" s="157">
        <v>6032372</v>
      </c>
      <c r="D120" s="157">
        <v>7478875</v>
      </c>
      <c r="E120" s="157">
        <f t="shared" si="4"/>
        <v>1446503</v>
      </c>
      <c r="F120" s="161">
        <f t="shared" si="5"/>
        <v>0.23979008588992853</v>
      </c>
    </row>
    <row r="121" spans="1:6" ht="15.75" customHeight="1" x14ac:dyDescent="0.25">
      <c r="A121" s="147"/>
      <c r="B121" s="165" t="s">
        <v>250</v>
      </c>
      <c r="C121" s="158">
        <f>SUM(C103:C120)</f>
        <v>158910127</v>
      </c>
      <c r="D121" s="158">
        <f>SUM(D103:D120)</f>
        <v>164632824</v>
      </c>
      <c r="E121" s="158">
        <f t="shared" si="4"/>
        <v>5722697</v>
      </c>
      <c r="F121" s="159">
        <f t="shared" si="5"/>
        <v>3.6012160508813888E-2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475124</v>
      </c>
      <c r="D124" s="157">
        <v>387046</v>
      </c>
      <c r="E124" s="157">
        <f t="shared" ref="E124:E130" si="6">D124-C124</f>
        <v>-88078</v>
      </c>
      <c r="F124" s="161">
        <f t="shared" ref="F124:F130" si="7">IF(C124=0,0,E124/C124)</f>
        <v>-0.18537897475185425</v>
      </c>
    </row>
    <row r="125" spans="1:6" ht="15" customHeight="1" x14ac:dyDescent="0.2">
      <c r="A125" s="147">
        <v>2</v>
      </c>
      <c r="B125" s="169" t="s">
        <v>253</v>
      </c>
      <c r="C125" s="157">
        <v>116472</v>
      </c>
      <c r="D125" s="157">
        <v>122349</v>
      </c>
      <c r="E125" s="157">
        <f t="shared" si="6"/>
        <v>5877</v>
      </c>
      <c r="F125" s="161">
        <f t="shared" si="7"/>
        <v>5.045847929116011E-2</v>
      </c>
    </row>
    <row r="126" spans="1:6" ht="15" customHeight="1" x14ac:dyDescent="0.2">
      <c r="A126" s="147">
        <v>3</v>
      </c>
      <c r="B126" s="169" t="s">
        <v>254</v>
      </c>
      <c r="C126" s="157">
        <v>2363742</v>
      </c>
      <c r="D126" s="157">
        <v>2389086</v>
      </c>
      <c r="E126" s="157">
        <f t="shared" si="6"/>
        <v>25344</v>
      </c>
      <c r="F126" s="161">
        <f t="shared" si="7"/>
        <v>1.0721982348327356E-2</v>
      </c>
    </row>
    <row r="127" spans="1:6" ht="15" customHeight="1" x14ac:dyDescent="0.2">
      <c r="A127" s="147">
        <v>4</v>
      </c>
      <c r="B127" s="169" t="s">
        <v>255</v>
      </c>
      <c r="C127" s="157">
        <v>4782214</v>
      </c>
      <c r="D127" s="157">
        <v>4750469</v>
      </c>
      <c r="E127" s="157">
        <f t="shared" si="6"/>
        <v>-31745</v>
      </c>
      <c r="F127" s="161">
        <f t="shared" si="7"/>
        <v>-6.6381387365768239E-3</v>
      </c>
    </row>
    <row r="128" spans="1:6" ht="15" customHeight="1" x14ac:dyDescent="0.2">
      <c r="A128" s="147">
        <v>5</v>
      </c>
      <c r="B128" s="169" t="s">
        <v>256</v>
      </c>
      <c r="C128" s="157">
        <v>2673264</v>
      </c>
      <c r="D128" s="157">
        <v>2727088</v>
      </c>
      <c r="E128" s="157">
        <f t="shared" si="6"/>
        <v>53824</v>
      </c>
      <c r="F128" s="161">
        <f t="shared" si="7"/>
        <v>2.0134188018841388E-2</v>
      </c>
    </row>
    <row r="129" spans="1:6" ht="15" customHeight="1" x14ac:dyDescent="0.2">
      <c r="A129" s="147">
        <v>6</v>
      </c>
      <c r="B129" s="169" t="s">
        <v>257</v>
      </c>
      <c r="C129" s="157">
        <v>4773424</v>
      </c>
      <c r="D129" s="157">
        <v>5370515</v>
      </c>
      <c r="E129" s="157">
        <f t="shared" si="6"/>
        <v>597091</v>
      </c>
      <c r="F129" s="161">
        <f t="shared" si="7"/>
        <v>0.12508652070295873</v>
      </c>
    </row>
    <row r="130" spans="1:6" ht="15.75" customHeight="1" x14ac:dyDescent="0.25">
      <c r="A130" s="147"/>
      <c r="B130" s="165" t="s">
        <v>258</v>
      </c>
      <c r="C130" s="158">
        <f>SUM(C124:C129)</f>
        <v>15184240</v>
      </c>
      <c r="D130" s="158">
        <f>SUM(D124:D129)</f>
        <v>15746553</v>
      </c>
      <c r="E130" s="158">
        <f t="shared" si="6"/>
        <v>562313</v>
      </c>
      <c r="F130" s="159">
        <f t="shared" si="7"/>
        <v>3.7032673350790031E-2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22619858</v>
      </c>
      <c r="D133" s="157">
        <v>24566779</v>
      </c>
      <c r="E133" s="157">
        <f t="shared" ref="E133:E167" si="8">D133-C133</f>
        <v>1946921</v>
      </c>
      <c r="F133" s="161">
        <f t="shared" ref="F133:F167" si="9">IF(C133=0,0,E133/C133)</f>
        <v>8.6071318396428481E-2</v>
      </c>
    </row>
    <row r="134" spans="1:6" ht="15" customHeight="1" x14ac:dyDescent="0.2">
      <c r="A134" s="147">
        <v>2</v>
      </c>
      <c r="B134" s="169" t="s">
        <v>261</v>
      </c>
      <c r="C134" s="157">
        <v>1276538</v>
      </c>
      <c r="D134" s="157">
        <v>994955</v>
      </c>
      <c r="E134" s="157">
        <f t="shared" si="8"/>
        <v>-281583</v>
      </c>
      <c r="F134" s="161">
        <f t="shared" si="9"/>
        <v>-0.22058332771919051</v>
      </c>
    </row>
    <row r="135" spans="1:6" ht="15" customHeight="1" x14ac:dyDescent="0.2">
      <c r="A135" s="147">
        <v>3</v>
      </c>
      <c r="B135" s="169" t="s">
        <v>262</v>
      </c>
      <c r="C135" s="157">
        <v>495304</v>
      </c>
      <c r="D135" s="157">
        <v>496839</v>
      </c>
      <c r="E135" s="157">
        <f t="shared" si="8"/>
        <v>1535</v>
      </c>
      <c r="F135" s="161">
        <f t="shared" si="9"/>
        <v>3.0991068111705135E-3</v>
      </c>
    </row>
    <row r="136" spans="1:6" ht="15" customHeight="1" x14ac:dyDescent="0.2">
      <c r="A136" s="147">
        <v>4</v>
      </c>
      <c r="B136" s="169" t="s">
        <v>263</v>
      </c>
      <c r="C136" s="157">
        <v>110558</v>
      </c>
      <c r="D136" s="157">
        <v>118500</v>
      </c>
      <c r="E136" s="157">
        <f t="shared" si="8"/>
        <v>7942</v>
      </c>
      <c r="F136" s="161">
        <f t="shared" si="9"/>
        <v>7.183559760487708E-2</v>
      </c>
    </row>
    <row r="137" spans="1:6" ht="15" customHeight="1" x14ac:dyDescent="0.2">
      <c r="A137" s="147">
        <v>5</v>
      </c>
      <c r="B137" s="169" t="s">
        <v>264</v>
      </c>
      <c r="C137" s="157">
        <v>4112649</v>
      </c>
      <c r="D137" s="157">
        <v>3565288</v>
      </c>
      <c r="E137" s="157">
        <f t="shared" si="8"/>
        <v>-547361</v>
      </c>
      <c r="F137" s="161">
        <f t="shared" si="9"/>
        <v>-0.13309207763657924</v>
      </c>
    </row>
    <row r="138" spans="1:6" ht="15" customHeight="1" x14ac:dyDescent="0.2">
      <c r="A138" s="147">
        <v>6</v>
      </c>
      <c r="B138" s="169" t="s">
        <v>265</v>
      </c>
      <c r="C138" s="157">
        <v>3605420</v>
      </c>
      <c r="D138" s="157">
        <v>2935254</v>
      </c>
      <c r="E138" s="157">
        <f t="shared" si="8"/>
        <v>-670166</v>
      </c>
      <c r="F138" s="161">
        <f t="shared" si="9"/>
        <v>-0.18587737350988234</v>
      </c>
    </row>
    <row r="139" spans="1:6" ht="15" customHeight="1" x14ac:dyDescent="0.2">
      <c r="A139" s="147">
        <v>7</v>
      </c>
      <c r="B139" s="169" t="s">
        <v>266</v>
      </c>
      <c r="C139" s="157">
        <v>2706468</v>
      </c>
      <c r="D139" s="157">
        <v>2994087</v>
      </c>
      <c r="E139" s="157">
        <f t="shared" si="8"/>
        <v>287619</v>
      </c>
      <c r="F139" s="161">
        <f t="shared" si="9"/>
        <v>0.10627097752495133</v>
      </c>
    </row>
    <row r="140" spans="1:6" ht="15" customHeight="1" x14ac:dyDescent="0.2">
      <c r="A140" s="147">
        <v>8</v>
      </c>
      <c r="B140" s="169" t="s">
        <v>267</v>
      </c>
      <c r="C140" s="157">
        <v>1799336</v>
      </c>
      <c r="D140" s="157">
        <v>1516757</v>
      </c>
      <c r="E140" s="157">
        <f t="shared" si="8"/>
        <v>-282579</v>
      </c>
      <c r="F140" s="161">
        <f t="shared" si="9"/>
        <v>-0.15704626595588594</v>
      </c>
    </row>
    <row r="141" spans="1:6" ht="15" customHeight="1" x14ac:dyDescent="0.2">
      <c r="A141" s="147">
        <v>9</v>
      </c>
      <c r="B141" s="169" t="s">
        <v>268</v>
      </c>
      <c r="C141" s="157">
        <v>2434533</v>
      </c>
      <c r="D141" s="157">
        <v>2037069</v>
      </c>
      <c r="E141" s="157">
        <f t="shared" si="8"/>
        <v>-397464</v>
      </c>
      <c r="F141" s="161">
        <f t="shared" si="9"/>
        <v>-0.16326088001271702</v>
      </c>
    </row>
    <row r="142" spans="1:6" ht="15" customHeight="1" x14ac:dyDescent="0.2">
      <c r="A142" s="147">
        <v>10</v>
      </c>
      <c r="B142" s="169" t="s">
        <v>269</v>
      </c>
      <c r="C142" s="157">
        <v>15937194</v>
      </c>
      <c r="D142" s="157">
        <v>15223990</v>
      </c>
      <c r="E142" s="157">
        <f t="shared" si="8"/>
        <v>-713204</v>
      </c>
      <c r="F142" s="161">
        <f t="shared" si="9"/>
        <v>-4.4750914119511882E-2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1722750</v>
      </c>
      <c r="D144" s="157">
        <v>1496892</v>
      </c>
      <c r="E144" s="157">
        <f t="shared" si="8"/>
        <v>-225858</v>
      </c>
      <c r="F144" s="161">
        <f t="shared" si="9"/>
        <v>-0.13110317805833696</v>
      </c>
    </row>
    <row r="145" spans="1:6" ht="15" customHeight="1" x14ac:dyDescent="0.2">
      <c r="A145" s="147">
        <v>13</v>
      </c>
      <c r="B145" s="169" t="s">
        <v>272</v>
      </c>
      <c r="C145" s="157">
        <v>661</v>
      </c>
      <c r="D145" s="157">
        <v>4158</v>
      </c>
      <c r="E145" s="157">
        <f t="shared" si="8"/>
        <v>3497</v>
      </c>
      <c r="F145" s="161">
        <f t="shared" si="9"/>
        <v>5.2904689863842664</v>
      </c>
    </row>
    <row r="146" spans="1:6" ht="15" customHeight="1" x14ac:dyDescent="0.2">
      <c r="A146" s="147">
        <v>14</v>
      </c>
      <c r="B146" s="169" t="s">
        <v>273</v>
      </c>
      <c r="C146" s="157">
        <v>266106</v>
      </c>
      <c r="D146" s="157">
        <v>278878</v>
      </c>
      <c r="E146" s="157">
        <f t="shared" si="8"/>
        <v>12772</v>
      </c>
      <c r="F146" s="161">
        <f t="shared" si="9"/>
        <v>4.7995911403726332E-2</v>
      </c>
    </row>
    <row r="147" spans="1:6" ht="15" customHeight="1" x14ac:dyDescent="0.2">
      <c r="A147" s="147">
        <v>15</v>
      </c>
      <c r="B147" s="169" t="s">
        <v>274</v>
      </c>
      <c r="C147" s="157">
        <v>1815779</v>
      </c>
      <c r="D147" s="157">
        <v>1801640</v>
      </c>
      <c r="E147" s="157">
        <f t="shared" si="8"/>
        <v>-14139</v>
      </c>
      <c r="F147" s="161">
        <f t="shared" si="9"/>
        <v>-7.7867405669963139E-3</v>
      </c>
    </row>
    <row r="148" spans="1:6" ht="15" customHeight="1" x14ac:dyDescent="0.2">
      <c r="A148" s="147">
        <v>16</v>
      </c>
      <c r="B148" s="169" t="s">
        <v>275</v>
      </c>
      <c r="C148" s="157">
        <v>844200</v>
      </c>
      <c r="D148" s="157">
        <v>744589</v>
      </c>
      <c r="E148" s="157">
        <f t="shared" si="8"/>
        <v>-99611</v>
      </c>
      <c r="F148" s="161">
        <f t="shared" si="9"/>
        <v>-0.11799455105425255</v>
      </c>
    </row>
    <row r="149" spans="1:6" ht="15" customHeight="1" x14ac:dyDescent="0.2">
      <c r="A149" s="147">
        <v>17</v>
      </c>
      <c r="B149" s="169" t="s">
        <v>276</v>
      </c>
      <c r="C149" s="157">
        <v>718986</v>
      </c>
      <c r="D149" s="157">
        <v>755221</v>
      </c>
      <c r="E149" s="157">
        <f t="shared" si="8"/>
        <v>36235</v>
      </c>
      <c r="F149" s="161">
        <f t="shared" si="9"/>
        <v>5.0397365178181497E-2</v>
      </c>
    </row>
    <row r="150" spans="1:6" ht="15" customHeight="1" x14ac:dyDescent="0.2">
      <c r="A150" s="147">
        <v>18</v>
      </c>
      <c r="B150" s="169" t="s">
        <v>277</v>
      </c>
      <c r="C150" s="157">
        <v>2913142</v>
      </c>
      <c r="D150" s="157">
        <v>2713543</v>
      </c>
      <c r="E150" s="157">
        <f t="shared" si="8"/>
        <v>-199599</v>
      </c>
      <c r="F150" s="161">
        <f t="shared" si="9"/>
        <v>-6.8516742403906164E-2</v>
      </c>
    </row>
    <row r="151" spans="1:6" ht="15" customHeight="1" x14ac:dyDescent="0.2">
      <c r="A151" s="147">
        <v>19</v>
      </c>
      <c r="B151" s="169" t="s">
        <v>278</v>
      </c>
      <c r="C151" s="157">
        <v>315</v>
      </c>
      <c r="D151" s="157">
        <v>727</v>
      </c>
      <c r="E151" s="157">
        <f t="shared" si="8"/>
        <v>412</v>
      </c>
      <c r="F151" s="161">
        <f t="shared" si="9"/>
        <v>1.307936507936508</v>
      </c>
    </row>
    <row r="152" spans="1:6" ht="15" customHeight="1" x14ac:dyDescent="0.2">
      <c r="A152" s="147">
        <v>20</v>
      </c>
      <c r="B152" s="169" t="s">
        <v>279</v>
      </c>
      <c r="C152" s="157">
        <v>2418530</v>
      </c>
      <c r="D152" s="157">
        <v>2154621</v>
      </c>
      <c r="E152" s="157">
        <f t="shared" si="8"/>
        <v>-263909</v>
      </c>
      <c r="F152" s="161">
        <f t="shared" si="9"/>
        <v>-0.10911958917193502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1664378</v>
      </c>
      <c r="D154" s="157">
        <v>1736261</v>
      </c>
      <c r="E154" s="157">
        <f t="shared" si="8"/>
        <v>71883</v>
      </c>
      <c r="F154" s="161">
        <f t="shared" si="9"/>
        <v>4.3189107282119804E-2</v>
      </c>
    </row>
    <row r="155" spans="1:6" ht="15" customHeight="1" x14ac:dyDescent="0.2">
      <c r="A155" s="147">
        <v>23</v>
      </c>
      <c r="B155" s="169" t="s">
        <v>282</v>
      </c>
      <c r="C155" s="157">
        <v>571366</v>
      </c>
      <c r="D155" s="157">
        <v>468917</v>
      </c>
      <c r="E155" s="157">
        <f t="shared" si="8"/>
        <v>-102449</v>
      </c>
      <c r="F155" s="161">
        <f t="shared" si="9"/>
        <v>-0.17930538393954137</v>
      </c>
    </row>
    <row r="156" spans="1:6" ht="15" customHeight="1" x14ac:dyDescent="0.2">
      <c r="A156" s="147">
        <v>24</v>
      </c>
      <c r="B156" s="169" t="s">
        <v>283</v>
      </c>
      <c r="C156" s="157">
        <v>11431003</v>
      </c>
      <c r="D156" s="157">
        <v>10593872</v>
      </c>
      <c r="E156" s="157">
        <f t="shared" si="8"/>
        <v>-837131</v>
      </c>
      <c r="F156" s="161">
        <f t="shared" si="9"/>
        <v>-7.3233381182736104E-2</v>
      </c>
    </row>
    <row r="157" spans="1:6" ht="15" customHeight="1" x14ac:dyDescent="0.2">
      <c r="A157" s="147">
        <v>25</v>
      </c>
      <c r="B157" s="169" t="s">
        <v>284</v>
      </c>
      <c r="C157" s="157">
        <v>1854886</v>
      </c>
      <c r="D157" s="157">
        <v>1619012</v>
      </c>
      <c r="E157" s="157">
        <f t="shared" si="8"/>
        <v>-235874</v>
      </c>
      <c r="F157" s="161">
        <f t="shared" si="9"/>
        <v>-0.12716361005474192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1001909</v>
      </c>
      <c r="D160" s="157">
        <v>982511</v>
      </c>
      <c r="E160" s="157">
        <f t="shared" si="8"/>
        <v>-19398</v>
      </c>
      <c r="F160" s="161">
        <f t="shared" si="9"/>
        <v>-1.9361039775069394E-2</v>
      </c>
    </row>
    <row r="161" spans="1:6" ht="15" customHeight="1" x14ac:dyDescent="0.2">
      <c r="A161" s="147">
        <v>29</v>
      </c>
      <c r="B161" s="169" t="s">
        <v>288</v>
      </c>
      <c r="C161" s="157">
        <v>1134357</v>
      </c>
      <c r="D161" s="157">
        <v>1106596</v>
      </c>
      <c r="E161" s="157">
        <f t="shared" si="8"/>
        <v>-27761</v>
      </c>
      <c r="F161" s="161">
        <f t="shared" si="9"/>
        <v>-2.44728952172905E-2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5171847</v>
      </c>
      <c r="D163" s="157">
        <v>4075654</v>
      </c>
      <c r="E163" s="157">
        <f t="shared" si="8"/>
        <v>-1096193</v>
      </c>
      <c r="F163" s="161">
        <f t="shared" si="9"/>
        <v>-0.21195387257202311</v>
      </c>
    </row>
    <row r="164" spans="1:6" ht="15" customHeight="1" x14ac:dyDescent="0.2">
      <c r="A164" s="147">
        <v>32</v>
      </c>
      <c r="B164" s="169" t="s">
        <v>291</v>
      </c>
      <c r="C164" s="157">
        <v>4019022</v>
      </c>
      <c r="D164" s="157">
        <v>3828129</v>
      </c>
      <c r="E164" s="157">
        <f t="shared" si="8"/>
        <v>-190893</v>
      </c>
      <c r="F164" s="161">
        <f t="shared" si="9"/>
        <v>-4.7497376227350833E-2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8570782</v>
      </c>
      <c r="D166" s="157">
        <v>7600420</v>
      </c>
      <c r="E166" s="157">
        <f t="shared" si="8"/>
        <v>-970362</v>
      </c>
      <c r="F166" s="161">
        <f t="shared" si="9"/>
        <v>-0.1132174403689185</v>
      </c>
    </row>
    <row r="167" spans="1:6" ht="15.75" customHeight="1" x14ac:dyDescent="0.25">
      <c r="A167" s="147"/>
      <c r="B167" s="165" t="s">
        <v>294</v>
      </c>
      <c r="C167" s="158">
        <f>SUM(C133:C166)</f>
        <v>101217877</v>
      </c>
      <c r="D167" s="158">
        <f>SUM(D133:D166)</f>
        <v>96411159</v>
      </c>
      <c r="E167" s="158">
        <f t="shared" si="8"/>
        <v>-4806718</v>
      </c>
      <c r="F167" s="159">
        <f t="shared" si="9"/>
        <v>-4.7488824528497078E-2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22883586</v>
      </c>
      <c r="D170" s="157">
        <v>20272594</v>
      </c>
      <c r="E170" s="157">
        <f t="shared" ref="E170:E183" si="10">D170-C170</f>
        <v>-2610992</v>
      </c>
      <c r="F170" s="161">
        <f t="shared" ref="F170:F183" si="11">IF(C170=0,0,E170/C170)</f>
        <v>-0.11409890040835383</v>
      </c>
    </row>
    <row r="171" spans="1:6" ht="15" customHeight="1" x14ac:dyDescent="0.2">
      <c r="A171" s="147">
        <v>2</v>
      </c>
      <c r="B171" s="169" t="s">
        <v>297</v>
      </c>
      <c r="C171" s="157">
        <v>3256042</v>
      </c>
      <c r="D171" s="157">
        <v>2873975</v>
      </c>
      <c r="E171" s="157">
        <f t="shared" si="10"/>
        <v>-382067</v>
      </c>
      <c r="F171" s="161">
        <f t="shared" si="11"/>
        <v>-0.11734093110592554</v>
      </c>
    </row>
    <row r="172" spans="1:6" ht="15" customHeight="1" x14ac:dyDescent="0.2">
      <c r="A172" s="147">
        <v>3</v>
      </c>
      <c r="B172" s="169" t="s">
        <v>298</v>
      </c>
      <c r="C172" s="157">
        <v>3525891</v>
      </c>
      <c r="D172" s="157">
        <v>3260733</v>
      </c>
      <c r="E172" s="157">
        <f t="shared" si="10"/>
        <v>-265158</v>
      </c>
      <c r="F172" s="161">
        <f t="shared" si="11"/>
        <v>-7.520311887122999E-2</v>
      </c>
    </row>
    <row r="173" spans="1:6" ht="15" customHeight="1" x14ac:dyDescent="0.2">
      <c r="A173" s="147">
        <v>4</v>
      </c>
      <c r="B173" s="169" t="s">
        <v>299</v>
      </c>
      <c r="C173" s="157">
        <v>2777800</v>
      </c>
      <c r="D173" s="157">
        <v>2346724</v>
      </c>
      <c r="E173" s="157">
        <f t="shared" si="10"/>
        <v>-431076</v>
      </c>
      <c r="F173" s="161">
        <f t="shared" si="11"/>
        <v>-0.15518611851105191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6812166</v>
      </c>
      <c r="D175" s="157">
        <v>5986189</v>
      </c>
      <c r="E175" s="157">
        <f t="shared" si="10"/>
        <v>-825977</v>
      </c>
      <c r="F175" s="161">
        <f t="shared" si="11"/>
        <v>-0.1212502748758618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2269030</v>
      </c>
      <c r="D177" s="157">
        <v>3397794</v>
      </c>
      <c r="E177" s="157">
        <f t="shared" si="10"/>
        <v>1128764</v>
      </c>
      <c r="F177" s="161">
        <f t="shared" si="11"/>
        <v>0.49746543677254157</v>
      </c>
    </row>
    <row r="178" spans="1:6" ht="15" customHeight="1" x14ac:dyDescent="0.2">
      <c r="A178" s="147">
        <v>9</v>
      </c>
      <c r="B178" s="169" t="s">
        <v>304</v>
      </c>
      <c r="C178" s="157">
        <v>2845858</v>
      </c>
      <c r="D178" s="157">
        <v>2628328</v>
      </c>
      <c r="E178" s="157">
        <f t="shared" si="10"/>
        <v>-217530</v>
      </c>
      <c r="F178" s="161">
        <f t="shared" si="11"/>
        <v>-7.6437404817808904E-2</v>
      </c>
    </row>
    <row r="179" spans="1:6" ht="15" customHeight="1" x14ac:dyDescent="0.2">
      <c r="A179" s="147">
        <v>10</v>
      </c>
      <c r="B179" s="169" t="s">
        <v>305</v>
      </c>
      <c r="C179" s="157">
        <v>2009327</v>
      </c>
      <c r="D179" s="157">
        <v>2000875</v>
      </c>
      <c r="E179" s="157">
        <f t="shared" si="10"/>
        <v>-8452</v>
      </c>
      <c r="F179" s="161">
        <f t="shared" si="11"/>
        <v>-4.206383530405952E-3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1194912</v>
      </c>
      <c r="D182" s="157">
        <v>1211298</v>
      </c>
      <c r="E182" s="157">
        <f t="shared" si="10"/>
        <v>16386</v>
      </c>
      <c r="F182" s="161">
        <f t="shared" si="11"/>
        <v>1.371314372941271E-2</v>
      </c>
    </row>
    <row r="183" spans="1:6" ht="15.75" customHeight="1" x14ac:dyDescent="0.25">
      <c r="A183" s="147"/>
      <c r="B183" s="165" t="s">
        <v>309</v>
      </c>
      <c r="C183" s="158">
        <f>SUM(C170:C182)</f>
        <v>47574612</v>
      </c>
      <c r="D183" s="158">
        <f>SUM(D170:D182)</f>
        <v>43978510</v>
      </c>
      <c r="E183" s="158">
        <f t="shared" si="10"/>
        <v>-3596102</v>
      </c>
      <c r="F183" s="159">
        <f t="shared" si="11"/>
        <v>-7.5588677423160069E-2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25638624</v>
      </c>
      <c r="D186" s="157">
        <v>29358907</v>
      </c>
      <c r="E186" s="157">
        <f>D186-C186</f>
        <v>3720283</v>
      </c>
      <c r="F186" s="161">
        <f>IF(C186=0,0,E186/C186)</f>
        <v>0.14510462807988447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348525480</v>
      </c>
      <c r="D188" s="158">
        <f>+D186+D183+D167+D130+D121</f>
        <v>350127953</v>
      </c>
      <c r="E188" s="158">
        <f>D188-C188</f>
        <v>1602473</v>
      </c>
      <c r="F188" s="159">
        <f>IF(C188=0,0,E188/C188)</f>
        <v>4.5978646955740507E-3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FILING&amp;RLAWRENCE AND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298930165</v>
      </c>
      <c r="D11" s="183">
        <v>318785233</v>
      </c>
      <c r="E11" s="76">
        <v>325022845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23162066</v>
      </c>
      <c r="D12" s="185">
        <v>30278971</v>
      </c>
      <c r="E12" s="185">
        <v>31431251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322092231</v>
      </c>
      <c r="D13" s="76">
        <f>+D11+D12</f>
        <v>349064204</v>
      </c>
      <c r="E13" s="76">
        <f>+E11+E12</f>
        <v>356454096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312019235</v>
      </c>
      <c r="D14" s="185">
        <v>348525480</v>
      </c>
      <c r="E14" s="185">
        <v>350127953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10072996</v>
      </c>
      <c r="D15" s="76">
        <f>+D13-D14</f>
        <v>538724</v>
      </c>
      <c r="E15" s="76">
        <f>+E13-E14</f>
        <v>6326143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6163570</v>
      </c>
      <c r="D16" s="185">
        <v>8788601</v>
      </c>
      <c r="E16" s="185">
        <v>9936909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16236566</v>
      </c>
      <c r="D17" s="76">
        <f>D15+D16</f>
        <v>9327325</v>
      </c>
      <c r="E17" s="76">
        <f>E15+E16</f>
        <v>16263052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3.0686421898146441E-2</v>
      </c>
      <c r="D20" s="189">
        <f>IF(+D27=0,0,+D24/+D27)</f>
        <v>1.5054346157772887E-3</v>
      </c>
      <c r="E20" s="189">
        <f>IF(+E27=0,0,+E24/+E27)</f>
        <v>1.726609800368871E-2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1.8776728335716451E-2</v>
      </c>
      <c r="D21" s="189">
        <f>IF(D27=0,0,+D26/D27)</f>
        <v>2.4559262571659874E-2</v>
      </c>
      <c r="E21" s="189">
        <f>IF(E27=0,0,+E26/E27)</f>
        <v>2.7121050638238241E-2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4.9463150233862892E-2</v>
      </c>
      <c r="D22" s="189">
        <f>IF(D27=0,0,+D28/D27)</f>
        <v>2.6064697187437164E-2</v>
      </c>
      <c r="E22" s="189">
        <f>IF(E27=0,0,+E28/E27)</f>
        <v>4.438714864192695E-2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10072996</v>
      </c>
      <c r="D24" s="76">
        <f>+D15</f>
        <v>538724</v>
      </c>
      <c r="E24" s="76">
        <f>+E15</f>
        <v>6326143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322092231</v>
      </c>
      <c r="D25" s="76">
        <f>+D13</f>
        <v>349064204</v>
      </c>
      <c r="E25" s="76">
        <f>+E13</f>
        <v>356454096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6163570</v>
      </c>
      <c r="D26" s="76">
        <f>+D16</f>
        <v>8788601</v>
      </c>
      <c r="E26" s="76">
        <f>+E16</f>
        <v>9936909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328255801</v>
      </c>
      <c r="D27" s="76">
        <f>+D25+D26</f>
        <v>357852805</v>
      </c>
      <c r="E27" s="76">
        <f>+E25+E26</f>
        <v>366391005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16236566</v>
      </c>
      <c r="D28" s="76">
        <f>+D17</f>
        <v>9327325</v>
      </c>
      <c r="E28" s="76">
        <f>+E17</f>
        <v>16263052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171018998</v>
      </c>
      <c r="D31" s="76">
        <v>138729444</v>
      </c>
      <c r="E31" s="76">
        <v>103558083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199164500</v>
      </c>
      <c r="D32" s="76">
        <v>168209447</v>
      </c>
      <c r="E32" s="76">
        <v>128481722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29168878</v>
      </c>
      <c r="D33" s="76">
        <f>+D32-C32</f>
        <v>-30955053</v>
      </c>
      <c r="E33" s="76">
        <f>+E32-D32</f>
        <v>-39727725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1.1715</v>
      </c>
      <c r="D34" s="193">
        <f>IF(C32=0,0,+D33/C32)</f>
        <v>-0.15542455106206177</v>
      </c>
      <c r="E34" s="193">
        <f>IF(D32=0,0,+E33/D32)</f>
        <v>-0.23618010586527877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0.42626646955043285</v>
      </c>
      <c r="D38" s="195">
        <f>IF((D40+D41)=0,0,+D39/(D40+D41))</f>
        <v>0.42620378483921323</v>
      </c>
      <c r="E38" s="195">
        <f>IF((E40+E41)=0,0,+E39/(E40+E41))</f>
        <v>0.40238733677981314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312019235</v>
      </c>
      <c r="D39" s="76">
        <v>348525480</v>
      </c>
      <c r="E39" s="196">
        <v>350127953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709327864</v>
      </c>
      <c r="D40" s="76">
        <v>788136573</v>
      </c>
      <c r="E40" s="196">
        <v>839272510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22653789</v>
      </c>
      <c r="D41" s="76">
        <v>29607174</v>
      </c>
      <c r="E41" s="196">
        <v>30854159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1.4709914142931235</v>
      </c>
      <c r="D43" s="197">
        <f>IF(D38=0,0,IF((D46-D47)=0,0,((+D44-D45)/(D46-D47)/D38)))</f>
        <v>1.4378206564479499</v>
      </c>
      <c r="E43" s="197">
        <f>IF(E38=0,0,IF((E46-E47)=0,0,((+E44-E45)/(E46-E47)/E38)))</f>
        <v>1.5004345040792995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153692715</v>
      </c>
      <c r="D44" s="76">
        <v>162923359</v>
      </c>
      <c r="E44" s="196">
        <v>164001136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0</v>
      </c>
      <c r="D45" s="76">
        <v>0</v>
      </c>
      <c r="E45" s="196">
        <v>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257213323</v>
      </c>
      <c r="D46" s="76">
        <v>277266300</v>
      </c>
      <c r="E46" s="196">
        <v>281621514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12102791</v>
      </c>
      <c r="D47" s="76">
        <v>11401198</v>
      </c>
      <c r="E47" s="76">
        <v>9986651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0.81971893363083614</v>
      </c>
      <c r="D49" s="198">
        <f>IF(D38=0,0,IF(D51=0,0,(D50/D51)/D38))</f>
        <v>0.80388640085453378</v>
      </c>
      <c r="E49" s="198">
        <f>IF(E38=0,0,IF(E51=0,0,(E50/E51)/E38))</f>
        <v>0.82799771124059662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102576018</v>
      </c>
      <c r="D50" s="199">
        <v>116101572</v>
      </c>
      <c r="E50" s="199">
        <v>122185330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293561905</v>
      </c>
      <c r="D51" s="199">
        <v>338864533</v>
      </c>
      <c r="E51" s="199">
        <v>366729313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0.68475922026264757</v>
      </c>
      <c r="D53" s="198">
        <f>IF(D38=0,0,IF(D55=0,0,(D54/D55)/D38))</f>
        <v>0.60228883054911153</v>
      </c>
      <c r="E53" s="198">
        <f>IF(E38=0,0,IF(E55=0,0,(E54/E55)/E38))</f>
        <v>0.65039784780611298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35393428</v>
      </c>
      <c r="D54" s="199">
        <v>34584718</v>
      </c>
      <c r="E54" s="199">
        <v>39897342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121256092</v>
      </c>
      <c r="D55" s="199">
        <v>134729323</v>
      </c>
      <c r="E55" s="199">
        <v>152447590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6701685.5588403251</v>
      </c>
      <c r="D57" s="88">
        <f>+D60*D38</f>
        <v>7521802.9426503954</v>
      </c>
      <c r="E57" s="88">
        <f>+E60*E38</f>
        <v>6054581.8233453119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3684045</v>
      </c>
      <c r="D58" s="199">
        <v>2681674</v>
      </c>
      <c r="E58" s="199">
        <v>2248341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12037777</v>
      </c>
      <c r="D59" s="199">
        <v>14966698</v>
      </c>
      <c r="E59" s="199">
        <v>12798310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15721822</v>
      </c>
      <c r="D60" s="76">
        <v>17648372</v>
      </c>
      <c r="E60" s="201">
        <v>15046651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2.1478437247114991E-2</v>
      </c>
      <c r="D62" s="202">
        <f>IF(D63=0,0,+D57/D63)</f>
        <v>2.15817877724475E-2</v>
      </c>
      <c r="E62" s="202">
        <f>IF(E63=0,0,+E57/E63)</f>
        <v>1.7292483423468081E-2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312019235</v>
      </c>
      <c r="D63" s="199">
        <v>348525480</v>
      </c>
      <c r="E63" s="199">
        <v>350127953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3.9285429810266432</v>
      </c>
      <c r="D67" s="203">
        <f>IF(D69=0,0,D68/D69)</f>
        <v>3.4132915898438809</v>
      </c>
      <c r="E67" s="203">
        <f>IF(E69=0,0,E68/E69)</f>
        <v>2.8012284813684039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193504592</v>
      </c>
      <c r="D68" s="204">
        <v>188452894</v>
      </c>
      <c r="E68" s="204">
        <v>175461033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49256071</v>
      </c>
      <c r="D69" s="204">
        <v>55211484</v>
      </c>
      <c r="E69" s="204">
        <v>62637173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164.41435230013667</v>
      </c>
      <c r="D71" s="203">
        <f>IF((D77/365)=0,0,+D74/(D77/365))</f>
        <v>151.61333189808579</v>
      </c>
      <c r="E71" s="203">
        <f>IF((E77/365)=0,0,+E74/(E77/365))</f>
        <v>134.95448378805148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301175</v>
      </c>
      <c r="D72" s="183">
        <v>6917676</v>
      </c>
      <c r="E72" s="183">
        <v>13348901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130950161</v>
      </c>
      <c r="D73" s="206">
        <v>128450331</v>
      </c>
      <c r="E73" s="206">
        <v>107365636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131251336</v>
      </c>
      <c r="D74" s="204">
        <f>+D72+D73</f>
        <v>135368007</v>
      </c>
      <c r="E74" s="204">
        <f>+E72+E73</f>
        <v>120714537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312019235</v>
      </c>
      <c r="D75" s="204">
        <f>+D14</f>
        <v>348525480</v>
      </c>
      <c r="E75" s="204">
        <f>+E14</f>
        <v>350127953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20641159</v>
      </c>
      <c r="D76" s="204">
        <v>22635125</v>
      </c>
      <c r="E76" s="204">
        <v>23641535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291378076</v>
      </c>
      <c r="D77" s="204">
        <f>+D75-D76</f>
        <v>325890355</v>
      </c>
      <c r="E77" s="204">
        <f>+E75-E76</f>
        <v>326486418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36.572277725802614</v>
      </c>
      <c r="D79" s="203">
        <f>IF((D84/365)=0,0,+D83/(D84/365))</f>
        <v>35.636048831659657</v>
      </c>
      <c r="E79" s="203">
        <f>IF((E84/365)=0,0,+E83/(E84/365))</f>
        <v>35.05391156427789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33778305</v>
      </c>
      <c r="D80" s="212">
        <v>36289187</v>
      </c>
      <c r="E80" s="212">
        <v>37925784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3826094</v>
      </c>
      <c r="D82" s="212">
        <v>5165225</v>
      </c>
      <c r="E82" s="212">
        <v>6711203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29952211</v>
      </c>
      <c r="D83" s="212">
        <f>+D80+D81-D82</f>
        <v>31123962</v>
      </c>
      <c r="E83" s="212">
        <f>+E80+E81-E82</f>
        <v>31214581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298930165</v>
      </c>
      <c r="D84" s="204">
        <f>+D11</f>
        <v>318785233</v>
      </c>
      <c r="E84" s="204">
        <f>+E11</f>
        <v>325022845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61.701505349359223</v>
      </c>
      <c r="D86" s="203">
        <f>IF((D90/365)=0,0,+D87/(D90/365))</f>
        <v>61.837336855213159</v>
      </c>
      <c r="E86" s="203">
        <f>IF((E90/365)=0,0,+E87/(E90/365))</f>
        <v>70.026092616814466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49256071</v>
      </c>
      <c r="D87" s="76">
        <f>+D69</f>
        <v>55211484</v>
      </c>
      <c r="E87" s="76">
        <f>+E69</f>
        <v>62637173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312019235</v>
      </c>
      <c r="D88" s="76">
        <f t="shared" si="0"/>
        <v>348525480</v>
      </c>
      <c r="E88" s="76">
        <f t="shared" si="0"/>
        <v>350127953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20641159</v>
      </c>
      <c r="D89" s="201">
        <f t="shared" si="0"/>
        <v>22635125</v>
      </c>
      <c r="E89" s="201">
        <f t="shared" si="0"/>
        <v>23641535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291378076</v>
      </c>
      <c r="D90" s="76">
        <f>+D88-D89</f>
        <v>325890355</v>
      </c>
      <c r="E90" s="76">
        <f>+E88-E89</f>
        <v>326486418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50.428514187937878</v>
      </c>
      <c r="D94" s="214">
        <f>IF(D96=0,0,(D95/D96)*100)</f>
        <v>42.49577617097691</v>
      </c>
      <c r="E94" s="214">
        <f>IF(E96=0,0,(E95/E96)*100)</f>
        <v>34.655636374286367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199164500</v>
      </c>
      <c r="D95" s="76">
        <f>+D32</f>
        <v>168209447</v>
      </c>
      <c r="E95" s="76">
        <f>+E32</f>
        <v>128481722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394944216</v>
      </c>
      <c r="D96" s="76">
        <v>395826273</v>
      </c>
      <c r="E96" s="76">
        <v>370738314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27.176812757335266</v>
      </c>
      <c r="D98" s="214">
        <f>IF(D104=0,0,(D101/D104)*100)</f>
        <v>19.513180295547809</v>
      </c>
      <c r="E98" s="214">
        <f>IF(E104=0,0,(E101/E104)*100)</f>
        <v>24.100477291625495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16236566</v>
      </c>
      <c r="D99" s="76">
        <f>+D28</f>
        <v>9327325</v>
      </c>
      <c r="E99" s="76">
        <f>+E28</f>
        <v>16263052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20641159</v>
      </c>
      <c r="D100" s="201">
        <f>+D76</f>
        <v>22635125</v>
      </c>
      <c r="E100" s="201">
        <f>+E76</f>
        <v>23641535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36877725</v>
      </c>
      <c r="D101" s="76">
        <f>+D99+D100</f>
        <v>31962450</v>
      </c>
      <c r="E101" s="76">
        <f>+E99+E100</f>
        <v>39904587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49256071</v>
      </c>
      <c r="D102" s="204">
        <f>+D69</f>
        <v>55211484</v>
      </c>
      <c r="E102" s="204">
        <f>+E69</f>
        <v>62637173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86439477</v>
      </c>
      <c r="D103" s="216">
        <v>108587802</v>
      </c>
      <c r="E103" s="216">
        <v>102938747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135695548</v>
      </c>
      <c r="D104" s="204">
        <f>+D102+D103</f>
        <v>163799286</v>
      </c>
      <c r="E104" s="204">
        <f>+E102+E103</f>
        <v>165575920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30.265501870094759</v>
      </c>
      <c r="D106" s="214">
        <f>IF(D109=0,0,(D107/D109)*100)</f>
        <v>39.230087145844429</v>
      </c>
      <c r="E106" s="214">
        <f>IF(E109=0,0,(E107/E109)*100)</f>
        <v>44.481262804804011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86439477</v>
      </c>
      <c r="D107" s="204">
        <f>+D103</f>
        <v>108587802</v>
      </c>
      <c r="E107" s="204">
        <f>+E103</f>
        <v>102938747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199164500</v>
      </c>
      <c r="D108" s="204">
        <f>+D32</f>
        <v>168209447</v>
      </c>
      <c r="E108" s="204">
        <f>+E32</f>
        <v>128481722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285603977</v>
      </c>
      <c r="D109" s="204">
        <f>+D107+D108</f>
        <v>276797249</v>
      </c>
      <c r="E109" s="204">
        <f>+E107+E108</f>
        <v>231420469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6.8660153251720502</v>
      </c>
      <c r="D111" s="214">
        <f>IF((+D113+D115)=0,0,((+D112+D113+D114)/(+D113+D115)))</f>
        <v>5.2579058130789056</v>
      </c>
      <c r="E111" s="214">
        <f>IF((+E113+E115)=0,0,((+E112+E113+E114)/(+E113+E115)))</f>
        <v>6.2767508366203568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16236566</v>
      </c>
      <c r="D112" s="76">
        <f>+D17</f>
        <v>9327325</v>
      </c>
      <c r="E112" s="76">
        <f>+E17</f>
        <v>16263052</v>
      </c>
    </row>
    <row r="113" spans="1:8" ht="24" customHeight="1" x14ac:dyDescent="0.2">
      <c r="A113" s="85">
        <v>17</v>
      </c>
      <c r="B113" s="75" t="s">
        <v>88</v>
      </c>
      <c r="C113" s="218">
        <v>2705025</v>
      </c>
      <c r="D113" s="76">
        <v>3542721</v>
      </c>
      <c r="E113" s="76">
        <v>3553690</v>
      </c>
    </row>
    <row r="114" spans="1:8" ht="24" customHeight="1" x14ac:dyDescent="0.2">
      <c r="A114" s="85">
        <v>18</v>
      </c>
      <c r="B114" s="75" t="s">
        <v>374</v>
      </c>
      <c r="C114" s="218">
        <v>20641159</v>
      </c>
      <c r="D114" s="76">
        <v>22635125</v>
      </c>
      <c r="E114" s="76">
        <v>23641535</v>
      </c>
    </row>
    <row r="115" spans="1:8" ht="24" customHeight="1" x14ac:dyDescent="0.2">
      <c r="A115" s="85">
        <v>19</v>
      </c>
      <c r="B115" s="75" t="s">
        <v>104</v>
      </c>
      <c r="C115" s="218">
        <v>3060000</v>
      </c>
      <c r="D115" s="76">
        <v>3210000</v>
      </c>
      <c r="E115" s="76">
        <v>3370000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11.885565098355185</v>
      </c>
      <c r="D119" s="214">
        <f>IF(+D121=0,0,(+D120)/(+D121))</f>
        <v>11.734643877601735</v>
      </c>
      <c r="E119" s="214">
        <f>IF(+E121=0,0,(+E120)/(+E121))</f>
        <v>12.006722490735056</v>
      </c>
    </row>
    <row r="120" spans="1:8" ht="24" customHeight="1" x14ac:dyDescent="0.2">
      <c r="A120" s="85">
        <v>21</v>
      </c>
      <c r="B120" s="75" t="s">
        <v>378</v>
      </c>
      <c r="C120" s="218">
        <v>245331839</v>
      </c>
      <c r="D120" s="218">
        <v>265615131</v>
      </c>
      <c r="E120" s="218">
        <v>283857350</v>
      </c>
    </row>
    <row r="121" spans="1:8" ht="24" customHeight="1" x14ac:dyDescent="0.2">
      <c r="A121" s="85">
        <v>22</v>
      </c>
      <c r="B121" s="75" t="s">
        <v>374</v>
      </c>
      <c r="C121" s="218">
        <v>20641159</v>
      </c>
      <c r="D121" s="218">
        <v>22635125</v>
      </c>
      <c r="E121" s="218">
        <v>23641535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67153</v>
      </c>
      <c r="D124" s="218">
        <v>66332</v>
      </c>
      <c r="E124" s="218">
        <v>62219</v>
      </c>
    </row>
    <row r="125" spans="1:8" ht="24" customHeight="1" x14ac:dyDescent="0.2">
      <c r="A125" s="85">
        <v>2</v>
      </c>
      <c r="B125" s="75" t="s">
        <v>381</v>
      </c>
      <c r="C125" s="218">
        <v>14649</v>
      </c>
      <c r="D125" s="218">
        <v>14150</v>
      </c>
      <c r="E125" s="218">
        <v>14070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4.584135435865929</v>
      </c>
      <c r="D126" s="219">
        <f>IF(D125=0,0,D124/D125)</f>
        <v>4.687773851590106</v>
      </c>
      <c r="E126" s="219">
        <f>IF(E125=0,0,E124/E125)</f>
        <v>4.4221037668798866</v>
      </c>
    </row>
    <row r="127" spans="1:8" ht="24" customHeight="1" x14ac:dyDescent="0.2">
      <c r="A127" s="85">
        <v>4</v>
      </c>
      <c r="B127" s="75" t="s">
        <v>383</v>
      </c>
      <c r="C127" s="218">
        <v>256</v>
      </c>
      <c r="D127" s="218">
        <v>256</v>
      </c>
      <c r="E127" s="218">
        <v>248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256</v>
      </c>
      <c r="E128" s="218">
        <v>248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256</v>
      </c>
      <c r="D129" s="218">
        <v>308</v>
      </c>
      <c r="E129" s="218">
        <v>308</v>
      </c>
    </row>
    <row r="130" spans="1:7" ht="24" customHeight="1" x14ac:dyDescent="0.2">
      <c r="A130" s="85">
        <v>7</v>
      </c>
      <c r="B130" s="75" t="s">
        <v>386</v>
      </c>
      <c r="C130" s="193">
        <v>0.71860000000000002</v>
      </c>
      <c r="D130" s="193">
        <v>0.70979999999999999</v>
      </c>
      <c r="E130" s="193">
        <v>0.68730000000000002</v>
      </c>
    </row>
    <row r="131" spans="1:7" ht="24" customHeight="1" x14ac:dyDescent="0.2">
      <c r="A131" s="85">
        <v>8</v>
      </c>
      <c r="B131" s="75" t="s">
        <v>387</v>
      </c>
      <c r="C131" s="193">
        <v>0.71860000000000002</v>
      </c>
      <c r="D131" s="193">
        <v>0.70979999999999999</v>
      </c>
      <c r="E131" s="193">
        <v>0.68730000000000002</v>
      </c>
    </row>
    <row r="132" spans="1:7" ht="24" customHeight="1" x14ac:dyDescent="0.2">
      <c r="A132" s="85">
        <v>9</v>
      </c>
      <c r="B132" s="75" t="s">
        <v>388</v>
      </c>
      <c r="C132" s="219">
        <v>1921</v>
      </c>
      <c r="D132" s="219">
        <v>1849.1</v>
      </c>
      <c r="E132" s="219">
        <v>1825.7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0.34555322642732106</v>
      </c>
      <c r="D135" s="227">
        <f>IF(D149=0,0,D143/D149)</f>
        <v>0.33733379608054304</v>
      </c>
      <c r="E135" s="227">
        <f>IF(E149=0,0,E143/E149)</f>
        <v>0.32365514152250741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0.4138592601516638</v>
      </c>
      <c r="D136" s="227">
        <f>IF(D149=0,0,D144/D149)</f>
        <v>0.42995661489242931</v>
      </c>
      <c r="E136" s="227">
        <f>IF(E149=0,0,E144/E149)</f>
        <v>0.43696094966818344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0.17094505679816352</v>
      </c>
      <c r="D137" s="227">
        <f>IF(D149=0,0,D145/D149)</f>
        <v>0.17094667043195316</v>
      </c>
      <c r="E137" s="227">
        <f>IF(E149=0,0,E145/E149)</f>
        <v>0.18164253944168862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2.9291926983993398E-3</v>
      </c>
      <c r="D138" s="227">
        <f>IF(D149=0,0,D146/D149)</f>
        <v>4.5803279833329094E-3</v>
      </c>
      <c r="E138" s="227">
        <f>IF(E149=0,0,E146/E149)</f>
        <v>5.5088686271876101E-3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1.7062336916740663E-2</v>
      </c>
      <c r="D139" s="227">
        <f>IF(D149=0,0,D147/D149)</f>
        <v>1.4466018188449174E-2</v>
      </c>
      <c r="E139" s="227">
        <f>IF(E149=0,0,E147/E149)</f>
        <v>1.1899175632477227E-2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4.9650927007711627E-2</v>
      </c>
      <c r="D140" s="227">
        <f>IF(D149=0,0,D148/D149)</f>
        <v>4.271657242329243E-2</v>
      </c>
      <c r="E140" s="227">
        <f>IF(E149=0,0,E148/E149)</f>
        <v>4.0333325107955696E-2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245110532</v>
      </c>
      <c r="D143" s="229">
        <f>+D46-D147</f>
        <v>265865102</v>
      </c>
      <c r="E143" s="229">
        <f>+E46-E147</f>
        <v>271634863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293561905</v>
      </c>
      <c r="D144" s="229">
        <f>+D51</f>
        <v>338864533</v>
      </c>
      <c r="E144" s="229">
        <f>+E51</f>
        <v>366729313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121256092</v>
      </c>
      <c r="D145" s="229">
        <f>+D55</f>
        <v>134729323</v>
      </c>
      <c r="E145" s="229">
        <f>+E55</f>
        <v>152447590</v>
      </c>
    </row>
    <row r="146" spans="1:7" ht="20.100000000000001" customHeight="1" x14ac:dyDescent="0.2">
      <c r="A146" s="226">
        <v>11</v>
      </c>
      <c r="B146" s="224" t="s">
        <v>400</v>
      </c>
      <c r="C146" s="228">
        <v>2077758</v>
      </c>
      <c r="D146" s="229">
        <v>3609924</v>
      </c>
      <c r="E146" s="229">
        <v>4623442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12102791</v>
      </c>
      <c r="D147" s="229">
        <f>+D47</f>
        <v>11401198</v>
      </c>
      <c r="E147" s="229">
        <f>+E47</f>
        <v>9986651</v>
      </c>
    </row>
    <row r="148" spans="1:7" ht="20.100000000000001" customHeight="1" x14ac:dyDescent="0.2">
      <c r="A148" s="226">
        <v>13</v>
      </c>
      <c r="B148" s="224" t="s">
        <v>402</v>
      </c>
      <c r="C148" s="230">
        <v>35218786</v>
      </c>
      <c r="D148" s="229">
        <v>33666493</v>
      </c>
      <c r="E148" s="229">
        <v>33850651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709327864</v>
      </c>
      <c r="D149" s="229">
        <f>SUM(D143:D148)</f>
        <v>788136573</v>
      </c>
      <c r="E149" s="229">
        <f>SUM(E143:E148)</f>
        <v>839272510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0.5066308914022789</v>
      </c>
      <c r="D152" s="227">
        <f>IF(D166=0,0,D160/D166)</f>
        <v>0.50097063673365072</v>
      </c>
      <c r="E152" s="227">
        <f>IF(E166=0,0,E160/E166)</f>
        <v>0.48546358914800081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0.33813040153423146</v>
      </c>
      <c r="D153" s="227">
        <f>IF(D166=0,0,D161/D166)</f>
        <v>0.35699901357065561</v>
      </c>
      <c r="E153" s="227">
        <f>IF(E166=0,0,E161/E166)</f>
        <v>0.36168364616104182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0.11667048745558549</v>
      </c>
      <c r="D154" s="227">
        <f>IF(D166=0,0,D162/D166)</f>
        <v>0.10634403994649871</v>
      </c>
      <c r="E154" s="227">
        <f>IF(E166=0,0,E162/E166)</f>
        <v>0.11810105293895816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1.7994786794621699E-3</v>
      </c>
      <c r="D155" s="227">
        <f>IF(D166=0,0,D163/D166)</f>
        <v>3.1470159286990191E-3</v>
      </c>
      <c r="E155" s="227">
        <f>IF(E166=0,0,E163/E166)</f>
        <v>5.5124423130425027E-3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0</v>
      </c>
      <c r="D156" s="227">
        <f>IF(D166=0,0,D164/D166)</f>
        <v>0</v>
      </c>
      <c r="E156" s="227">
        <f>IF(E166=0,0,E164/E166)</f>
        <v>0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3.6768740928441984E-2</v>
      </c>
      <c r="D157" s="227">
        <f>IF(D166=0,0,D165/D166)</f>
        <v>3.2539293820495932E-2</v>
      </c>
      <c r="E157" s="227">
        <f>IF(E166=0,0,E165/E166)</f>
        <v>2.9239269438956755E-2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1.0000000000000002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153692715</v>
      </c>
      <c r="D160" s="229">
        <f>+D44-D164</f>
        <v>162923359</v>
      </c>
      <c r="E160" s="229">
        <f>+E44-E164</f>
        <v>164001136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102576018</v>
      </c>
      <c r="D161" s="229">
        <f>+D50</f>
        <v>116101572</v>
      </c>
      <c r="E161" s="229">
        <f>+E50</f>
        <v>122185330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35393428</v>
      </c>
      <c r="D162" s="229">
        <f>+D54</f>
        <v>34584718</v>
      </c>
      <c r="E162" s="229">
        <f>+E54</f>
        <v>39897342</v>
      </c>
    </row>
    <row r="163" spans="1:6" ht="20.100000000000001" customHeight="1" x14ac:dyDescent="0.2">
      <c r="A163" s="226">
        <v>11</v>
      </c>
      <c r="B163" s="224" t="s">
        <v>415</v>
      </c>
      <c r="C163" s="228">
        <v>545894</v>
      </c>
      <c r="D163" s="229">
        <v>1023458</v>
      </c>
      <c r="E163" s="229">
        <v>1862234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0</v>
      </c>
      <c r="D164" s="229">
        <f>+D45</f>
        <v>0</v>
      </c>
      <c r="E164" s="229">
        <f>+E45</f>
        <v>0</v>
      </c>
    </row>
    <row r="165" spans="1:6" ht="20.100000000000001" customHeight="1" x14ac:dyDescent="0.2">
      <c r="A165" s="226">
        <v>13</v>
      </c>
      <c r="B165" s="224" t="s">
        <v>417</v>
      </c>
      <c r="C165" s="230">
        <v>11154250</v>
      </c>
      <c r="D165" s="229">
        <v>10582279</v>
      </c>
      <c r="E165" s="229">
        <v>9877720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303362305</v>
      </c>
      <c r="D166" s="229">
        <f>SUM(D160:D165)</f>
        <v>325215386</v>
      </c>
      <c r="E166" s="229">
        <f>SUM(E160:E165)</f>
        <v>337823762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3952</v>
      </c>
      <c r="D169" s="218">
        <v>3795</v>
      </c>
      <c r="E169" s="218">
        <v>3521</v>
      </c>
    </row>
    <row r="170" spans="1:6" ht="20.100000000000001" customHeight="1" x14ac:dyDescent="0.2">
      <c r="A170" s="226">
        <v>2</v>
      </c>
      <c r="B170" s="224" t="s">
        <v>420</v>
      </c>
      <c r="C170" s="218">
        <v>6658</v>
      </c>
      <c r="D170" s="218">
        <v>6362</v>
      </c>
      <c r="E170" s="218">
        <v>6527</v>
      </c>
    </row>
    <row r="171" spans="1:6" ht="20.100000000000001" customHeight="1" x14ac:dyDescent="0.2">
      <c r="A171" s="226">
        <v>3</v>
      </c>
      <c r="B171" s="224" t="s">
        <v>421</v>
      </c>
      <c r="C171" s="218">
        <v>3096</v>
      </c>
      <c r="D171" s="218">
        <v>3138</v>
      </c>
      <c r="E171" s="218">
        <v>3210</v>
      </c>
    </row>
    <row r="172" spans="1:6" ht="20.100000000000001" customHeight="1" x14ac:dyDescent="0.2">
      <c r="A172" s="226">
        <v>4</v>
      </c>
      <c r="B172" s="224" t="s">
        <v>422</v>
      </c>
      <c r="C172" s="218">
        <v>3069</v>
      </c>
      <c r="D172" s="218">
        <v>3032</v>
      </c>
      <c r="E172" s="218">
        <v>3087</v>
      </c>
    </row>
    <row r="173" spans="1:6" ht="20.100000000000001" customHeight="1" x14ac:dyDescent="0.2">
      <c r="A173" s="226">
        <v>5</v>
      </c>
      <c r="B173" s="224" t="s">
        <v>423</v>
      </c>
      <c r="C173" s="218">
        <v>27</v>
      </c>
      <c r="D173" s="218">
        <v>106</v>
      </c>
      <c r="E173" s="218">
        <v>123</v>
      </c>
    </row>
    <row r="174" spans="1:6" ht="20.100000000000001" customHeight="1" x14ac:dyDescent="0.2">
      <c r="A174" s="226">
        <v>6</v>
      </c>
      <c r="B174" s="224" t="s">
        <v>424</v>
      </c>
      <c r="C174" s="218">
        <v>943</v>
      </c>
      <c r="D174" s="218">
        <v>855</v>
      </c>
      <c r="E174" s="218">
        <v>812</v>
      </c>
    </row>
    <row r="175" spans="1:6" ht="20.100000000000001" customHeight="1" x14ac:dyDescent="0.2">
      <c r="A175" s="226">
        <v>7</v>
      </c>
      <c r="B175" s="224" t="s">
        <v>425</v>
      </c>
      <c r="C175" s="218">
        <v>67</v>
      </c>
      <c r="D175" s="218">
        <v>89</v>
      </c>
      <c r="E175" s="218">
        <v>59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14649</v>
      </c>
      <c r="D176" s="218">
        <f>+D169+D170+D171+D174</f>
        <v>14150</v>
      </c>
      <c r="E176" s="218">
        <f>+E169+E170+E171+E174</f>
        <v>14070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1.1398999999999999</v>
      </c>
      <c r="D179" s="231">
        <v>1.1585000000000001</v>
      </c>
      <c r="E179" s="231">
        <v>1.1632</v>
      </c>
    </row>
    <row r="180" spans="1:6" ht="20.100000000000001" customHeight="1" x14ac:dyDescent="0.2">
      <c r="A180" s="226">
        <v>2</v>
      </c>
      <c r="B180" s="224" t="s">
        <v>420</v>
      </c>
      <c r="C180" s="231">
        <v>1.4094</v>
      </c>
      <c r="D180" s="231">
        <v>1.4456</v>
      </c>
      <c r="E180" s="231">
        <v>1.4419999999999999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0.97289700000000001</v>
      </c>
      <c r="D181" s="231">
        <v>1.048522</v>
      </c>
      <c r="E181" s="231">
        <v>1.1052649999999999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0.97389999999999999</v>
      </c>
      <c r="D182" s="231">
        <v>1.0516000000000001</v>
      </c>
      <c r="E182" s="231">
        <v>1.1125</v>
      </c>
    </row>
    <row r="183" spans="1:6" ht="20.100000000000001" customHeight="1" x14ac:dyDescent="0.2">
      <c r="A183" s="226">
        <v>5</v>
      </c>
      <c r="B183" s="224" t="s">
        <v>423</v>
      </c>
      <c r="C183" s="231">
        <v>0.85899999999999999</v>
      </c>
      <c r="D183" s="231">
        <v>0.96050000000000002</v>
      </c>
      <c r="E183" s="231">
        <v>0.92369999999999997</v>
      </c>
    </row>
    <row r="184" spans="1:6" ht="20.100000000000001" customHeight="1" x14ac:dyDescent="0.2">
      <c r="A184" s="226">
        <v>6</v>
      </c>
      <c r="B184" s="224" t="s">
        <v>424</v>
      </c>
      <c r="C184" s="231">
        <v>0.88970000000000005</v>
      </c>
      <c r="D184" s="231">
        <v>0.99039999999999995</v>
      </c>
      <c r="E184" s="231">
        <v>0.94130000000000003</v>
      </c>
    </row>
    <row r="185" spans="1:6" ht="20.100000000000001" customHeight="1" x14ac:dyDescent="0.2">
      <c r="A185" s="226">
        <v>7</v>
      </c>
      <c r="B185" s="224" t="s">
        <v>425</v>
      </c>
      <c r="C185" s="231">
        <v>1.0244</v>
      </c>
      <c r="D185" s="231">
        <v>1.0591999999999999</v>
      </c>
      <c r="E185" s="231">
        <v>1.0829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1.210987</v>
      </c>
      <c r="D186" s="231">
        <v>1.253036</v>
      </c>
      <c r="E186" s="231">
        <v>1.26651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7004</v>
      </c>
      <c r="D189" s="218">
        <v>6903</v>
      </c>
      <c r="E189" s="218">
        <v>6573</v>
      </c>
    </row>
    <row r="190" spans="1:6" ht="20.100000000000001" customHeight="1" x14ac:dyDescent="0.2">
      <c r="A190" s="226">
        <v>2</v>
      </c>
      <c r="B190" s="224" t="s">
        <v>433</v>
      </c>
      <c r="C190" s="218">
        <v>77556</v>
      </c>
      <c r="D190" s="218">
        <v>75467</v>
      </c>
      <c r="E190" s="218">
        <v>75641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84560</v>
      </c>
      <c r="D191" s="218">
        <f>+D190+D189</f>
        <v>82370</v>
      </c>
      <c r="E191" s="218">
        <f>+E190+E189</f>
        <v>82214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FILING&amp;RLAWRENCE AND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2</v>
      </c>
      <c r="B4" s="802"/>
      <c r="C4" s="802"/>
      <c r="D4" s="802"/>
      <c r="E4" s="802"/>
      <c r="F4" s="802"/>
    </row>
    <row r="5" spans="1:7" ht="20.25" customHeight="1" x14ac:dyDescent="0.3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803"/>
      <c r="D9" s="804"/>
      <c r="E9" s="804"/>
      <c r="F9" s="805"/>
      <c r="G9" s="245"/>
    </row>
    <row r="10" spans="1:7" ht="20.25" customHeight="1" x14ac:dyDescent="0.3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">
      <c r="A11" s="795"/>
      <c r="B11" s="787"/>
      <c r="C11" s="791"/>
      <c r="D11" s="792"/>
      <c r="E11" s="792"/>
      <c r="F11" s="793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686409</v>
      </c>
      <c r="D14" s="258">
        <v>640251</v>
      </c>
      <c r="E14" s="258">
        <f t="shared" ref="E14:E24" si="0">D14-C14</f>
        <v>-46158</v>
      </c>
      <c r="F14" s="259">
        <f t="shared" ref="F14:F24" si="1">IF(C14=0,0,E14/C14)</f>
        <v>-6.7245621779434717E-2</v>
      </c>
    </row>
    <row r="15" spans="1:7" ht="20.25" customHeight="1" x14ac:dyDescent="0.3">
      <c r="A15" s="256">
        <v>2</v>
      </c>
      <c r="B15" s="257" t="s">
        <v>442</v>
      </c>
      <c r="C15" s="258">
        <v>238761</v>
      </c>
      <c r="D15" s="258">
        <v>292061</v>
      </c>
      <c r="E15" s="258">
        <f t="shared" si="0"/>
        <v>53300</v>
      </c>
      <c r="F15" s="259">
        <f t="shared" si="1"/>
        <v>0.22323578808934458</v>
      </c>
    </row>
    <row r="16" spans="1:7" ht="20.25" customHeight="1" x14ac:dyDescent="0.3">
      <c r="A16" s="256">
        <v>3</v>
      </c>
      <c r="B16" s="257" t="s">
        <v>443</v>
      </c>
      <c r="C16" s="258">
        <v>382514</v>
      </c>
      <c r="D16" s="258">
        <v>395797</v>
      </c>
      <c r="E16" s="258">
        <f t="shared" si="0"/>
        <v>13283</v>
      </c>
      <c r="F16" s="259">
        <f t="shared" si="1"/>
        <v>3.4725526385962345E-2</v>
      </c>
    </row>
    <row r="17" spans="1:6" ht="20.25" customHeight="1" x14ac:dyDescent="0.3">
      <c r="A17" s="256">
        <v>4</v>
      </c>
      <c r="B17" s="257" t="s">
        <v>444</v>
      </c>
      <c r="C17" s="258">
        <v>91458</v>
      </c>
      <c r="D17" s="258">
        <v>115306</v>
      </c>
      <c r="E17" s="258">
        <f t="shared" si="0"/>
        <v>23848</v>
      </c>
      <c r="F17" s="259">
        <f t="shared" si="1"/>
        <v>0.26075356994467408</v>
      </c>
    </row>
    <row r="18" spans="1:6" ht="20.25" customHeight="1" x14ac:dyDescent="0.3">
      <c r="A18" s="256">
        <v>5</v>
      </c>
      <c r="B18" s="257" t="s">
        <v>381</v>
      </c>
      <c r="C18" s="260">
        <v>26</v>
      </c>
      <c r="D18" s="260">
        <v>24</v>
      </c>
      <c r="E18" s="260">
        <f t="shared" si="0"/>
        <v>-2</v>
      </c>
      <c r="F18" s="259">
        <f t="shared" si="1"/>
        <v>-7.6923076923076927E-2</v>
      </c>
    </row>
    <row r="19" spans="1:6" ht="20.25" customHeight="1" x14ac:dyDescent="0.3">
      <c r="A19" s="256">
        <v>6</v>
      </c>
      <c r="B19" s="257" t="s">
        <v>380</v>
      </c>
      <c r="C19" s="260">
        <v>188</v>
      </c>
      <c r="D19" s="260">
        <v>150</v>
      </c>
      <c r="E19" s="260">
        <f t="shared" si="0"/>
        <v>-38</v>
      </c>
      <c r="F19" s="259">
        <f t="shared" si="1"/>
        <v>-0.20212765957446807</v>
      </c>
    </row>
    <row r="20" spans="1:6" ht="20.25" customHeight="1" x14ac:dyDescent="0.3">
      <c r="A20" s="256">
        <v>7</v>
      </c>
      <c r="B20" s="257" t="s">
        <v>445</v>
      </c>
      <c r="C20" s="260">
        <v>249</v>
      </c>
      <c r="D20" s="260">
        <v>148</v>
      </c>
      <c r="E20" s="260">
        <f t="shared" si="0"/>
        <v>-101</v>
      </c>
      <c r="F20" s="259">
        <f t="shared" si="1"/>
        <v>-0.40562248995983935</v>
      </c>
    </row>
    <row r="21" spans="1:6" ht="20.25" customHeight="1" x14ac:dyDescent="0.3">
      <c r="A21" s="256">
        <v>8</v>
      </c>
      <c r="B21" s="257" t="s">
        <v>446</v>
      </c>
      <c r="C21" s="260">
        <v>36</v>
      </c>
      <c r="D21" s="260">
        <v>31</v>
      </c>
      <c r="E21" s="260">
        <f t="shared" si="0"/>
        <v>-5</v>
      </c>
      <c r="F21" s="259">
        <f t="shared" si="1"/>
        <v>-0.1388888888888889</v>
      </c>
    </row>
    <row r="22" spans="1:6" ht="20.25" customHeight="1" x14ac:dyDescent="0.3">
      <c r="A22" s="256">
        <v>9</v>
      </c>
      <c r="B22" s="257" t="s">
        <v>447</v>
      </c>
      <c r="C22" s="260">
        <v>14</v>
      </c>
      <c r="D22" s="260">
        <v>14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1068923</v>
      </c>
      <c r="D23" s="263">
        <f>+D14+D16</f>
        <v>1036048</v>
      </c>
      <c r="E23" s="263">
        <f t="shared" si="0"/>
        <v>-32875</v>
      </c>
      <c r="F23" s="264">
        <f t="shared" si="1"/>
        <v>-3.0755255523550341E-2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330219</v>
      </c>
      <c r="D24" s="263">
        <f>+D15+D17</f>
        <v>407367</v>
      </c>
      <c r="E24" s="263">
        <f t="shared" si="0"/>
        <v>77148</v>
      </c>
      <c r="F24" s="264">
        <f t="shared" si="1"/>
        <v>0.23362677495843667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8397001</v>
      </c>
      <c r="D40" s="258">
        <v>10623599</v>
      </c>
      <c r="E40" s="258">
        <f t="shared" ref="E40:E50" si="4">D40-C40</f>
        <v>2226598</v>
      </c>
      <c r="F40" s="259">
        <f t="shared" ref="F40:F50" si="5">IF(C40=0,0,E40/C40)</f>
        <v>0.26516586100204109</v>
      </c>
    </row>
    <row r="41" spans="1:6" ht="20.25" customHeight="1" x14ac:dyDescent="0.3">
      <c r="A41" s="256">
        <v>2</v>
      </c>
      <c r="B41" s="257" t="s">
        <v>442</v>
      </c>
      <c r="C41" s="258">
        <v>3602114</v>
      </c>
      <c r="D41" s="258">
        <v>4607454</v>
      </c>
      <c r="E41" s="258">
        <f t="shared" si="4"/>
        <v>1005340</v>
      </c>
      <c r="F41" s="259">
        <f t="shared" si="5"/>
        <v>0.27909721902194101</v>
      </c>
    </row>
    <row r="42" spans="1:6" ht="20.25" customHeight="1" x14ac:dyDescent="0.3">
      <c r="A42" s="256">
        <v>3</v>
      </c>
      <c r="B42" s="257" t="s">
        <v>443</v>
      </c>
      <c r="C42" s="258">
        <v>10651532</v>
      </c>
      <c r="D42" s="258">
        <v>13607072</v>
      </c>
      <c r="E42" s="258">
        <f t="shared" si="4"/>
        <v>2955540</v>
      </c>
      <c r="F42" s="259">
        <f t="shared" si="5"/>
        <v>0.27747557816096313</v>
      </c>
    </row>
    <row r="43" spans="1:6" ht="20.25" customHeight="1" x14ac:dyDescent="0.3">
      <c r="A43" s="256">
        <v>4</v>
      </c>
      <c r="B43" s="257" t="s">
        <v>444</v>
      </c>
      <c r="C43" s="258">
        <v>2397049</v>
      </c>
      <c r="D43" s="258">
        <v>3113888</v>
      </c>
      <c r="E43" s="258">
        <f t="shared" si="4"/>
        <v>716839</v>
      </c>
      <c r="F43" s="259">
        <f t="shared" si="5"/>
        <v>0.29905062433016599</v>
      </c>
    </row>
    <row r="44" spans="1:6" ht="20.25" customHeight="1" x14ac:dyDescent="0.3">
      <c r="A44" s="256">
        <v>5</v>
      </c>
      <c r="B44" s="257" t="s">
        <v>381</v>
      </c>
      <c r="C44" s="260">
        <v>297</v>
      </c>
      <c r="D44" s="260">
        <v>371</v>
      </c>
      <c r="E44" s="260">
        <f t="shared" si="4"/>
        <v>74</v>
      </c>
      <c r="F44" s="259">
        <f t="shared" si="5"/>
        <v>0.24915824915824916</v>
      </c>
    </row>
    <row r="45" spans="1:6" ht="20.25" customHeight="1" x14ac:dyDescent="0.3">
      <c r="A45" s="256">
        <v>6</v>
      </c>
      <c r="B45" s="257" t="s">
        <v>380</v>
      </c>
      <c r="C45" s="260">
        <v>1502</v>
      </c>
      <c r="D45" s="260">
        <v>1791</v>
      </c>
      <c r="E45" s="260">
        <f t="shared" si="4"/>
        <v>289</v>
      </c>
      <c r="F45" s="259">
        <f t="shared" si="5"/>
        <v>0.19241011984021306</v>
      </c>
    </row>
    <row r="46" spans="1:6" ht="20.25" customHeight="1" x14ac:dyDescent="0.3">
      <c r="A46" s="256">
        <v>7</v>
      </c>
      <c r="B46" s="257" t="s">
        <v>445</v>
      </c>
      <c r="C46" s="260">
        <v>8274</v>
      </c>
      <c r="D46" s="260">
        <v>9782</v>
      </c>
      <c r="E46" s="260">
        <f t="shared" si="4"/>
        <v>1508</v>
      </c>
      <c r="F46" s="259">
        <f t="shared" si="5"/>
        <v>0.18225767464346146</v>
      </c>
    </row>
    <row r="47" spans="1:6" ht="20.25" customHeight="1" x14ac:dyDescent="0.3">
      <c r="A47" s="256">
        <v>8</v>
      </c>
      <c r="B47" s="257" t="s">
        <v>446</v>
      </c>
      <c r="C47" s="260">
        <v>536</v>
      </c>
      <c r="D47" s="260">
        <v>769</v>
      </c>
      <c r="E47" s="260">
        <f t="shared" si="4"/>
        <v>233</v>
      </c>
      <c r="F47" s="259">
        <f t="shared" si="5"/>
        <v>0.43470149253731344</v>
      </c>
    </row>
    <row r="48" spans="1:6" ht="20.25" customHeight="1" x14ac:dyDescent="0.3">
      <c r="A48" s="256">
        <v>9</v>
      </c>
      <c r="B48" s="257" t="s">
        <v>447</v>
      </c>
      <c r="C48" s="260">
        <v>184</v>
      </c>
      <c r="D48" s="260">
        <v>176</v>
      </c>
      <c r="E48" s="260">
        <f t="shared" si="4"/>
        <v>-8</v>
      </c>
      <c r="F48" s="259">
        <f t="shared" si="5"/>
        <v>-4.3478260869565216E-2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19048533</v>
      </c>
      <c r="D49" s="263">
        <f>+D40+D42</f>
        <v>24230671</v>
      </c>
      <c r="E49" s="263">
        <f t="shared" si="4"/>
        <v>5182138</v>
      </c>
      <c r="F49" s="264">
        <f t="shared" si="5"/>
        <v>0.27204919139967365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5999163</v>
      </c>
      <c r="D50" s="263">
        <f>+D41+D43</f>
        <v>7721342</v>
      </c>
      <c r="E50" s="263">
        <f t="shared" si="4"/>
        <v>1722179</v>
      </c>
      <c r="F50" s="264">
        <f t="shared" si="5"/>
        <v>0.28706987958153496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356802</v>
      </c>
      <c r="D79" s="258">
        <v>805986</v>
      </c>
      <c r="E79" s="258">
        <f t="shared" ref="E79:E89" si="10">D79-C79</f>
        <v>449184</v>
      </c>
      <c r="F79" s="259">
        <f t="shared" ref="F79:F89" si="11">IF(C79=0,0,E79/C79)</f>
        <v>1.2589167101081271</v>
      </c>
    </row>
    <row r="80" spans="1:6" ht="20.25" customHeight="1" x14ac:dyDescent="0.3">
      <c r="A80" s="256">
        <v>2</v>
      </c>
      <c r="B80" s="257" t="s">
        <v>442</v>
      </c>
      <c r="C80" s="258">
        <v>134613</v>
      </c>
      <c r="D80" s="258">
        <v>358281</v>
      </c>
      <c r="E80" s="258">
        <f t="shared" si="10"/>
        <v>223668</v>
      </c>
      <c r="F80" s="259">
        <f t="shared" si="11"/>
        <v>1.6615631476900448</v>
      </c>
    </row>
    <row r="81" spans="1:6" ht="20.25" customHeight="1" x14ac:dyDescent="0.3">
      <c r="A81" s="256">
        <v>3</v>
      </c>
      <c r="B81" s="257" t="s">
        <v>443</v>
      </c>
      <c r="C81" s="258">
        <v>238215</v>
      </c>
      <c r="D81" s="258">
        <v>408662</v>
      </c>
      <c r="E81" s="258">
        <f t="shared" si="10"/>
        <v>170447</v>
      </c>
      <c r="F81" s="259">
        <f t="shared" si="11"/>
        <v>0.71551749470016579</v>
      </c>
    </row>
    <row r="82" spans="1:6" ht="20.25" customHeight="1" x14ac:dyDescent="0.3">
      <c r="A82" s="256">
        <v>4</v>
      </c>
      <c r="B82" s="257" t="s">
        <v>444</v>
      </c>
      <c r="C82" s="258">
        <v>35001</v>
      </c>
      <c r="D82" s="258">
        <v>86325</v>
      </c>
      <c r="E82" s="258">
        <f t="shared" si="10"/>
        <v>51324</v>
      </c>
      <c r="F82" s="259">
        <f t="shared" si="11"/>
        <v>1.4663581040541698</v>
      </c>
    </row>
    <row r="83" spans="1:6" ht="20.25" customHeight="1" x14ac:dyDescent="0.3">
      <c r="A83" s="256">
        <v>5</v>
      </c>
      <c r="B83" s="257" t="s">
        <v>381</v>
      </c>
      <c r="C83" s="260">
        <v>20</v>
      </c>
      <c r="D83" s="260">
        <v>28</v>
      </c>
      <c r="E83" s="260">
        <f t="shared" si="10"/>
        <v>8</v>
      </c>
      <c r="F83" s="259">
        <f t="shared" si="11"/>
        <v>0.4</v>
      </c>
    </row>
    <row r="84" spans="1:6" ht="20.25" customHeight="1" x14ac:dyDescent="0.3">
      <c r="A84" s="256">
        <v>6</v>
      </c>
      <c r="B84" s="257" t="s">
        <v>380</v>
      </c>
      <c r="C84" s="260">
        <v>82</v>
      </c>
      <c r="D84" s="260">
        <v>163</v>
      </c>
      <c r="E84" s="260">
        <f t="shared" si="10"/>
        <v>81</v>
      </c>
      <c r="F84" s="259">
        <f t="shared" si="11"/>
        <v>0.98780487804878048</v>
      </c>
    </row>
    <row r="85" spans="1:6" ht="20.25" customHeight="1" x14ac:dyDescent="0.3">
      <c r="A85" s="256">
        <v>7</v>
      </c>
      <c r="B85" s="257" t="s">
        <v>445</v>
      </c>
      <c r="C85" s="260">
        <v>63</v>
      </c>
      <c r="D85" s="260">
        <v>197</v>
      </c>
      <c r="E85" s="260">
        <f t="shared" si="10"/>
        <v>134</v>
      </c>
      <c r="F85" s="259">
        <f t="shared" si="11"/>
        <v>2.126984126984127</v>
      </c>
    </row>
    <row r="86" spans="1:6" ht="20.25" customHeight="1" x14ac:dyDescent="0.3">
      <c r="A86" s="256">
        <v>8</v>
      </c>
      <c r="B86" s="257" t="s">
        <v>446</v>
      </c>
      <c r="C86" s="260">
        <v>71</v>
      </c>
      <c r="D86" s="260">
        <v>69</v>
      </c>
      <c r="E86" s="260">
        <f t="shared" si="10"/>
        <v>-2</v>
      </c>
      <c r="F86" s="259">
        <f t="shared" si="11"/>
        <v>-2.8169014084507043E-2</v>
      </c>
    </row>
    <row r="87" spans="1:6" ht="20.25" customHeight="1" x14ac:dyDescent="0.3">
      <c r="A87" s="256">
        <v>9</v>
      </c>
      <c r="B87" s="257" t="s">
        <v>447</v>
      </c>
      <c r="C87" s="260">
        <v>16</v>
      </c>
      <c r="D87" s="260">
        <v>17</v>
      </c>
      <c r="E87" s="260">
        <f t="shared" si="10"/>
        <v>1</v>
      </c>
      <c r="F87" s="259">
        <f t="shared" si="11"/>
        <v>6.25E-2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595017</v>
      </c>
      <c r="D88" s="263">
        <f>+D79+D81</f>
        <v>1214648</v>
      </c>
      <c r="E88" s="263">
        <f t="shared" si="10"/>
        <v>619631</v>
      </c>
      <c r="F88" s="264">
        <f t="shared" si="11"/>
        <v>1.0413668853158817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169614</v>
      </c>
      <c r="D89" s="263">
        <f>+D80+D82</f>
        <v>444606</v>
      </c>
      <c r="E89" s="263">
        <f t="shared" si="10"/>
        <v>274992</v>
      </c>
      <c r="F89" s="264">
        <f t="shared" si="11"/>
        <v>1.6212812621599633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12514016</v>
      </c>
      <c r="D92" s="258">
        <v>13343581</v>
      </c>
      <c r="E92" s="258">
        <f t="shared" ref="E92:E102" si="12">D92-C92</f>
        <v>829565</v>
      </c>
      <c r="F92" s="259">
        <f t="shared" ref="F92:F102" si="13">IF(C92=0,0,E92/C92)</f>
        <v>6.6290869373988329E-2</v>
      </c>
    </row>
    <row r="93" spans="1:6" ht="20.25" customHeight="1" x14ac:dyDescent="0.3">
      <c r="A93" s="256">
        <v>2</v>
      </c>
      <c r="B93" s="257" t="s">
        <v>442</v>
      </c>
      <c r="C93" s="258">
        <v>4899079</v>
      </c>
      <c r="D93" s="258">
        <v>5470170</v>
      </c>
      <c r="E93" s="258">
        <f t="shared" si="12"/>
        <v>571091</v>
      </c>
      <c r="F93" s="259">
        <f t="shared" si="13"/>
        <v>0.1165710942811904</v>
      </c>
    </row>
    <row r="94" spans="1:6" ht="20.25" customHeight="1" x14ac:dyDescent="0.3">
      <c r="A94" s="256">
        <v>3</v>
      </c>
      <c r="B94" s="257" t="s">
        <v>443</v>
      </c>
      <c r="C94" s="258">
        <v>16598987</v>
      </c>
      <c r="D94" s="258">
        <v>19601111</v>
      </c>
      <c r="E94" s="258">
        <f t="shared" si="12"/>
        <v>3002124</v>
      </c>
      <c r="F94" s="259">
        <f t="shared" si="13"/>
        <v>0.18086188030631026</v>
      </c>
    </row>
    <row r="95" spans="1:6" ht="20.25" customHeight="1" x14ac:dyDescent="0.3">
      <c r="A95" s="256">
        <v>4</v>
      </c>
      <c r="B95" s="257" t="s">
        <v>444</v>
      </c>
      <c r="C95" s="258">
        <v>3872266</v>
      </c>
      <c r="D95" s="258">
        <v>5146196</v>
      </c>
      <c r="E95" s="258">
        <f t="shared" si="12"/>
        <v>1273930</v>
      </c>
      <c r="F95" s="259">
        <f t="shared" si="13"/>
        <v>0.32898824615870914</v>
      </c>
    </row>
    <row r="96" spans="1:6" ht="20.25" customHeight="1" x14ac:dyDescent="0.3">
      <c r="A96" s="256">
        <v>5</v>
      </c>
      <c r="B96" s="257" t="s">
        <v>381</v>
      </c>
      <c r="C96" s="260">
        <v>457</v>
      </c>
      <c r="D96" s="260">
        <v>466</v>
      </c>
      <c r="E96" s="260">
        <f t="shared" si="12"/>
        <v>9</v>
      </c>
      <c r="F96" s="259">
        <f t="shared" si="13"/>
        <v>1.9693654266958426E-2</v>
      </c>
    </row>
    <row r="97" spans="1:6" ht="20.25" customHeight="1" x14ac:dyDescent="0.3">
      <c r="A97" s="256">
        <v>6</v>
      </c>
      <c r="B97" s="257" t="s">
        <v>380</v>
      </c>
      <c r="C97" s="260">
        <v>2226</v>
      </c>
      <c r="D97" s="260">
        <v>2389</v>
      </c>
      <c r="E97" s="260">
        <f t="shared" si="12"/>
        <v>163</v>
      </c>
      <c r="F97" s="259">
        <f t="shared" si="13"/>
        <v>7.3225516621743036E-2</v>
      </c>
    </row>
    <row r="98" spans="1:6" ht="20.25" customHeight="1" x14ac:dyDescent="0.3">
      <c r="A98" s="256">
        <v>7</v>
      </c>
      <c r="B98" s="257" t="s">
        <v>445</v>
      </c>
      <c r="C98" s="260">
        <v>13227</v>
      </c>
      <c r="D98" s="260">
        <v>13224</v>
      </c>
      <c r="E98" s="260">
        <f t="shared" si="12"/>
        <v>-3</v>
      </c>
      <c r="F98" s="259">
        <f t="shared" si="13"/>
        <v>-2.2680880018144704E-4</v>
      </c>
    </row>
    <row r="99" spans="1:6" ht="20.25" customHeight="1" x14ac:dyDescent="0.3">
      <c r="A99" s="256">
        <v>8</v>
      </c>
      <c r="B99" s="257" t="s">
        <v>446</v>
      </c>
      <c r="C99" s="260">
        <v>1024</v>
      </c>
      <c r="D99" s="260">
        <v>1073</v>
      </c>
      <c r="E99" s="260">
        <f t="shared" si="12"/>
        <v>49</v>
      </c>
      <c r="F99" s="259">
        <f t="shared" si="13"/>
        <v>4.78515625E-2</v>
      </c>
    </row>
    <row r="100" spans="1:6" ht="20.25" customHeight="1" x14ac:dyDescent="0.3">
      <c r="A100" s="256">
        <v>9</v>
      </c>
      <c r="B100" s="257" t="s">
        <v>447</v>
      </c>
      <c r="C100" s="260">
        <v>271</v>
      </c>
      <c r="D100" s="260">
        <v>280</v>
      </c>
      <c r="E100" s="260">
        <f t="shared" si="12"/>
        <v>9</v>
      </c>
      <c r="F100" s="259">
        <f t="shared" si="13"/>
        <v>3.3210332103321034E-2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29113003</v>
      </c>
      <c r="D101" s="263">
        <f>+D92+D94</f>
        <v>32944692</v>
      </c>
      <c r="E101" s="263">
        <f t="shared" si="12"/>
        <v>3831689</v>
      </c>
      <c r="F101" s="264">
        <f t="shared" si="13"/>
        <v>0.13161435115436218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8771345</v>
      </c>
      <c r="D102" s="263">
        <f>+D93+D95</f>
        <v>10616366</v>
      </c>
      <c r="E102" s="263">
        <f t="shared" si="12"/>
        <v>1845021</v>
      </c>
      <c r="F102" s="264">
        <f t="shared" si="13"/>
        <v>0.21034641779567445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779017</v>
      </c>
      <c r="D118" s="258">
        <v>1046836</v>
      </c>
      <c r="E118" s="258">
        <f t="shared" ref="E118:E128" si="16">D118-C118</f>
        <v>267819</v>
      </c>
      <c r="F118" s="259">
        <f t="shared" ref="F118:F128" si="17">IF(C118=0,0,E118/C118)</f>
        <v>0.3437909570651218</v>
      </c>
    </row>
    <row r="119" spans="1:6" ht="20.25" customHeight="1" x14ac:dyDescent="0.3">
      <c r="A119" s="256">
        <v>2</v>
      </c>
      <c r="B119" s="257" t="s">
        <v>442</v>
      </c>
      <c r="C119" s="258">
        <v>319308</v>
      </c>
      <c r="D119" s="258">
        <v>399697</v>
      </c>
      <c r="E119" s="258">
        <f t="shared" si="16"/>
        <v>80389</v>
      </c>
      <c r="F119" s="259">
        <f t="shared" si="17"/>
        <v>0.25176005612136243</v>
      </c>
    </row>
    <row r="120" spans="1:6" ht="20.25" customHeight="1" x14ac:dyDescent="0.3">
      <c r="A120" s="256">
        <v>3</v>
      </c>
      <c r="B120" s="257" t="s">
        <v>443</v>
      </c>
      <c r="C120" s="258">
        <v>1105429</v>
      </c>
      <c r="D120" s="258">
        <v>1025988</v>
      </c>
      <c r="E120" s="258">
        <f t="shared" si="16"/>
        <v>-79441</v>
      </c>
      <c r="F120" s="259">
        <f t="shared" si="17"/>
        <v>-7.18644073929669E-2</v>
      </c>
    </row>
    <row r="121" spans="1:6" ht="20.25" customHeight="1" x14ac:dyDescent="0.3">
      <c r="A121" s="256">
        <v>4</v>
      </c>
      <c r="B121" s="257" t="s">
        <v>444</v>
      </c>
      <c r="C121" s="258">
        <v>292206</v>
      </c>
      <c r="D121" s="258">
        <v>209732</v>
      </c>
      <c r="E121" s="258">
        <f t="shared" si="16"/>
        <v>-82474</v>
      </c>
      <c r="F121" s="259">
        <f t="shared" si="17"/>
        <v>-0.2822460866648871</v>
      </c>
    </row>
    <row r="122" spans="1:6" ht="20.25" customHeight="1" x14ac:dyDescent="0.3">
      <c r="A122" s="256">
        <v>5</v>
      </c>
      <c r="B122" s="257" t="s">
        <v>381</v>
      </c>
      <c r="C122" s="260">
        <v>33</v>
      </c>
      <c r="D122" s="260">
        <v>40</v>
      </c>
      <c r="E122" s="260">
        <f t="shared" si="16"/>
        <v>7</v>
      </c>
      <c r="F122" s="259">
        <f t="shared" si="17"/>
        <v>0.21212121212121213</v>
      </c>
    </row>
    <row r="123" spans="1:6" ht="20.25" customHeight="1" x14ac:dyDescent="0.3">
      <c r="A123" s="256">
        <v>6</v>
      </c>
      <c r="B123" s="257" t="s">
        <v>380</v>
      </c>
      <c r="C123" s="260">
        <v>198</v>
      </c>
      <c r="D123" s="260">
        <v>204</v>
      </c>
      <c r="E123" s="260">
        <f t="shared" si="16"/>
        <v>6</v>
      </c>
      <c r="F123" s="259">
        <f t="shared" si="17"/>
        <v>3.0303030303030304E-2</v>
      </c>
    </row>
    <row r="124" spans="1:6" ht="20.25" customHeight="1" x14ac:dyDescent="0.3">
      <c r="A124" s="256">
        <v>7</v>
      </c>
      <c r="B124" s="257" t="s">
        <v>445</v>
      </c>
      <c r="C124" s="260">
        <v>734</v>
      </c>
      <c r="D124" s="260">
        <v>872</v>
      </c>
      <c r="E124" s="260">
        <f t="shared" si="16"/>
        <v>138</v>
      </c>
      <c r="F124" s="259">
        <f t="shared" si="17"/>
        <v>0.18801089918256131</v>
      </c>
    </row>
    <row r="125" spans="1:6" ht="20.25" customHeight="1" x14ac:dyDescent="0.3">
      <c r="A125" s="256">
        <v>8</v>
      </c>
      <c r="B125" s="257" t="s">
        <v>446</v>
      </c>
      <c r="C125" s="260">
        <v>67</v>
      </c>
      <c r="D125" s="260">
        <v>68</v>
      </c>
      <c r="E125" s="260">
        <f t="shared" si="16"/>
        <v>1</v>
      </c>
      <c r="F125" s="259">
        <f t="shared" si="17"/>
        <v>1.4925373134328358E-2</v>
      </c>
    </row>
    <row r="126" spans="1:6" ht="20.25" customHeight="1" x14ac:dyDescent="0.3">
      <c r="A126" s="256">
        <v>9</v>
      </c>
      <c r="B126" s="257" t="s">
        <v>447</v>
      </c>
      <c r="C126" s="260">
        <v>24</v>
      </c>
      <c r="D126" s="260">
        <v>17</v>
      </c>
      <c r="E126" s="260">
        <f t="shared" si="16"/>
        <v>-7</v>
      </c>
      <c r="F126" s="259">
        <f t="shared" si="17"/>
        <v>-0.29166666666666669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1884446</v>
      </c>
      <c r="D127" s="263">
        <f>+D118+D120</f>
        <v>2072824</v>
      </c>
      <c r="E127" s="263">
        <f t="shared" si="16"/>
        <v>188378</v>
      </c>
      <c r="F127" s="264">
        <f t="shared" si="17"/>
        <v>9.9964658048041707E-2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611514</v>
      </c>
      <c r="D128" s="263">
        <f>+D119+D121</f>
        <v>609429</v>
      </c>
      <c r="E128" s="263">
        <f t="shared" si="16"/>
        <v>-2085</v>
      </c>
      <c r="F128" s="264">
        <f t="shared" si="17"/>
        <v>-3.4095703450779538E-3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66242</v>
      </c>
      <c r="D131" s="258">
        <v>53037</v>
      </c>
      <c r="E131" s="258">
        <f t="shared" ref="E131:E141" si="18">D131-C131</f>
        <v>-13205</v>
      </c>
      <c r="F131" s="259">
        <f t="shared" ref="F131:F141" si="19">IF(C131=0,0,E131/C131)</f>
        <v>-0.19934482654509222</v>
      </c>
    </row>
    <row r="132" spans="1:6" ht="20.25" customHeight="1" x14ac:dyDescent="0.3">
      <c r="A132" s="256">
        <v>2</v>
      </c>
      <c r="B132" s="257" t="s">
        <v>442</v>
      </c>
      <c r="C132" s="258">
        <v>26812</v>
      </c>
      <c r="D132" s="258">
        <v>30027</v>
      </c>
      <c r="E132" s="258">
        <f t="shared" si="18"/>
        <v>3215</v>
      </c>
      <c r="F132" s="259">
        <f t="shared" si="19"/>
        <v>0.11990899597195286</v>
      </c>
    </row>
    <row r="133" spans="1:6" ht="20.25" customHeight="1" x14ac:dyDescent="0.3">
      <c r="A133" s="256">
        <v>3</v>
      </c>
      <c r="B133" s="257" t="s">
        <v>443</v>
      </c>
      <c r="C133" s="258">
        <v>54116</v>
      </c>
      <c r="D133" s="258">
        <v>123724</v>
      </c>
      <c r="E133" s="258">
        <f t="shared" si="18"/>
        <v>69608</v>
      </c>
      <c r="F133" s="259">
        <f t="shared" si="19"/>
        <v>1.2862739300761328</v>
      </c>
    </row>
    <row r="134" spans="1:6" ht="20.25" customHeight="1" x14ac:dyDescent="0.3">
      <c r="A134" s="256">
        <v>4</v>
      </c>
      <c r="B134" s="257" t="s">
        <v>444</v>
      </c>
      <c r="C134" s="258">
        <v>11160</v>
      </c>
      <c r="D134" s="258">
        <v>53401</v>
      </c>
      <c r="E134" s="258">
        <f t="shared" si="18"/>
        <v>42241</v>
      </c>
      <c r="F134" s="259">
        <f t="shared" si="19"/>
        <v>3.7850358422939068</v>
      </c>
    </row>
    <row r="135" spans="1:6" ht="20.25" customHeight="1" x14ac:dyDescent="0.3">
      <c r="A135" s="256">
        <v>5</v>
      </c>
      <c r="B135" s="257" t="s">
        <v>381</v>
      </c>
      <c r="C135" s="260">
        <v>4</v>
      </c>
      <c r="D135" s="260">
        <v>3</v>
      </c>
      <c r="E135" s="260">
        <f t="shared" si="18"/>
        <v>-1</v>
      </c>
      <c r="F135" s="259">
        <f t="shared" si="19"/>
        <v>-0.25</v>
      </c>
    </row>
    <row r="136" spans="1:6" ht="20.25" customHeight="1" x14ac:dyDescent="0.3">
      <c r="A136" s="256">
        <v>6</v>
      </c>
      <c r="B136" s="257" t="s">
        <v>380</v>
      </c>
      <c r="C136" s="260">
        <v>11</v>
      </c>
      <c r="D136" s="260">
        <v>13</v>
      </c>
      <c r="E136" s="260">
        <f t="shared" si="18"/>
        <v>2</v>
      </c>
      <c r="F136" s="259">
        <f t="shared" si="19"/>
        <v>0.18181818181818182</v>
      </c>
    </row>
    <row r="137" spans="1:6" ht="20.25" customHeight="1" x14ac:dyDescent="0.3">
      <c r="A137" s="256">
        <v>7</v>
      </c>
      <c r="B137" s="257" t="s">
        <v>445</v>
      </c>
      <c r="C137" s="260">
        <v>59</v>
      </c>
      <c r="D137" s="260">
        <v>58</v>
      </c>
      <c r="E137" s="260">
        <f t="shared" si="18"/>
        <v>-1</v>
      </c>
      <c r="F137" s="259">
        <f t="shared" si="19"/>
        <v>-1.6949152542372881E-2</v>
      </c>
    </row>
    <row r="138" spans="1:6" ht="20.25" customHeight="1" x14ac:dyDescent="0.3">
      <c r="A138" s="256">
        <v>8</v>
      </c>
      <c r="B138" s="257" t="s">
        <v>446</v>
      </c>
      <c r="C138" s="260">
        <v>9</v>
      </c>
      <c r="D138" s="260">
        <v>13</v>
      </c>
      <c r="E138" s="260">
        <f t="shared" si="18"/>
        <v>4</v>
      </c>
      <c r="F138" s="259">
        <f t="shared" si="19"/>
        <v>0.44444444444444442</v>
      </c>
    </row>
    <row r="139" spans="1:6" ht="20.25" customHeight="1" x14ac:dyDescent="0.3">
      <c r="A139" s="256">
        <v>9</v>
      </c>
      <c r="B139" s="257" t="s">
        <v>447</v>
      </c>
      <c r="C139" s="260">
        <v>4</v>
      </c>
      <c r="D139" s="260">
        <v>3</v>
      </c>
      <c r="E139" s="260">
        <f t="shared" si="18"/>
        <v>-1</v>
      </c>
      <c r="F139" s="259">
        <f t="shared" si="19"/>
        <v>-0.25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120358</v>
      </c>
      <c r="D140" s="263">
        <f>+D131+D133</f>
        <v>176761</v>
      </c>
      <c r="E140" s="263">
        <f t="shared" si="18"/>
        <v>56403</v>
      </c>
      <c r="F140" s="264">
        <f t="shared" si="19"/>
        <v>0.46862692965984815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37972</v>
      </c>
      <c r="D141" s="263">
        <f>+D132+D134</f>
        <v>83428</v>
      </c>
      <c r="E141" s="263">
        <f t="shared" si="18"/>
        <v>45456</v>
      </c>
      <c r="F141" s="264">
        <f t="shared" si="19"/>
        <v>1.1970925945433477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48902</v>
      </c>
      <c r="D144" s="258">
        <v>2892</v>
      </c>
      <c r="E144" s="258">
        <f t="shared" ref="E144:E154" si="20">D144-C144</f>
        <v>-46010</v>
      </c>
      <c r="F144" s="259">
        <f t="shared" ref="F144:F154" si="21">IF(C144=0,0,E144/C144)</f>
        <v>-0.94086131446566601</v>
      </c>
    </row>
    <row r="145" spans="1:6" ht="20.25" customHeight="1" x14ac:dyDescent="0.3">
      <c r="A145" s="256">
        <v>2</v>
      </c>
      <c r="B145" s="257" t="s">
        <v>442</v>
      </c>
      <c r="C145" s="258">
        <v>26962</v>
      </c>
      <c r="D145" s="258">
        <v>553</v>
      </c>
      <c r="E145" s="258">
        <f t="shared" si="20"/>
        <v>-26409</v>
      </c>
      <c r="F145" s="259">
        <f t="shared" si="21"/>
        <v>-0.97948965210295968</v>
      </c>
    </row>
    <row r="146" spans="1:6" ht="20.25" customHeight="1" x14ac:dyDescent="0.3">
      <c r="A146" s="256">
        <v>3</v>
      </c>
      <c r="B146" s="257" t="s">
        <v>443</v>
      </c>
      <c r="C146" s="258">
        <v>72619</v>
      </c>
      <c r="D146" s="258">
        <v>46813</v>
      </c>
      <c r="E146" s="258">
        <f t="shared" si="20"/>
        <v>-25806</v>
      </c>
      <c r="F146" s="259">
        <f t="shared" si="21"/>
        <v>-0.35536154449937346</v>
      </c>
    </row>
    <row r="147" spans="1:6" ht="20.25" customHeight="1" x14ac:dyDescent="0.3">
      <c r="A147" s="256">
        <v>4</v>
      </c>
      <c r="B147" s="257" t="s">
        <v>444</v>
      </c>
      <c r="C147" s="258">
        <v>11118</v>
      </c>
      <c r="D147" s="258">
        <v>9969</v>
      </c>
      <c r="E147" s="258">
        <f t="shared" si="20"/>
        <v>-1149</v>
      </c>
      <c r="F147" s="259">
        <f t="shared" si="21"/>
        <v>-0.10334592552617378</v>
      </c>
    </row>
    <row r="148" spans="1:6" ht="20.25" customHeight="1" x14ac:dyDescent="0.3">
      <c r="A148" s="256">
        <v>5</v>
      </c>
      <c r="B148" s="257" t="s">
        <v>381</v>
      </c>
      <c r="C148" s="260">
        <v>3</v>
      </c>
      <c r="D148" s="260">
        <v>0</v>
      </c>
      <c r="E148" s="260">
        <f t="shared" si="20"/>
        <v>-3</v>
      </c>
      <c r="F148" s="259">
        <f t="shared" si="21"/>
        <v>-1</v>
      </c>
    </row>
    <row r="149" spans="1:6" ht="20.25" customHeight="1" x14ac:dyDescent="0.3">
      <c r="A149" s="256">
        <v>6</v>
      </c>
      <c r="B149" s="257" t="s">
        <v>380</v>
      </c>
      <c r="C149" s="260">
        <v>9</v>
      </c>
      <c r="D149" s="260">
        <v>0</v>
      </c>
      <c r="E149" s="260">
        <f t="shared" si="20"/>
        <v>-9</v>
      </c>
      <c r="F149" s="259">
        <f t="shared" si="21"/>
        <v>-1</v>
      </c>
    </row>
    <row r="150" spans="1:6" ht="20.25" customHeight="1" x14ac:dyDescent="0.3">
      <c r="A150" s="256">
        <v>7</v>
      </c>
      <c r="B150" s="257" t="s">
        <v>445</v>
      </c>
      <c r="C150" s="260">
        <v>58</v>
      </c>
      <c r="D150" s="260">
        <v>44</v>
      </c>
      <c r="E150" s="260">
        <f t="shared" si="20"/>
        <v>-14</v>
      </c>
      <c r="F150" s="259">
        <f t="shared" si="21"/>
        <v>-0.2413793103448276</v>
      </c>
    </row>
    <row r="151" spans="1:6" ht="20.25" customHeight="1" x14ac:dyDescent="0.3">
      <c r="A151" s="256">
        <v>8</v>
      </c>
      <c r="B151" s="257" t="s">
        <v>446</v>
      </c>
      <c r="C151" s="260">
        <v>8</v>
      </c>
      <c r="D151" s="260">
        <v>2</v>
      </c>
      <c r="E151" s="260">
        <f t="shared" si="20"/>
        <v>-6</v>
      </c>
      <c r="F151" s="259">
        <f t="shared" si="21"/>
        <v>-0.75</v>
      </c>
    </row>
    <row r="152" spans="1:6" ht="20.25" customHeight="1" x14ac:dyDescent="0.3">
      <c r="A152" s="256">
        <v>9</v>
      </c>
      <c r="B152" s="257" t="s">
        <v>447</v>
      </c>
      <c r="C152" s="260">
        <v>2</v>
      </c>
      <c r="D152" s="260">
        <v>0</v>
      </c>
      <c r="E152" s="260">
        <f t="shared" si="20"/>
        <v>-2</v>
      </c>
      <c r="F152" s="259">
        <f t="shared" si="21"/>
        <v>-1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121521</v>
      </c>
      <c r="D153" s="263">
        <f>+D144+D146</f>
        <v>49705</v>
      </c>
      <c r="E153" s="263">
        <f t="shared" si="20"/>
        <v>-71816</v>
      </c>
      <c r="F153" s="264">
        <f t="shared" si="21"/>
        <v>-0.59097604529258319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38080</v>
      </c>
      <c r="D154" s="263">
        <f>+D145+D147</f>
        <v>10522</v>
      </c>
      <c r="E154" s="263">
        <f t="shared" si="20"/>
        <v>-27558</v>
      </c>
      <c r="F154" s="264">
        <f t="shared" si="21"/>
        <v>-0.72368697478991595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22848389</v>
      </c>
      <c r="D198" s="263">
        <f t="shared" si="28"/>
        <v>26516182</v>
      </c>
      <c r="E198" s="263">
        <f t="shared" ref="E198:E208" si="29">D198-C198</f>
        <v>3667793</v>
      </c>
      <c r="F198" s="273">
        <f t="shared" ref="F198:F208" si="30">IF(C198=0,0,E198/C198)</f>
        <v>0.1605274227430214</v>
      </c>
    </row>
    <row r="199" spans="1:9" ht="20.25" customHeight="1" x14ac:dyDescent="0.3">
      <c r="A199" s="271"/>
      <c r="B199" s="272" t="s">
        <v>466</v>
      </c>
      <c r="C199" s="263">
        <f t="shared" si="28"/>
        <v>9247649</v>
      </c>
      <c r="D199" s="263">
        <f t="shared" si="28"/>
        <v>11158243</v>
      </c>
      <c r="E199" s="263">
        <f t="shared" si="29"/>
        <v>1910594</v>
      </c>
      <c r="F199" s="273">
        <f t="shared" si="30"/>
        <v>0.20660321342213572</v>
      </c>
    </row>
    <row r="200" spans="1:9" ht="20.25" customHeight="1" x14ac:dyDescent="0.3">
      <c r="A200" s="271"/>
      <c r="B200" s="272" t="s">
        <v>467</v>
      </c>
      <c r="C200" s="263">
        <f t="shared" si="28"/>
        <v>29103412</v>
      </c>
      <c r="D200" s="263">
        <f t="shared" si="28"/>
        <v>35209167</v>
      </c>
      <c r="E200" s="263">
        <f t="shared" si="29"/>
        <v>6105755</v>
      </c>
      <c r="F200" s="273">
        <f t="shared" si="30"/>
        <v>0.20979516078733312</v>
      </c>
    </row>
    <row r="201" spans="1:9" ht="20.25" customHeight="1" x14ac:dyDescent="0.3">
      <c r="A201" s="271"/>
      <c r="B201" s="272" t="s">
        <v>468</v>
      </c>
      <c r="C201" s="263">
        <f t="shared" si="28"/>
        <v>6710258</v>
      </c>
      <c r="D201" s="263">
        <f t="shared" si="28"/>
        <v>8734817</v>
      </c>
      <c r="E201" s="263">
        <f t="shared" si="29"/>
        <v>2024559</v>
      </c>
      <c r="F201" s="273">
        <f t="shared" si="30"/>
        <v>0.30171105194464953</v>
      </c>
    </row>
    <row r="202" spans="1:9" ht="20.25" customHeight="1" x14ac:dyDescent="0.3">
      <c r="A202" s="271"/>
      <c r="B202" s="272" t="s">
        <v>138</v>
      </c>
      <c r="C202" s="274">
        <f t="shared" si="28"/>
        <v>840</v>
      </c>
      <c r="D202" s="274">
        <f t="shared" si="28"/>
        <v>932</v>
      </c>
      <c r="E202" s="274">
        <f t="shared" si="29"/>
        <v>92</v>
      </c>
      <c r="F202" s="273">
        <f t="shared" si="30"/>
        <v>0.10952380952380952</v>
      </c>
    </row>
    <row r="203" spans="1:9" ht="20.25" customHeight="1" x14ac:dyDescent="0.3">
      <c r="A203" s="271"/>
      <c r="B203" s="272" t="s">
        <v>140</v>
      </c>
      <c r="C203" s="274">
        <f t="shared" si="28"/>
        <v>4216</v>
      </c>
      <c r="D203" s="274">
        <f t="shared" si="28"/>
        <v>4710</v>
      </c>
      <c r="E203" s="274">
        <f t="shared" si="29"/>
        <v>494</v>
      </c>
      <c r="F203" s="273">
        <f t="shared" si="30"/>
        <v>0.11717267552182163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22664</v>
      </c>
      <c r="D204" s="274">
        <f t="shared" si="28"/>
        <v>24325</v>
      </c>
      <c r="E204" s="274">
        <f t="shared" si="29"/>
        <v>1661</v>
      </c>
      <c r="F204" s="273">
        <f t="shared" si="30"/>
        <v>7.3288033886339574E-2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1751</v>
      </c>
      <c r="D205" s="274">
        <f t="shared" si="28"/>
        <v>2025</v>
      </c>
      <c r="E205" s="274">
        <f t="shared" si="29"/>
        <v>274</v>
      </c>
      <c r="F205" s="273">
        <f t="shared" si="30"/>
        <v>0.1564820102798401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515</v>
      </c>
      <c r="D206" s="274">
        <f t="shared" si="28"/>
        <v>507</v>
      </c>
      <c r="E206" s="274">
        <f t="shared" si="29"/>
        <v>-8</v>
      </c>
      <c r="F206" s="273">
        <f t="shared" si="30"/>
        <v>-1.5533980582524271E-2</v>
      </c>
    </row>
    <row r="207" spans="1:9" ht="20.25" customHeight="1" x14ac:dyDescent="0.3">
      <c r="A207" s="271"/>
      <c r="B207" s="262" t="s">
        <v>471</v>
      </c>
      <c r="C207" s="263">
        <f>+C198+C200</f>
        <v>51951801</v>
      </c>
      <c r="D207" s="263">
        <f>+D198+D200</f>
        <v>61725349</v>
      </c>
      <c r="E207" s="263">
        <f t="shared" si="29"/>
        <v>9773548</v>
      </c>
      <c r="F207" s="273">
        <f t="shared" si="30"/>
        <v>0.1881272219994837</v>
      </c>
    </row>
    <row r="208" spans="1:9" ht="20.25" customHeight="1" x14ac:dyDescent="0.3">
      <c r="A208" s="271"/>
      <c r="B208" s="262" t="s">
        <v>472</v>
      </c>
      <c r="C208" s="263">
        <f>+C199+C201</f>
        <v>15957907</v>
      </c>
      <c r="D208" s="263">
        <f>+D199+D201</f>
        <v>19893060</v>
      </c>
      <c r="E208" s="263">
        <f t="shared" si="29"/>
        <v>3935153</v>
      </c>
      <c r="F208" s="273">
        <f t="shared" si="30"/>
        <v>0.246595809838972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FILING&amp;RLAWRENCE AND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802" t="s">
        <v>0</v>
      </c>
      <c r="B2" s="802"/>
      <c r="C2" s="802"/>
      <c r="D2" s="802"/>
      <c r="E2" s="802"/>
      <c r="F2" s="802"/>
    </row>
    <row r="3" spans="1:7" ht="20.25" customHeight="1" x14ac:dyDescent="0.3">
      <c r="A3" s="802" t="s">
        <v>1</v>
      </c>
      <c r="B3" s="802"/>
      <c r="C3" s="802"/>
      <c r="D3" s="802"/>
      <c r="E3" s="802"/>
      <c r="F3" s="802"/>
    </row>
    <row r="4" spans="1:7" ht="20.25" customHeight="1" x14ac:dyDescent="0.3">
      <c r="A4" s="802" t="s">
        <v>314</v>
      </c>
      <c r="B4" s="802"/>
      <c r="C4" s="802"/>
      <c r="D4" s="802"/>
      <c r="E4" s="802"/>
      <c r="F4" s="802"/>
    </row>
    <row r="5" spans="1:7" ht="20.25" customHeight="1" x14ac:dyDescent="0.3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">
      <c r="A11" s="795"/>
      <c r="B11" s="797"/>
      <c r="C11" s="791"/>
      <c r="D11" s="792"/>
      <c r="E11" s="792"/>
      <c r="F11" s="793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">
      <c r="A110" s="795"/>
      <c r="B110" s="797"/>
      <c r="C110" s="791"/>
      <c r="D110" s="792"/>
      <c r="E110" s="792"/>
      <c r="F110" s="793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FILING&amp;RLAWRENCE AND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16480529</v>
      </c>
      <c r="D13" s="22">
        <v>24264612</v>
      </c>
      <c r="E13" s="22">
        <f t="shared" ref="E13:E22" si="0">D13-C13</f>
        <v>7784083</v>
      </c>
      <c r="F13" s="306">
        <f t="shared" ref="F13:F22" si="1">IF(C13=0,0,E13/C13)</f>
        <v>0.47231997225331784</v>
      </c>
    </row>
    <row r="14" spans="1:8" ht="24" customHeight="1" x14ac:dyDescent="0.2">
      <c r="A14" s="304">
        <v>2</v>
      </c>
      <c r="B14" s="305" t="s">
        <v>17</v>
      </c>
      <c r="C14" s="22">
        <v>184426039</v>
      </c>
      <c r="D14" s="22">
        <v>162278643</v>
      </c>
      <c r="E14" s="22">
        <f t="shared" si="0"/>
        <v>-22147396</v>
      </c>
      <c r="F14" s="306">
        <f t="shared" si="1"/>
        <v>-0.12008822680402521</v>
      </c>
    </row>
    <row r="15" spans="1:8" ht="35.1" customHeight="1" x14ac:dyDescent="0.2">
      <c r="A15" s="304">
        <v>3</v>
      </c>
      <c r="B15" s="305" t="s">
        <v>18</v>
      </c>
      <c r="C15" s="22">
        <v>47482954</v>
      </c>
      <c r="D15" s="22">
        <v>50471594</v>
      </c>
      <c r="E15" s="22">
        <f t="shared" si="0"/>
        <v>2988640</v>
      </c>
      <c r="F15" s="306">
        <f t="shared" si="1"/>
        <v>6.2941324164456997E-2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8393007</v>
      </c>
      <c r="D19" s="22">
        <v>8154843</v>
      </c>
      <c r="E19" s="22">
        <f t="shared" si="0"/>
        <v>-238164</v>
      </c>
      <c r="F19" s="306">
        <f t="shared" si="1"/>
        <v>-2.8376480562925778E-2</v>
      </c>
    </row>
    <row r="20" spans="1:11" ht="24" customHeight="1" x14ac:dyDescent="0.2">
      <c r="A20" s="304">
        <v>8</v>
      </c>
      <c r="B20" s="305" t="s">
        <v>23</v>
      </c>
      <c r="C20" s="22">
        <v>3748725</v>
      </c>
      <c r="D20" s="22">
        <v>3810426</v>
      </c>
      <c r="E20" s="22">
        <f t="shared" si="0"/>
        <v>61701</v>
      </c>
      <c r="F20" s="306">
        <f t="shared" si="1"/>
        <v>1.6459196126683073E-2</v>
      </c>
    </row>
    <row r="21" spans="1:11" ht="24" customHeight="1" x14ac:dyDescent="0.2">
      <c r="A21" s="304">
        <v>9</v>
      </c>
      <c r="B21" s="305" t="s">
        <v>24</v>
      </c>
      <c r="C21" s="22">
        <v>7096977</v>
      </c>
      <c r="D21" s="22">
        <v>7379893</v>
      </c>
      <c r="E21" s="22">
        <f t="shared" si="0"/>
        <v>282916</v>
      </c>
      <c r="F21" s="306">
        <f t="shared" si="1"/>
        <v>3.9864297150744604E-2</v>
      </c>
    </row>
    <row r="22" spans="1:11" ht="24" customHeight="1" x14ac:dyDescent="0.25">
      <c r="A22" s="307"/>
      <c r="B22" s="308" t="s">
        <v>25</v>
      </c>
      <c r="C22" s="309">
        <f>SUM(C13:C21)</f>
        <v>267628231</v>
      </c>
      <c r="D22" s="309">
        <f>SUM(D13:D21)</f>
        <v>256360011</v>
      </c>
      <c r="E22" s="309">
        <f t="shared" si="0"/>
        <v>-11268220</v>
      </c>
      <c r="F22" s="310">
        <f t="shared" si="1"/>
        <v>-4.2104003594448901E-2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925227</v>
      </c>
      <c r="D25" s="22">
        <v>926080</v>
      </c>
      <c r="E25" s="22">
        <f>D25-C25</f>
        <v>853</v>
      </c>
      <c r="F25" s="306">
        <f>IF(C25=0,0,E25/C25)</f>
        <v>9.2193591410540327E-4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52255363</v>
      </c>
      <c r="D28" s="22">
        <v>46192305</v>
      </c>
      <c r="E28" s="22">
        <f>D28-C28</f>
        <v>-6063058</v>
      </c>
      <c r="F28" s="306">
        <f>IF(C28=0,0,E28/C28)</f>
        <v>-0.11602747836619182</v>
      </c>
    </row>
    <row r="29" spans="1:11" ht="35.1" customHeight="1" x14ac:dyDescent="0.25">
      <c r="A29" s="307"/>
      <c r="B29" s="308" t="s">
        <v>32</v>
      </c>
      <c r="C29" s="309">
        <f>SUM(C25:C28)</f>
        <v>53180590</v>
      </c>
      <c r="D29" s="309">
        <f>SUM(D25:D28)</f>
        <v>47118385</v>
      </c>
      <c r="E29" s="309">
        <f>D29-C29</f>
        <v>-6062205</v>
      </c>
      <c r="F29" s="310">
        <f>IF(C29=0,0,E29/C29)</f>
        <v>-0.11399281203912931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7875163</v>
      </c>
      <c r="D33" s="22">
        <v>7609935</v>
      </c>
      <c r="E33" s="22">
        <f>D33-C33</f>
        <v>-265228</v>
      </c>
      <c r="F33" s="306">
        <f>IF(C33=0,0,E33/C33)</f>
        <v>-3.3679048928892008E-2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478783309</v>
      </c>
      <c r="D36" s="22">
        <v>490575752</v>
      </c>
      <c r="E36" s="22">
        <f>D36-C36</f>
        <v>11792443</v>
      </c>
      <c r="F36" s="306">
        <f>IF(C36=0,0,E36/C36)</f>
        <v>2.4630021093738672E-2</v>
      </c>
    </row>
    <row r="37" spans="1:8" ht="24" customHeight="1" x14ac:dyDescent="0.2">
      <c r="A37" s="304">
        <v>2</v>
      </c>
      <c r="B37" s="305" t="s">
        <v>39</v>
      </c>
      <c r="C37" s="22">
        <v>274060791</v>
      </c>
      <c r="D37" s="22">
        <v>297167005</v>
      </c>
      <c r="E37" s="22">
        <f>D37-C37</f>
        <v>23106214</v>
      </c>
      <c r="F37" s="22">
        <f>IF(C37=0,0,E37/C37)</f>
        <v>8.4310542619721179E-2</v>
      </c>
    </row>
    <row r="38" spans="1:8" ht="24" customHeight="1" x14ac:dyDescent="0.25">
      <c r="A38" s="307"/>
      <c r="B38" s="308" t="s">
        <v>40</v>
      </c>
      <c r="C38" s="309">
        <f>C36-C37</f>
        <v>204722518</v>
      </c>
      <c r="D38" s="309">
        <f>D36-D37</f>
        <v>193408747</v>
      </c>
      <c r="E38" s="309">
        <f>D38-C38</f>
        <v>-11313771</v>
      </c>
      <c r="F38" s="310">
        <f>IF(C38=0,0,E38/C38)</f>
        <v>-5.5263930468068982E-2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2127781</v>
      </c>
      <c r="D40" s="22">
        <v>2879995</v>
      </c>
      <c r="E40" s="22">
        <f>D40-C40</f>
        <v>752214</v>
      </c>
      <c r="F40" s="306">
        <f>IF(C40=0,0,E40/C40)</f>
        <v>0.35352040459051004</v>
      </c>
    </row>
    <row r="41" spans="1:8" ht="24" customHeight="1" x14ac:dyDescent="0.25">
      <c r="A41" s="307"/>
      <c r="B41" s="308" t="s">
        <v>42</v>
      </c>
      <c r="C41" s="309">
        <f>+C38+C40</f>
        <v>206850299</v>
      </c>
      <c r="D41" s="309">
        <f>+D38+D40</f>
        <v>196288742</v>
      </c>
      <c r="E41" s="309">
        <f>D41-C41</f>
        <v>-10561557</v>
      </c>
      <c r="F41" s="310">
        <f>IF(C41=0,0,E41/C41)</f>
        <v>-5.1058939972815798E-2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535534283</v>
      </c>
      <c r="D43" s="309">
        <f>D22+D29+D31+D32+D33+D41</f>
        <v>507377073</v>
      </c>
      <c r="E43" s="309">
        <f>D43-C43</f>
        <v>-28157210</v>
      </c>
      <c r="F43" s="310">
        <f>IF(C43=0,0,E43/C43)</f>
        <v>-5.2577791737751366E-2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51753578</v>
      </c>
      <c r="D49" s="22">
        <v>50862881</v>
      </c>
      <c r="E49" s="22">
        <f t="shared" ref="E49:E56" si="2">D49-C49</f>
        <v>-890697</v>
      </c>
      <c r="F49" s="306">
        <f t="shared" ref="F49:F56" si="3">IF(C49=0,0,E49/C49)</f>
        <v>-1.7210346306877566E-2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10671516</v>
      </c>
      <c r="D50" s="22">
        <v>9618789</v>
      </c>
      <c r="E50" s="22">
        <f t="shared" si="2"/>
        <v>-1052727</v>
      </c>
      <c r="F50" s="306">
        <f t="shared" si="3"/>
        <v>-9.8648308262856005E-2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7257949</v>
      </c>
      <c r="D51" s="22">
        <v>8175846</v>
      </c>
      <c r="E51" s="22">
        <f t="shared" si="2"/>
        <v>917897</v>
      </c>
      <c r="F51" s="306">
        <f t="shared" si="3"/>
        <v>0.12646782169453105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5476980</v>
      </c>
      <c r="D53" s="22">
        <v>5495740</v>
      </c>
      <c r="E53" s="22">
        <f t="shared" si="2"/>
        <v>18760</v>
      </c>
      <c r="F53" s="306">
        <f t="shared" si="3"/>
        <v>3.425245299416832E-3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582553</v>
      </c>
      <c r="D55" s="22">
        <v>655581</v>
      </c>
      <c r="E55" s="22">
        <f t="shared" si="2"/>
        <v>73028</v>
      </c>
      <c r="F55" s="306">
        <f t="shared" si="3"/>
        <v>0.12535855106745653</v>
      </c>
    </row>
    <row r="56" spans="1:6" ht="24" customHeight="1" x14ac:dyDescent="0.25">
      <c r="A56" s="307"/>
      <c r="B56" s="308" t="s">
        <v>54</v>
      </c>
      <c r="C56" s="309">
        <f>SUM(C49:C55)</f>
        <v>75742576</v>
      </c>
      <c r="D56" s="309">
        <f>SUM(D49:D55)</f>
        <v>74808837</v>
      </c>
      <c r="E56" s="309">
        <f t="shared" si="2"/>
        <v>-933739</v>
      </c>
      <c r="F56" s="310">
        <f t="shared" si="3"/>
        <v>-1.2327795664092544E-2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108587802</v>
      </c>
      <c r="D59" s="22">
        <v>102938747</v>
      </c>
      <c r="E59" s="22">
        <f>D59-C59</f>
        <v>-5649055</v>
      </c>
      <c r="F59" s="306">
        <f>IF(C59=0,0,E59/C59)</f>
        <v>-5.2022924269155023E-2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108587802</v>
      </c>
      <c r="D61" s="309">
        <f>SUM(D59:D60)</f>
        <v>102938747</v>
      </c>
      <c r="E61" s="309">
        <f>D61-C61</f>
        <v>-5649055</v>
      </c>
      <c r="F61" s="310">
        <f>IF(C61=0,0,E61/C61)</f>
        <v>-5.2022924269155023E-2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43216010</v>
      </c>
      <c r="D63" s="22">
        <v>53468405</v>
      </c>
      <c r="E63" s="22">
        <f>D63-C63</f>
        <v>10252395</v>
      </c>
      <c r="F63" s="306">
        <f>IF(C63=0,0,E63/C63)</f>
        <v>0.23723603821824366</v>
      </c>
    </row>
    <row r="64" spans="1:6" ht="24" customHeight="1" x14ac:dyDescent="0.2">
      <c r="A64" s="304">
        <v>4</v>
      </c>
      <c r="B64" s="305" t="s">
        <v>60</v>
      </c>
      <c r="C64" s="22">
        <v>25610890</v>
      </c>
      <c r="D64" s="22">
        <v>31629767</v>
      </c>
      <c r="E64" s="22">
        <f>D64-C64</f>
        <v>6018877</v>
      </c>
      <c r="F64" s="306">
        <f>IF(C64=0,0,E64/C64)</f>
        <v>0.23501241073621418</v>
      </c>
    </row>
    <row r="65" spans="1:6" ht="24" customHeight="1" x14ac:dyDescent="0.25">
      <c r="A65" s="307"/>
      <c r="B65" s="308" t="s">
        <v>61</v>
      </c>
      <c r="C65" s="309">
        <f>SUM(C61:C64)</f>
        <v>177414702</v>
      </c>
      <c r="D65" s="309">
        <f>SUM(D61:D64)</f>
        <v>188036919</v>
      </c>
      <c r="E65" s="309">
        <f>D65-C65</f>
        <v>10622217</v>
      </c>
      <c r="F65" s="310">
        <f>IF(C65=0,0,E65/C65)</f>
        <v>5.98722477915049E-2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241902500</v>
      </c>
      <c r="D70" s="22">
        <v>208910764</v>
      </c>
      <c r="E70" s="22">
        <f>D70-C70</f>
        <v>-32991736</v>
      </c>
      <c r="F70" s="306">
        <f>IF(C70=0,0,E70/C70)</f>
        <v>-0.13638443587809138</v>
      </c>
    </row>
    <row r="71" spans="1:6" ht="24" customHeight="1" x14ac:dyDescent="0.2">
      <c r="A71" s="304">
        <v>2</v>
      </c>
      <c r="B71" s="305" t="s">
        <v>65</v>
      </c>
      <c r="C71" s="22">
        <v>24770687</v>
      </c>
      <c r="D71" s="22">
        <v>20286597</v>
      </c>
      <c r="E71" s="22">
        <f>D71-C71</f>
        <v>-4484090</v>
      </c>
      <c r="F71" s="306">
        <f>IF(C71=0,0,E71/C71)</f>
        <v>-0.18102404668873334</v>
      </c>
    </row>
    <row r="72" spans="1:6" ht="24" customHeight="1" x14ac:dyDescent="0.2">
      <c r="A72" s="304">
        <v>3</v>
      </c>
      <c r="B72" s="305" t="s">
        <v>66</v>
      </c>
      <c r="C72" s="22">
        <v>15703818</v>
      </c>
      <c r="D72" s="22">
        <v>15333956</v>
      </c>
      <c r="E72" s="22">
        <f>D72-C72</f>
        <v>-369862</v>
      </c>
      <c r="F72" s="306">
        <f>IF(C72=0,0,E72/C72)</f>
        <v>-2.3552361597670071E-2</v>
      </c>
    </row>
    <row r="73" spans="1:6" ht="24" customHeight="1" x14ac:dyDescent="0.25">
      <c r="A73" s="304"/>
      <c r="B73" s="308" t="s">
        <v>67</v>
      </c>
      <c r="C73" s="309">
        <f>SUM(C70:C72)</f>
        <v>282377005</v>
      </c>
      <c r="D73" s="309">
        <f>SUM(D70:D72)</f>
        <v>244531317</v>
      </c>
      <c r="E73" s="309">
        <f>D73-C73</f>
        <v>-37845688</v>
      </c>
      <c r="F73" s="310">
        <f>IF(C73=0,0,E73/C73)</f>
        <v>-0.13402538921326118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535534283</v>
      </c>
      <c r="D75" s="309">
        <f>D56+D65+D67+D73</f>
        <v>507377073</v>
      </c>
      <c r="E75" s="309">
        <f>D75-C75</f>
        <v>-28157210</v>
      </c>
      <c r="F75" s="310">
        <f>IF(C75=0,0,E75/C75)</f>
        <v>-5.2577791737751366E-2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FILING&amp;RLAWRENCE +MEMORIAL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1078626933</v>
      </c>
      <c r="D11" s="76">
        <v>1138320863</v>
      </c>
      <c r="E11" s="76">
        <f t="shared" ref="E11:E20" si="0">D11-C11</f>
        <v>59693930</v>
      </c>
      <c r="F11" s="77">
        <f t="shared" ref="F11:F20" si="1">IF(C11=0,0,E11/C11)</f>
        <v>5.5342517578318248E-2</v>
      </c>
    </row>
    <row r="12" spans="1:7" ht="23.1" customHeight="1" x14ac:dyDescent="0.2">
      <c r="A12" s="74">
        <v>2</v>
      </c>
      <c r="B12" s="75" t="s">
        <v>72</v>
      </c>
      <c r="C12" s="76">
        <v>618314900</v>
      </c>
      <c r="D12" s="76">
        <v>676730858</v>
      </c>
      <c r="E12" s="76">
        <f t="shared" si="0"/>
        <v>58415958</v>
      </c>
      <c r="F12" s="77">
        <f t="shared" si="1"/>
        <v>9.447606389559754E-2</v>
      </c>
    </row>
    <row r="13" spans="1:7" ht="23.1" customHeight="1" x14ac:dyDescent="0.2">
      <c r="A13" s="74">
        <v>3</v>
      </c>
      <c r="B13" s="75" t="s">
        <v>73</v>
      </c>
      <c r="C13" s="76">
        <v>6782933</v>
      </c>
      <c r="D13" s="76">
        <v>6124509</v>
      </c>
      <c r="E13" s="76">
        <f t="shared" si="0"/>
        <v>-658424</v>
      </c>
      <c r="F13" s="77">
        <f t="shared" si="1"/>
        <v>-9.7070691985310778E-2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453529100</v>
      </c>
      <c r="D15" s="79">
        <f>D11-D12-D13-D14</f>
        <v>455465496</v>
      </c>
      <c r="E15" s="79">
        <f t="shared" si="0"/>
        <v>1936396</v>
      </c>
      <c r="F15" s="80">
        <f t="shared" si="1"/>
        <v>4.269617980411841E-3</v>
      </c>
    </row>
    <row r="16" spans="1:7" ht="23.1" customHeight="1" x14ac:dyDescent="0.2">
      <c r="A16" s="74">
        <v>5</v>
      </c>
      <c r="B16" s="75" t="s">
        <v>76</v>
      </c>
      <c r="C16" s="76">
        <v>20298386</v>
      </c>
      <c r="D16" s="76">
        <v>16683423</v>
      </c>
      <c r="E16" s="76">
        <f t="shared" si="0"/>
        <v>-3614963</v>
      </c>
      <c r="F16" s="77">
        <f t="shared" si="1"/>
        <v>-0.17809115463662972</v>
      </c>
      <c r="G16" s="65"/>
    </row>
    <row r="17" spans="1:7" ht="31.5" customHeight="1" x14ac:dyDescent="0.25">
      <c r="A17" s="71"/>
      <c r="B17" s="81" t="s">
        <v>77</v>
      </c>
      <c r="C17" s="79">
        <f>C15-C16</f>
        <v>433230714</v>
      </c>
      <c r="D17" s="79">
        <f>D15-D16</f>
        <v>438782073</v>
      </c>
      <c r="E17" s="79">
        <f t="shared" si="0"/>
        <v>5551359</v>
      </c>
      <c r="F17" s="80">
        <f t="shared" si="1"/>
        <v>1.2813862961710512E-2</v>
      </c>
    </row>
    <row r="18" spans="1:7" ht="23.1" customHeight="1" x14ac:dyDescent="0.2">
      <c r="A18" s="74">
        <v>6</v>
      </c>
      <c r="B18" s="75" t="s">
        <v>78</v>
      </c>
      <c r="C18" s="76">
        <v>20795287</v>
      </c>
      <c r="D18" s="76">
        <v>16375817</v>
      </c>
      <c r="E18" s="76">
        <f t="shared" si="0"/>
        <v>-4419470</v>
      </c>
      <c r="F18" s="77">
        <f t="shared" si="1"/>
        <v>-0.21252267400781724</v>
      </c>
      <c r="G18" s="65"/>
    </row>
    <row r="19" spans="1:7" ht="33" customHeight="1" x14ac:dyDescent="0.2">
      <c r="A19" s="74">
        <v>7</v>
      </c>
      <c r="B19" s="82" t="s">
        <v>79</v>
      </c>
      <c r="C19" s="76">
        <v>876203</v>
      </c>
      <c r="D19" s="76">
        <v>4831645</v>
      </c>
      <c r="E19" s="76">
        <f t="shared" si="0"/>
        <v>3955442</v>
      </c>
      <c r="F19" s="77">
        <f t="shared" si="1"/>
        <v>4.5142986271446226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454902204</v>
      </c>
      <c r="D20" s="79">
        <f>SUM(D17:D19)</f>
        <v>459989535</v>
      </c>
      <c r="E20" s="79">
        <f t="shared" si="0"/>
        <v>5087331</v>
      </c>
      <c r="F20" s="80">
        <f t="shared" si="1"/>
        <v>1.1183350960418736E-2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213467507</v>
      </c>
      <c r="D23" s="76">
        <v>212124691</v>
      </c>
      <c r="E23" s="76">
        <f t="shared" ref="E23:E32" si="2">D23-C23</f>
        <v>-1342816</v>
      </c>
      <c r="F23" s="77">
        <f t="shared" ref="F23:F32" si="3">IF(C23=0,0,E23/C23)</f>
        <v>-6.2904936628130478E-3</v>
      </c>
    </row>
    <row r="24" spans="1:7" ht="23.1" customHeight="1" x14ac:dyDescent="0.2">
      <c r="A24" s="74">
        <v>2</v>
      </c>
      <c r="B24" s="75" t="s">
        <v>83</v>
      </c>
      <c r="C24" s="76">
        <v>59185837</v>
      </c>
      <c r="D24" s="76">
        <v>59040657</v>
      </c>
      <c r="E24" s="76">
        <f t="shared" si="2"/>
        <v>-145180</v>
      </c>
      <c r="F24" s="77">
        <f t="shared" si="3"/>
        <v>-2.4529517087001742E-3</v>
      </c>
    </row>
    <row r="25" spans="1:7" ht="23.1" customHeight="1" x14ac:dyDescent="0.2">
      <c r="A25" s="74">
        <v>3</v>
      </c>
      <c r="B25" s="75" t="s">
        <v>84</v>
      </c>
      <c r="C25" s="76">
        <v>11343273</v>
      </c>
      <c r="D25" s="76">
        <v>14547169</v>
      </c>
      <c r="E25" s="76">
        <f t="shared" si="2"/>
        <v>3203896</v>
      </c>
      <c r="F25" s="77">
        <f t="shared" si="3"/>
        <v>0.2824489898109655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71998110</v>
      </c>
      <c r="D26" s="76">
        <v>76774253</v>
      </c>
      <c r="E26" s="76">
        <f t="shared" si="2"/>
        <v>4776143</v>
      </c>
      <c r="F26" s="77">
        <f t="shared" si="3"/>
        <v>6.6337060792290237E-2</v>
      </c>
    </row>
    <row r="27" spans="1:7" ht="23.1" customHeight="1" x14ac:dyDescent="0.2">
      <c r="A27" s="74">
        <v>5</v>
      </c>
      <c r="B27" s="75" t="s">
        <v>86</v>
      </c>
      <c r="C27" s="76">
        <v>27479122</v>
      </c>
      <c r="D27" s="76">
        <v>28953704</v>
      </c>
      <c r="E27" s="76">
        <f t="shared" si="2"/>
        <v>1474582</v>
      </c>
      <c r="F27" s="77">
        <f t="shared" si="3"/>
        <v>5.3661903753693438E-2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3554919</v>
      </c>
      <c r="D29" s="76">
        <v>3553690</v>
      </c>
      <c r="E29" s="76">
        <f t="shared" si="2"/>
        <v>-1229</v>
      </c>
      <c r="F29" s="77">
        <f t="shared" si="3"/>
        <v>-3.4571814435153096E-4</v>
      </c>
    </row>
    <row r="30" spans="1:7" ht="23.1" customHeight="1" x14ac:dyDescent="0.2">
      <c r="A30" s="74">
        <v>8</v>
      </c>
      <c r="B30" s="75" t="s">
        <v>89</v>
      </c>
      <c r="C30" s="76">
        <v>13571427</v>
      </c>
      <c r="D30" s="76">
        <v>16588039</v>
      </c>
      <c r="E30" s="76">
        <f t="shared" si="2"/>
        <v>3016612</v>
      </c>
      <c r="F30" s="77">
        <f t="shared" si="3"/>
        <v>0.22227669942151257</v>
      </c>
    </row>
    <row r="31" spans="1:7" ht="23.1" customHeight="1" x14ac:dyDescent="0.2">
      <c r="A31" s="74">
        <v>9</v>
      </c>
      <c r="B31" s="75" t="s">
        <v>90</v>
      </c>
      <c r="C31" s="76">
        <v>72987481</v>
      </c>
      <c r="D31" s="76">
        <v>58704219</v>
      </c>
      <c r="E31" s="76">
        <f t="shared" si="2"/>
        <v>-14283262</v>
      </c>
      <c r="F31" s="77">
        <f t="shared" si="3"/>
        <v>-0.1956946835855316</v>
      </c>
    </row>
    <row r="32" spans="1:7" ht="23.1" customHeight="1" x14ac:dyDescent="0.25">
      <c r="A32" s="71"/>
      <c r="B32" s="78" t="s">
        <v>91</v>
      </c>
      <c r="C32" s="79">
        <f>SUM(C23:C31)</f>
        <v>473587676</v>
      </c>
      <c r="D32" s="79">
        <f>SUM(D23:D31)</f>
        <v>470286422</v>
      </c>
      <c r="E32" s="79">
        <f t="shared" si="2"/>
        <v>-3301254</v>
      </c>
      <c r="F32" s="80">
        <f t="shared" si="3"/>
        <v>-6.9707346016326657E-3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-18685472</v>
      </c>
      <c r="D34" s="79">
        <f>+D20-D32</f>
        <v>-10296887</v>
      </c>
      <c r="E34" s="79">
        <f>D34-C34</f>
        <v>8388585</v>
      </c>
      <c r="F34" s="80">
        <f>IF(C34=0,0,E34/C34)</f>
        <v>-0.44893621097716985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15297404</v>
      </c>
      <c r="D37" s="76">
        <v>11832973</v>
      </c>
      <c r="E37" s="76">
        <f>D37-C37</f>
        <v>-3464431</v>
      </c>
      <c r="F37" s="77">
        <f>IF(C37=0,0,E37/C37)</f>
        <v>-0.22647182489264192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15297404</v>
      </c>
      <c r="D40" s="79">
        <f>SUM(D37:D39)</f>
        <v>11832973</v>
      </c>
      <c r="E40" s="79">
        <f>D40-C40</f>
        <v>-3464431</v>
      </c>
      <c r="F40" s="80">
        <f>IF(C40=0,0,E40/C40)</f>
        <v>-0.22647182489264192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-3388068</v>
      </c>
      <c r="D42" s="79">
        <f>D34+D40</f>
        <v>1536086</v>
      </c>
      <c r="E42" s="79">
        <f>D42-C42</f>
        <v>4924154</v>
      </c>
      <c r="F42" s="80">
        <f>IF(C42=0,0,E42/C42)</f>
        <v>-1.4533811009696382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-3388068</v>
      </c>
      <c r="D49" s="79">
        <f>D42+D47</f>
        <v>1536086</v>
      </c>
      <c r="E49" s="79">
        <f>D49-C49</f>
        <v>4924154</v>
      </c>
      <c r="F49" s="80">
        <f>IF(C49=0,0,E49/C49)</f>
        <v>-1.4533811009696382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FILING&amp;R&amp;8LAWRENCE +MEMORIAL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2016-07-20T11:58:27Z</cp:lastPrinted>
  <dcterms:created xsi:type="dcterms:W3CDTF">2016-07-19T18:37:32Z</dcterms:created>
  <dcterms:modified xsi:type="dcterms:W3CDTF">2016-07-20T11:58:34Z</dcterms:modified>
</cp:coreProperties>
</file>