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/>
  <c r="C96" i="22"/>
  <c r="C98" i="22" s="1"/>
  <c r="E92" i="22"/>
  <c r="D92" i="22"/>
  <c r="C92" i="22"/>
  <c r="E91" i="22"/>
  <c r="E93" i="22" s="1"/>
  <c r="D91" i="22"/>
  <c r="D93" i="22"/>
  <c r="C91" i="22"/>
  <c r="C93" i="22" s="1"/>
  <c r="E87" i="22"/>
  <c r="D87" i="22"/>
  <c r="C87" i="22"/>
  <c r="E86" i="22"/>
  <c r="E88" i="22"/>
  <c r="D86" i="22"/>
  <c r="D88" i="22" s="1"/>
  <c r="C86" i="22"/>
  <c r="C88" i="22" s="1"/>
  <c r="E83" i="22"/>
  <c r="E101" i="22"/>
  <c r="E103" i="22" s="1"/>
  <c r="D83" i="22"/>
  <c r="D102" i="22"/>
  <c r="C83" i="22"/>
  <c r="C101" i="22" s="1"/>
  <c r="E76" i="22"/>
  <c r="D76" i="22"/>
  <c r="C76" i="22"/>
  <c r="E75" i="22"/>
  <c r="E77" i="22" s="1"/>
  <c r="E109" i="22" s="1"/>
  <c r="D75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C12" i="22"/>
  <c r="C33" i="22"/>
  <c r="D21" i="21"/>
  <c r="E21" i="21" s="1"/>
  <c r="C21" i="21"/>
  <c r="D19" i="21"/>
  <c r="E19" i="21" s="1"/>
  <c r="C19" i="21"/>
  <c r="F17" i="21"/>
  <c r="E17" i="21"/>
  <c r="E15" i="21"/>
  <c r="F15" i="21" s="1"/>
  <c r="D45" i="20"/>
  <c r="E45" i="20" s="1"/>
  <c r="C45" i="20"/>
  <c r="D44" i="20"/>
  <c r="E44" i="20" s="1"/>
  <c r="C44" i="20"/>
  <c r="F44" i="20" s="1"/>
  <c r="D43" i="20"/>
  <c r="C43" i="20"/>
  <c r="C46" i="20"/>
  <c r="D36" i="20"/>
  <c r="D40" i="20" s="1"/>
  <c r="E40" i="20" s="1"/>
  <c r="F40" i="20" s="1"/>
  <c r="C36" i="20"/>
  <c r="C40" i="20"/>
  <c r="F35" i="20"/>
  <c r="E35" i="20"/>
  <c r="E34" i="20"/>
  <c r="E33" i="20"/>
  <c r="F33" i="20" s="1"/>
  <c r="F30" i="20"/>
  <c r="E30" i="20"/>
  <c r="E29" i="20"/>
  <c r="F29" i="20" s="1"/>
  <c r="F28" i="20"/>
  <c r="E28" i="20"/>
  <c r="E27" i="20"/>
  <c r="F27" i="20" s="1"/>
  <c r="D25" i="20"/>
  <c r="D39" i="20" s="1"/>
  <c r="C25" i="20"/>
  <c r="C39" i="20" s="1"/>
  <c r="E24" i="20"/>
  <c r="F24" i="20" s="1"/>
  <c r="E23" i="20"/>
  <c r="F23" i="20" s="1"/>
  <c r="F22" i="20"/>
  <c r="E22" i="20"/>
  <c r="E25" i="20"/>
  <c r="F25" i="20" s="1"/>
  <c r="D19" i="20"/>
  <c r="D20" i="20" s="1"/>
  <c r="C19" i="20"/>
  <c r="C20" i="20"/>
  <c r="E18" i="20"/>
  <c r="F18" i="20" s="1"/>
  <c r="D16" i="20"/>
  <c r="E16" i="20" s="1"/>
  <c r="C16" i="20"/>
  <c r="F16" i="20" s="1"/>
  <c r="F15" i="20"/>
  <c r="E15" i="20"/>
  <c r="E13" i="20"/>
  <c r="F13" i="20" s="1"/>
  <c r="F12" i="20"/>
  <c r="E12" i="20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3" i="19"/>
  <c r="C60" i="19"/>
  <c r="C59" i="19"/>
  <c r="C48" i="19"/>
  <c r="C36" i="19"/>
  <c r="C32" i="19"/>
  <c r="C33" i="19" s="1"/>
  <c r="C21" i="19"/>
  <c r="C22" i="19" s="1"/>
  <c r="E328" i="18"/>
  <c r="E325" i="18"/>
  <c r="D324" i="18"/>
  <c r="D326" i="18" s="1"/>
  <c r="C324" i="18"/>
  <c r="C326" i="18" s="1"/>
  <c r="C330" i="18" s="1"/>
  <c r="E318" i="18"/>
  <c r="E315" i="18"/>
  <c r="D314" i="18"/>
  <c r="D316" i="18" s="1"/>
  <c r="C314" i="18"/>
  <c r="C316" i="18" s="1"/>
  <c r="C320" i="18" s="1"/>
  <c r="E308" i="18"/>
  <c r="E305" i="18"/>
  <c r="D301" i="18"/>
  <c r="D303" i="18"/>
  <c r="C301" i="18"/>
  <c r="E301" i="18" s="1"/>
  <c r="D293" i="18"/>
  <c r="E293" i="18" s="1"/>
  <c r="C293" i="18"/>
  <c r="D292" i="18"/>
  <c r="C292" i="18"/>
  <c r="D291" i="18"/>
  <c r="E291" i="18" s="1"/>
  <c r="C291" i="18"/>
  <c r="D290" i="18"/>
  <c r="C290" i="18"/>
  <c r="E290" i="18"/>
  <c r="D288" i="18"/>
  <c r="C288" i="18"/>
  <c r="E288" i="18"/>
  <c r="D287" i="18"/>
  <c r="E287" i="18" s="1"/>
  <c r="C287" i="18"/>
  <c r="D282" i="18"/>
  <c r="C282" i="18"/>
  <c r="E282" i="18" s="1"/>
  <c r="D281" i="18"/>
  <c r="C281" i="18"/>
  <c r="E281" i="18" s="1"/>
  <c r="D280" i="18"/>
  <c r="C280" i="18"/>
  <c r="E280" i="18"/>
  <c r="D279" i="18"/>
  <c r="E279" i="18" s="1"/>
  <c r="C279" i="18"/>
  <c r="D278" i="18"/>
  <c r="C278" i="18"/>
  <c r="D277" i="18"/>
  <c r="C277" i="18"/>
  <c r="E277" i="18" s="1"/>
  <c r="D276" i="18"/>
  <c r="E276" i="18" s="1"/>
  <c r="C276" i="18"/>
  <c r="E270" i="18"/>
  <c r="D265" i="18"/>
  <c r="D302" i="18"/>
  <c r="C265" i="18"/>
  <c r="C302" i="18"/>
  <c r="E302" i="18" s="1"/>
  <c r="D262" i="18"/>
  <c r="E262" i="18" s="1"/>
  <c r="C262" i="18"/>
  <c r="D251" i="18"/>
  <c r="C251" i="18"/>
  <c r="D233" i="18"/>
  <c r="D253" i="18" s="1"/>
  <c r="C233" i="18"/>
  <c r="C253" i="18"/>
  <c r="D232" i="18"/>
  <c r="E232" i="18"/>
  <c r="C232" i="18"/>
  <c r="D231" i="18"/>
  <c r="E231" i="18" s="1"/>
  <c r="C231" i="18"/>
  <c r="D230" i="18"/>
  <c r="E230" i="18" s="1"/>
  <c r="C230" i="18"/>
  <c r="D228" i="18"/>
  <c r="E228" i="18"/>
  <c r="C228" i="18"/>
  <c r="D227" i="18"/>
  <c r="C227" i="18"/>
  <c r="E227" i="18"/>
  <c r="D221" i="18"/>
  <c r="D245" i="18" s="1"/>
  <c r="C221" i="18"/>
  <c r="D220" i="18"/>
  <c r="D244" i="18" s="1"/>
  <c r="C220" i="18"/>
  <c r="C244" i="18"/>
  <c r="D219" i="18"/>
  <c r="D243" i="18" s="1"/>
  <c r="C219" i="18"/>
  <c r="C243" i="18" s="1"/>
  <c r="D218" i="18"/>
  <c r="D242" i="18" s="1"/>
  <c r="C218" i="18"/>
  <c r="C242" i="18"/>
  <c r="D216" i="18"/>
  <c r="D240" i="18"/>
  <c r="E240" i="18"/>
  <c r="C216" i="18"/>
  <c r="C240" i="18" s="1"/>
  <c r="D215" i="18"/>
  <c r="D239" i="18"/>
  <c r="E239" i="18"/>
  <c r="C215" i="18"/>
  <c r="C239" i="18"/>
  <c r="E209" i="18"/>
  <c r="E208" i="18"/>
  <c r="E207" i="18"/>
  <c r="E206" i="18"/>
  <c r="D205" i="18"/>
  <c r="C205" i="18"/>
  <c r="C229" i="18"/>
  <c r="E204" i="18"/>
  <c r="E203" i="18"/>
  <c r="E197" i="18"/>
  <c r="E196" i="18"/>
  <c r="D195" i="18"/>
  <c r="D260" i="18" s="1"/>
  <c r="C195" i="18"/>
  <c r="C260" i="18" s="1"/>
  <c r="E194" i="18"/>
  <c r="E193" i="18"/>
  <c r="E192" i="18"/>
  <c r="E191" i="18"/>
  <c r="E190" i="18"/>
  <c r="D188" i="18"/>
  <c r="D189" i="18" s="1"/>
  <c r="D261" i="18"/>
  <c r="C188" i="18"/>
  <c r="E186" i="18"/>
  <c r="E185" i="18"/>
  <c r="D179" i="18"/>
  <c r="E179" i="18" s="1"/>
  <c r="C179" i="18"/>
  <c r="D178" i="18"/>
  <c r="E178" i="18" s="1"/>
  <c r="C178" i="18"/>
  <c r="D177" i="18"/>
  <c r="C177" i="18"/>
  <c r="E177" i="18" s="1"/>
  <c r="D176" i="18"/>
  <c r="C176" i="18"/>
  <c r="E176" i="18"/>
  <c r="D175" i="18"/>
  <c r="D174" i="18"/>
  <c r="C174" i="18"/>
  <c r="E174" i="18"/>
  <c r="D173" i="18"/>
  <c r="E173" i="18"/>
  <c r="C173" i="18"/>
  <c r="D167" i="18"/>
  <c r="C167" i="18"/>
  <c r="D166" i="18"/>
  <c r="E166" i="18" s="1"/>
  <c r="C166" i="18"/>
  <c r="D165" i="18"/>
  <c r="C165" i="18"/>
  <c r="E165" i="18"/>
  <c r="D164" i="18"/>
  <c r="E164" i="18" s="1"/>
  <c r="C164" i="18"/>
  <c r="D162" i="18"/>
  <c r="E162" i="18"/>
  <c r="C162" i="18"/>
  <c r="D161" i="18"/>
  <c r="C161" i="18"/>
  <c r="E161" i="18"/>
  <c r="E155" i="18"/>
  <c r="E154" i="18"/>
  <c r="E153" i="18"/>
  <c r="E152" i="18"/>
  <c r="D151" i="18"/>
  <c r="C151" i="18"/>
  <c r="C156" i="18" s="1"/>
  <c r="C157" i="18" s="1"/>
  <c r="E150" i="18"/>
  <c r="E149" i="18"/>
  <c r="D144" i="18"/>
  <c r="E143" i="18"/>
  <c r="E142" i="18"/>
  <c r="E141" i="18"/>
  <c r="E140" i="18"/>
  <c r="D139" i="18"/>
  <c r="C139" i="18"/>
  <c r="C163" i="18" s="1"/>
  <c r="E138" i="18"/>
  <c r="E137" i="18"/>
  <c r="D75" i="18"/>
  <c r="C75" i="18"/>
  <c r="E75" i="18" s="1"/>
  <c r="D74" i="18"/>
  <c r="C74" i="18"/>
  <c r="D73" i="18"/>
  <c r="E73" i="18" s="1"/>
  <c r="C73" i="18"/>
  <c r="D72" i="18"/>
  <c r="C72" i="18"/>
  <c r="E72" i="18"/>
  <c r="D70" i="18"/>
  <c r="C70" i="18"/>
  <c r="D69" i="18"/>
  <c r="C69" i="18"/>
  <c r="E64" i="18"/>
  <c r="E63" i="18"/>
  <c r="E62" i="18"/>
  <c r="E61" i="18"/>
  <c r="D60" i="18"/>
  <c r="C60" i="18"/>
  <c r="E59" i="18"/>
  <c r="E58" i="18"/>
  <c r="D55" i="18"/>
  <c r="E55" i="18" s="1"/>
  <c r="D54" i="18"/>
  <c r="C54" i="18"/>
  <c r="C55" i="18" s="1"/>
  <c r="E53" i="18"/>
  <c r="E52" i="18"/>
  <c r="E51" i="18"/>
  <c r="E50" i="18"/>
  <c r="E49" i="18"/>
  <c r="E48" i="18"/>
  <c r="E47" i="18"/>
  <c r="D42" i="18"/>
  <c r="C42" i="18"/>
  <c r="E42" i="18"/>
  <c r="D41" i="18"/>
  <c r="E41" i="18"/>
  <c r="C41" i="18"/>
  <c r="D40" i="18"/>
  <c r="E40" i="18" s="1"/>
  <c r="C40" i="18"/>
  <c r="D39" i="18"/>
  <c r="C39" i="18"/>
  <c r="E39" i="18" s="1"/>
  <c r="D38" i="18"/>
  <c r="C38" i="18"/>
  <c r="E38" i="18"/>
  <c r="D37" i="18"/>
  <c r="E37" i="18" s="1"/>
  <c r="C37" i="18"/>
  <c r="C43" i="18"/>
  <c r="D36" i="18"/>
  <c r="C36" i="18"/>
  <c r="D33" i="18"/>
  <c r="D32" i="18"/>
  <c r="C32" i="18"/>
  <c r="E31" i="18"/>
  <c r="E30" i="18"/>
  <c r="E29" i="18"/>
  <c r="E28" i="18"/>
  <c r="E27" i="18"/>
  <c r="E26" i="18"/>
  <c r="E25" i="18"/>
  <c r="D21" i="18"/>
  <c r="C21" i="18"/>
  <c r="C22" i="18" s="1"/>
  <c r="C284" i="18" s="1"/>
  <c r="E20" i="18"/>
  <c r="E19" i="18"/>
  <c r="E18" i="18"/>
  <c r="E17" i="18"/>
  <c r="E16" i="18"/>
  <c r="E15" i="18"/>
  <c r="E14" i="18"/>
  <c r="E335" i="17"/>
  <c r="F335" i="17" s="1"/>
  <c r="E334" i="17"/>
  <c r="F334" i="17" s="1"/>
  <c r="F333" i="17"/>
  <c r="E333" i="17"/>
  <c r="F332" i="17"/>
  <c r="E332" i="17"/>
  <c r="F331" i="17"/>
  <c r="E331" i="17"/>
  <c r="E330" i="17"/>
  <c r="F330" i="17" s="1"/>
  <c r="F329" i="17"/>
  <c r="E329" i="17"/>
  <c r="F316" i="17"/>
  <c r="E316" i="17"/>
  <c r="D311" i="17"/>
  <c r="C311" i="17"/>
  <c r="F311" i="17" s="1"/>
  <c r="E308" i="17"/>
  <c r="F308" i="17" s="1"/>
  <c r="D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 s="1"/>
  <c r="E306" i="17" s="1"/>
  <c r="C250" i="17"/>
  <c r="C306" i="17"/>
  <c r="E249" i="17"/>
  <c r="F249" i="17"/>
  <c r="E248" i="17"/>
  <c r="F248" i="17" s="1"/>
  <c r="F245" i="17"/>
  <c r="E245" i="17"/>
  <c r="E244" i="17"/>
  <c r="F244" i="17" s="1"/>
  <c r="E243" i="17"/>
  <c r="F243" i="17"/>
  <c r="D238" i="17"/>
  <c r="C238" i="17"/>
  <c r="D237" i="17"/>
  <c r="C237" i="17"/>
  <c r="C239" i="17"/>
  <c r="E234" i="17"/>
  <c r="F234" i="17"/>
  <c r="E233" i="17"/>
  <c r="F233" i="17" s="1"/>
  <c r="D230" i="17"/>
  <c r="C230" i="17"/>
  <c r="D229" i="17"/>
  <c r="C229" i="17"/>
  <c r="E228" i="17"/>
  <c r="F228" i="17"/>
  <c r="D226" i="17"/>
  <c r="D227" i="17" s="1"/>
  <c r="C226" i="17"/>
  <c r="C227" i="17"/>
  <c r="E225" i="17"/>
  <c r="F225" i="17" s="1"/>
  <c r="E224" i="17"/>
  <c r="F224" i="17"/>
  <c r="D223" i="17"/>
  <c r="E223" i="17" s="1"/>
  <c r="C223" i="17"/>
  <c r="E222" i="17"/>
  <c r="F222" i="17"/>
  <c r="E221" i="17"/>
  <c r="F221" i="17"/>
  <c r="D204" i="17"/>
  <c r="C204" i="17"/>
  <c r="C285" i="17"/>
  <c r="D203" i="17"/>
  <c r="C203" i="17"/>
  <c r="C283" i="17"/>
  <c r="D198" i="17"/>
  <c r="C198" i="17"/>
  <c r="C290" i="17"/>
  <c r="D191" i="17"/>
  <c r="D280" i="17"/>
  <c r="C191" i="17"/>
  <c r="D189" i="17"/>
  <c r="D278" i="17"/>
  <c r="C189" i="17"/>
  <c r="D188" i="17"/>
  <c r="D277" i="17"/>
  <c r="C188" i="17"/>
  <c r="D180" i="17"/>
  <c r="D181" i="17" s="1"/>
  <c r="C180" i="17"/>
  <c r="D179" i="17"/>
  <c r="C179" i="17"/>
  <c r="D171" i="17"/>
  <c r="D172" i="17"/>
  <c r="D173" i="17" s="1"/>
  <c r="D175" i="17" s="1"/>
  <c r="C171" i="17"/>
  <c r="C172" i="17"/>
  <c r="D170" i="17"/>
  <c r="C170" i="17"/>
  <c r="E169" i="17"/>
  <c r="F169" i="17" s="1"/>
  <c r="E168" i="17"/>
  <c r="F168" i="17" s="1"/>
  <c r="D165" i="17"/>
  <c r="C165" i="17"/>
  <c r="E165" i="17" s="1"/>
  <c r="D164" i="17"/>
  <c r="C164" i="17"/>
  <c r="E163" i="17"/>
  <c r="F163" i="17" s="1"/>
  <c r="C159" i="17"/>
  <c r="D158" i="17"/>
  <c r="D159" i="17"/>
  <c r="C158" i="17"/>
  <c r="E157" i="17"/>
  <c r="F157" i="17" s="1"/>
  <c r="E156" i="17"/>
  <c r="F156" i="17"/>
  <c r="D155" i="17"/>
  <c r="E155" i="17"/>
  <c r="F155" i="17" s="1"/>
  <c r="C155" i="17"/>
  <c r="E154" i="17"/>
  <c r="F154" i="17" s="1"/>
  <c r="E153" i="17"/>
  <c r="F153" i="17"/>
  <c r="D145" i="17"/>
  <c r="E145" i="17"/>
  <c r="F145" i="17" s="1"/>
  <c r="C145" i="17"/>
  <c r="D144" i="17"/>
  <c r="E144" i="17" s="1"/>
  <c r="D146" i="17"/>
  <c r="E146" i="17" s="1"/>
  <c r="C144" i="17"/>
  <c r="C146" i="17" s="1"/>
  <c r="D136" i="17"/>
  <c r="D137" i="17"/>
  <c r="C136" i="17"/>
  <c r="C137" i="17"/>
  <c r="D135" i="17"/>
  <c r="E135" i="17" s="1"/>
  <c r="F135" i="17" s="1"/>
  <c r="C135" i="17"/>
  <c r="E134" i="17"/>
  <c r="F134" i="17" s="1"/>
  <c r="E133" i="17"/>
  <c r="F133" i="17"/>
  <c r="D130" i="17"/>
  <c r="E130" i="17" s="1"/>
  <c r="F130" i="17" s="1"/>
  <c r="C130" i="17"/>
  <c r="D129" i="17"/>
  <c r="C129" i="17"/>
  <c r="E128" i="17"/>
  <c r="F128" i="17" s="1"/>
  <c r="D123" i="17"/>
  <c r="D192" i="17" s="1"/>
  <c r="C123" i="17"/>
  <c r="E122" i="17"/>
  <c r="F122" i="17"/>
  <c r="E121" i="17"/>
  <c r="F121" i="17"/>
  <c r="D120" i="17"/>
  <c r="E120" i="17"/>
  <c r="F120" i="17"/>
  <c r="C120" i="17"/>
  <c r="E119" i="17"/>
  <c r="F119" i="17"/>
  <c r="E118" i="17"/>
  <c r="F118" i="17"/>
  <c r="F110" i="17"/>
  <c r="D110" i="17"/>
  <c r="E110" i="17"/>
  <c r="C110" i="17"/>
  <c r="D109" i="17"/>
  <c r="D111" i="17"/>
  <c r="C109" i="17"/>
  <c r="C111" i="17"/>
  <c r="D101" i="17"/>
  <c r="D102" i="17"/>
  <c r="C101" i="17"/>
  <c r="C102" i="17" s="1"/>
  <c r="F100" i="17"/>
  <c r="D100" i="17"/>
  <c r="E100" i="17" s="1"/>
  <c r="C100" i="17"/>
  <c r="F99" i="17"/>
  <c r="E99" i="17"/>
  <c r="E98" i="17"/>
  <c r="F98" i="17" s="1"/>
  <c r="D95" i="17"/>
  <c r="E95" i="17"/>
  <c r="C95" i="17"/>
  <c r="F95" i="17" s="1"/>
  <c r="F94" i="17"/>
  <c r="D94" i="17"/>
  <c r="E94" i="17"/>
  <c r="C94" i="17"/>
  <c r="E93" i="17"/>
  <c r="F93" i="17"/>
  <c r="D88" i="17"/>
  <c r="D89" i="17"/>
  <c r="C88" i="17"/>
  <c r="C89" i="17"/>
  <c r="F89" i="17"/>
  <c r="E87" i="17"/>
  <c r="F87" i="17"/>
  <c r="E86" i="17"/>
  <c r="F86" i="17" s="1"/>
  <c r="D85" i="17"/>
  <c r="E85" i="17"/>
  <c r="C85" i="17"/>
  <c r="F85" i="17" s="1"/>
  <c r="F84" i="17"/>
  <c r="E84" i="17"/>
  <c r="E83" i="17"/>
  <c r="F83" i="17" s="1"/>
  <c r="D76" i="17"/>
  <c r="D77" i="17" s="1"/>
  <c r="C76" i="17"/>
  <c r="C77" i="17" s="1"/>
  <c r="E77" i="17" s="1"/>
  <c r="E74" i="17"/>
  <c r="F74" i="17" s="1"/>
  <c r="E73" i="17"/>
  <c r="F73" i="17"/>
  <c r="D67" i="17"/>
  <c r="C67" i="17"/>
  <c r="D66" i="17"/>
  <c r="D68" i="17" s="1"/>
  <c r="C66" i="17"/>
  <c r="D59" i="17"/>
  <c r="D60" i="17"/>
  <c r="C59" i="17"/>
  <c r="C60" i="17"/>
  <c r="D58" i="17"/>
  <c r="C58" i="17"/>
  <c r="E57" i="17"/>
  <c r="F57" i="17" s="1"/>
  <c r="E56" i="17"/>
  <c r="F56" i="17"/>
  <c r="D53" i="17"/>
  <c r="E53" i="17" s="1"/>
  <c r="C53" i="17"/>
  <c r="D52" i="17"/>
  <c r="C52" i="17"/>
  <c r="E51" i="17"/>
  <c r="F51" i="17" s="1"/>
  <c r="D47" i="17"/>
  <c r="D48" i="17"/>
  <c r="C47" i="17"/>
  <c r="C48" i="17"/>
  <c r="E46" i="17"/>
  <c r="F46" i="17"/>
  <c r="E45" i="17"/>
  <c r="F45" i="17" s="1"/>
  <c r="D44" i="17"/>
  <c r="C44" i="17"/>
  <c r="E43" i="17"/>
  <c r="F43" i="17" s="1"/>
  <c r="E42" i="17"/>
  <c r="F42" i="17"/>
  <c r="D36" i="17"/>
  <c r="D37" i="17" s="1"/>
  <c r="C36" i="17"/>
  <c r="D35" i="17"/>
  <c r="C35" i="17"/>
  <c r="D30" i="17"/>
  <c r="D31" i="17" s="1"/>
  <c r="C30" i="17"/>
  <c r="C31" i="17"/>
  <c r="D29" i="17"/>
  <c r="C29" i="17"/>
  <c r="E28" i="17"/>
  <c r="F28" i="17"/>
  <c r="E27" i="17"/>
  <c r="F27" i="17" s="1"/>
  <c r="D24" i="17"/>
  <c r="C24" i="17"/>
  <c r="D23" i="17"/>
  <c r="C23" i="17"/>
  <c r="E22" i="17"/>
  <c r="F22" i="17"/>
  <c r="D20" i="17"/>
  <c r="C20" i="17"/>
  <c r="E19" i="17"/>
  <c r="F19" i="17" s="1"/>
  <c r="E18" i="17"/>
  <c r="F18" i="17"/>
  <c r="D17" i="17"/>
  <c r="C17" i="17"/>
  <c r="E16" i="17"/>
  <c r="F16" i="17" s="1"/>
  <c r="E15" i="17"/>
  <c r="F15" i="17"/>
  <c r="D23" i="16"/>
  <c r="E23" i="16" s="1"/>
  <c r="C23" i="16"/>
  <c r="E22" i="16"/>
  <c r="F22" i="16" s="1"/>
  <c r="E21" i="16"/>
  <c r="F21" i="16" s="1"/>
  <c r="D18" i="16"/>
  <c r="E18" i="16" s="1"/>
  <c r="C18" i="16"/>
  <c r="F18" i="16" s="1"/>
  <c r="F17" i="16"/>
  <c r="E17" i="16"/>
  <c r="D14" i="16"/>
  <c r="E14" i="16"/>
  <c r="F14" i="16"/>
  <c r="C14" i="16"/>
  <c r="E13" i="16"/>
  <c r="F13" i="16" s="1"/>
  <c r="E12" i="16"/>
  <c r="F12" i="16" s="1"/>
  <c r="D107" i="15"/>
  <c r="E107" i="15"/>
  <c r="F107" i="15"/>
  <c r="C107" i="15"/>
  <c r="E106" i="15"/>
  <c r="F106" i="15" s="1"/>
  <c r="E105" i="15"/>
  <c r="F105" i="15" s="1"/>
  <c r="E104" i="15"/>
  <c r="F104" i="15" s="1"/>
  <c r="D100" i="15"/>
  <c r="E100" i="15" s="1"/>
  <c r="C100" i="15"/>
  <c r="F100" i="15" s="1"/>
  <c r="E99" i="15"/>
  <c r="F99" i="15" s="1"/>
  <c r="E98" i="15"/>
  <c r="F98" i="15" s="1"/>
  <c r="F97" i="15"/>
  <c r="E97" i="15"/>
  <c r="E96" i="15"/>
  <c r="F96" i="15" s="1"/>
  <c r="E95" i="15"/>
  <c r="F95" i="15" s="1"/>
  <c r="D92" i="15"/>
  <c r="E92" i="15"/>
  <c r="F92" i="15" s="1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E81" i="15"/>
  <c r="F81" i="15" s="1"/>
  <c r="F80" i="15"/>
  <c r="E80" i="15"/>
  <c r="F79" i="15"/>
  <c r="E79" i="15"/>
  <c r="D75" i="15"/>
  <c r="C75" i="15"/>
  <c r="E74" i="15"/>
  <c r="F74" i="15" s="1"/>
  <c r="F73" i="15"/>
  <c r="E73" i="15"/>
  <c r="E75" i="15" s="1"/>
  <c r="D70" i="15"/>
  <c r="C70" i="15"/>
  <c r="F69" i="15"/>
  <c r="E69" i="15"/>
  <c r="E68" i="15"/>
  <c r="F68" i="15" s="1"/>
  <c r="D65" i="15"/>
  <c r="E65" i="15"/>
  <c r="C65" i="15"/>
  <c r="F64" i="15"/>
  <c r="E64" i="15"/>
  <c r="E63" i="15"/>
  <c r="F63" i="15" s="1"/>
  <c r="F60" i="15"/>
  <c r="D60" i="15"/>
  <c r="C60" i="15"/>
  <c r="F59" i="15"/>
  <c r="E59" i="15"/>
  <c r="E60" i="15" s="1"/>
  <c r="F58" i="15"/>
  <c r="E58" i="15"/>
  <c r="D55" i="15"/>
  <c r="E55" i="15" s="1"/>
  <c r="C55" i="15"/>
  <c r="F54" i="15"/>
  <c r="E54" i="15"/>
  <c r="E53" i="15"/>
  <c r="F53" i="15" s="1"/>
  <c r="D50" i="15"/>
  <c r="C50" i="15"/>
  <c r="F49" i="15"/>
  <c r="E49" i="15"/>
  <c r="E48" i="15"/>
  <c r="F48" i="15" s="1"/>
  <c r="D45" i="15"/>
  <c r="E45" i="15" s="1"/>
  <c r="C45" i="15"/>
  <c r="F44" i="15"/>
  <c r="E44" i="15"/>
  <c r="E43" i="15"/>
  <c r="F43" i="15" s="1"/>
  <c r="D37" i="15"/>
  <c r="E37" i="15"/>
  <c r="C37" i="15"/>
  <c r="F36" i="15"/>
  <c r="E36" i="15"/>
  <c r="F35" i="15"/>
  <c r="E35" i="15"/>
  <c r="E34" i="15"/>
  <c r="F34" i="15" s="1"/>
  <c r="F33" i="15"/>
  <c r="E33" i="15"/>
  <c r="F30" i="15"/>
  <c r="D30" i="15"/>
  <c r="E30" i="15" s="1"/>
  <c r="C30" i="15"/>
  <c r="F29" i="15"/>
  <c r="E29" i="15"/>
  <c r="F28" i="15"/>
  <c r="E28" i="15"/>
  <c r="F27" i="15"/>
  <c r="E27" i="15"/>
  <c r="F26" i="15"/>
  <c r="E26" i="15"/>
  <c r="D23" i="15"/>
  <c r="C23" i="15"/>
  <c r="F22" i="15"/>
  <c r="E22" i="15"/>
  <c r="E21" i="15"/>
  <c r="F21" i="15" s="1"/>
  <c r="E20" i="15"/>
  <c r="F20" i="15" s="1"/>
  <c r="E19" i="15"/>
  <c r="F19" i="15" s="1"/>
  <c r="D16" i="15"/>
  <c r="E16" i="15" s="1"/>
  <c r="C16" i="15"/>
  <c r="F16" i="15" s="1"/>
  <c r="F15" i="15"/>
  <c r="E15" i="15"/>
  <c r="E14" i="15"/>
  <c r="F14" i="15" s="1"/>
  <c r="F13" i="15"/>
  <c r="E13" i="15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/>
  <c r="D17" i="14"/>
  <c r="D33" i="14" s="1"/>
  <c r="D36" i="14" s="1"/>
  <c r="D38" i="14" s="1"/>
  <c r="D40" i="14"/>
  <c r="C17" i="14"/>
  <c r="C31" i="14" s="1"/>
  <c r="I16" i="14"/>
  <c r="H16" i="14"/>
  <c r="I15" i="14"/>
  <c r="H15" i="14"/>
  <c r="I13" i="14"/>
  <c r="H13" i="14"/>
  <c r="I11" i="14"/>
  <c r="H11" i="14"/>
  <c r="E79" i="13"/>
  <c r="E80" i="13" s="1"/>
  <c r="D79" i="13"/>
  <c r="C79" i="13"/>
  <c r="E78" i="13"/>
  <c r="E77" i="13"/>
  <c r="D78" i="13"/>
  <c r="C78" i="13"/>
  <c r="C80" i="13" s="1"/>
  <c r="C77" i="13" s="1"/>
  <c r="D75" i="13"/>
  <c r="E73" i="13"/>
  <c r="E75" i="13"/>
  <c r="D73" i="13"/>
  <c r="C73" i="13"/>
  <c r="C75" i="13" s="1"/>
  <c r="E71" i="13"/>
  <c r="D71" i="13"/>
  <c r="C71" i="13"/>
  <c r="E66" i="13"/>
  <c r="D66" i="13"/>
  <c r="D65" i="13" s="1"/>
  <c r="C66" i="13"/>
  <c r="E65" i="13"/>
  <c r="C65" i="13"/>
  <c r="E60" i="13"/>
  <c r="D60" i="13"/>
  <c r="C60" i="13"/>
  <c r="E58" i="13"/>
  <c r="D58" i="13"/>
  <c r="C58" i="13"/>
  <c r="E55" i="13"/>
  <c r="D55" i="13"/>
  <c r="C55" i="13"/>
  <c r="E54" i="13"/>
  <c r="D54" i="13"/>
  <c r="D50" i="13"/>
  <c r="C54" i="13"/>
  <c r="E50" i="13"/>
  <c r="C50" i="13"/>
  <c r="E46" i="13"/>
  <c r="E59" i="13"/>
  <c r="E61" i="13"/>
  <c r="E57" i="13" s="1"/>
  <c r="D46" i="13"/>
  <c r="D48" i="13" s="1"/>
  <c r="D59" i="13"/>
  <c r="D61" i="13" s="1"/>
  <c r="D57" i="13" s="1"/>
  <c r="C46" i="13"/>
  <c r="C59" i="13"/>
  <c r="C61" i="13" s="1"/>
  <c r="C57" i="13" s="1"/>
  <c r="E45" i="13"/>
  <c r="D45" i="13"/>
  <c r="C45" i="13"/>
  <c r="E38" i="13"/>
  <c r="D38" i="13"/>
  <c r="C38" i="13"/>
  <c r="E33" i="13"/>
  <c r="E34" i="13" s="1"/>
  <c r="D33" i="13"/>
  <c r="D34" i="13"/>
  <c r="E26" i="13"/>
  <c r="D26" i="13"/>
  <c r="C26" i="13"/>
  <c r="D25" i="13"/>
  <c r="D27" i="13" s="1"/>
  <c r="D24" i="13"/>
  <c r="E13" i="13"/>
  <c r="E25" i="13" s="1"/>
  <c r="E27" i="13" s="1"/>
  <c r="D13" i="13"/>
  <c r="D15" i="13" s="1"/>
  <c r="C13" i="13"/>
  <c r="C25" i="13"/>
  <c r="C27" i="13" s="1"/>
  <c r="F47" i="12"/>
  <c r="D47" i="12"/>
  <c r="E47" i="12" s="1"/>
  <c r="C47" i="12"/>
  <c r="F46" i="12"/>
  <c r="E46" i="12"/>
  <c r="F45" i="12"/>
  <c r="E45" i="12"/>
  <c r="D40" i="12"/>
  <c r="E40" i="12" s="1"/>
  <c r="C40" i="12"/>
  <c r="F40" i="12" s="1"/>
  <c r="F39" i="12"/>
  <c r="E39" i="12"/>
  <c r="F38" i="12"/>
  <c r="E38" i="12"/>
  <c r="E37" i="12"/>
  <c r="F37" i="12" s="1"/>
  <c r="D32" i="12"/>
  <c r="C32" i="12"/>
  <c r="F31" i="12"/>
  <c r="E31" i="12"/>
  <c r="E30" i="12"/>
  <c r="F30" i="12" s="1"/>
  <c r="F29" i="12"/>
  <c r="E29" i="12"/>
  <c r="E28" i="12"/>
  <c r="F28" i="12" s="1"/>
  <c r="F27" i="12"/>
  <c r="E27" i="12"/>
  <c r="F26" i="12"/>
  <c r="E26" i="12"/>
  <c r="E25" i="12"/>
  <c r="F25" i="12" s="1"/>
  <c r="E24" i="12"/>
  <c r="F24" i="12" s="1"/>
  <c r="F23" i="12"/>
  <c r="E23" i="12"/>
  <c r="F19" i="12"/>
  <c r="E19" i="12"/>
  <c r="E18" i="12"/>
  <c r="F18" i="12" s="1"/>
  <c r="F16" i="12"/>
  <c r="E16" i="12"/>
  <c r="D15" i="12"/>
  <c r="D17" i="12" s="1"/>
  <c r="C15" i="12"/>
  <c r="C17" i="12" s="1"/>
  <c r="F14" i="12"/>
  <c r="E14" i="12"/>
  <c r="E13" i="12"/>
  <c r="F13" i="12" s="1"/>
  <c r="F12" i="12"/>
  <c r="E12" i="12"/>
  <c r="E11" i="12"/>
  <c r="F11" i="12" s="1"/>
  <c r="D73" i="11"/>
  <c r="E73" i="11" s="1"/>
  <c r="C73" i="11"/>
  <c r="E72" i="11"/>
  <c r="F72" i="11" s="1"/>
  <c r="E71" i="11"/>
  <c r="F71" i="11" s="1"/>
  <c r="F70" i="11"/>
  <c r="E70" i="11"/>
  <c r="F67" i="11"/>
  <c r="E67" i="11"/>
  <c r="E64" i="11"/>
  <c r="F64" i="11" s="1"/>
  <c r="E63" i="11"/>
  <c r="F63" i="11" s="1"/>
  <c r="D61" i="11"/>
  <c r="D65" i="11" s="1"/>
  <c r="C61" i="11"/>
  <c r="C65" i="11"/>
  <c r="C75" i="11" s="1"/>
  <c r="F60" i="11"/>
  <c r="E60" i="11"/>
  <c r="E59" i="11"/>
  <c r="F59" i="11" s="1"/>
  <c r="D56" i="11"/>
  <c r="D75" i="11" s="1"/>
  <c r="E75" i="11" s="1"/>
  <c r="F75" i="11" s="1"/>
  <c r="C56" i="11"/>
  <c r="E55" i="11"/>
  <c r="F55" i="11" s="1"/>
  <c r="F54" i="11"/>
  <c r="E54" i="11"/>
  <c r="E53" i="11"/>
  <c r="F53" i="11" s="1"/>
  <c r="F52" i="11"/>
  <c r="E52" i="11"/>
  <c r="E51" i="11"/>
  <c r="F51" i="11" s="1"/>
  <c r="E50" i="11"/>
  <c r="F50" i="11" s="1"/>
  <c r="A50" i="11"/>
  <c r="A51" i="11" s="1"/>
  <c r="A52" i="11" s="1"/>
  <c r="A53" i="11" s="1"/>
  <c r="A54" i="11" s="1"/>
  <c r="A55" i="11" s="1"/>
  <c r="F49" i="11"/>
  <c r="E49" i="11"/>
  <c r="E40" i="11"/>
  <c r="F40" i="11" s="1"/>
  <c r="D38" i="11"/>
  <c r="D41" i="11"/>
  <c r="C38" i="11"/>
  <c r="C41" i="11"/>
  <c r="F37" i="11"/>
  <c r="E37" i="11"/>
  <c r="E36" i="11"/>
  <c r="F36" i="11" s="1"/>
  <c r="F33" i="11"/>
  <c r="E33" i="11"/>
  <c r="F32" i="11"/>
  <c r="E32" i="11"/>
  <c r="F31" i="11"/>
  <c r="E31" i="11"/>
  <c r="D29" i="11"/>
  <c r="F29" i="11"/>
  <c r="C29" i="11"/>
  <c r="E29" i="11" s="1"/>
  <c r="E28" i="11"/>
  <c r="F28" i="11" s="1"/>
  <c r="F27" i="11"/>
  <c r="E27" i="11"/>
  <c r="F26" i="11"/>
  <c r="E26" i="11"/>
  <c r="F25" i="11"/>
  <c r="E25" i="11"/>
  <c r="D22" i="11"/>
  <c r="D43" i="11"/>
  <c r="C22" i="11"/>
  <c r="E21" i="11"/>
  <c r="F21" i="11" s="1"/>
  <c r="F20" i="11"/>
  <c r="E20" i="11"/>
  <c r="E19" i="11"/>
  <c r="F19" i="11" s="1"/>
  <c r="F18" i="11"/>
  <c r="E18" i="11"/>
  <c r="F17" i="11"/>
  <c r="E17" i="11"/>
  <c r="F16" i="11"/>
  <c r="E16" i="11"/>
  <c r="E15" i="11"/>
  <c r="F15" i="11" s="1"/>
  <c r="F14" i="11"/>
  <c r="E14" i="11"/>
  <c r="E13" i="11"/>
  <c r="F13" i="11" s="1"/>
  <c r="D120" i="10"/>
  <c r="E120" i="10" s="1"/>
  <c r="C120" i="10"/>
  <c r="D119" i="10"/>
  <c r="E119" i="10" s="1"/>
  <c r="C119" i="10"/>
  <c r="D118" i="10"/>
  <c r="E118" i="10"/>
  <c r="C118" i="10"/>
  <c r="D117" i="10"/>
  <c r="E117" i="10" s="1"/>
  <c r="C117" i="10"/>
  <c r="D116" i="10"/>
  <c r="E116" i="10"/>
  <c r="C116" i="10"/>
  <c r="D115" i="10"/>
  <c r="E115" i="10" s="1"/>
  <c r="C115" i="10"/>
  <c r="F115" i="10" s="1"/>
  <c r="D114" i="10"/>
  <c r="E114" i="10" s="1"/>
  <c r="C114" i="10"/>
  <c r="D113" i="10"/>
  <c r="C113" i="10"/>
  <c r="C122" i="10"/>
  <c r="D112" i="10"/>
  <c r="C112" i="10"/>
  <c r="C121" i="10" s="1"/>
  <c r="D108" i="10"/>
  <c r="C108" i="10"/>
  <c r="E108" i="10" s="1"/>
  <c r="D107" i="10"/>
  <c r="E107" i="10"/>
  <c r="F107" i="10"/>
  <c r="C107" i="10"/>
  <c r="E106" i="10"/>
  <c r="F106" i="10" s="1"/>
  <c r="E105" i="10"/>
  <c r="F105" i="10" s="1"/>
  <c r="E104" i="10"/>
  <c r="F104" i="10" s="1"/>
  <c r="F103" i="10"/>
  <c r="E103" i="10"/>
  <c r="E102" i="10"/>
  <c r="F102" i="10" s="1"/>
  <c r="F101" i="10"/>
  <c r="E101" i="10"/>
  <c r="E100" i="10"/>
  <c r="F100" i="10" s="1"/>
  <c r="F99" i="10"/>
  <c r="E99" i="10"/>
  <c r="E98" i="10"/>
  <c r="F98" i="10" s="1"/>
  <c r="D96" i="10"/>
  <c r="C96" i="10"/>
  <c r="D95" i="10"/>
  <c r="E95" i="10" s="1"/>
  <c r="C95" i="10"/>
  <c r="E94" i="10"/>
  <c r="F94" i="10" s="1"/>
  <c r="E93" i="10"/>
  <c r="F93" i="10" s="1"/>
  <c r="F92" i="10"/>
  <c r="E92" i="10"/>
  <c r="E91" i="10"/>
  <c r="F91" i="10" s="1"/>
  <c r="F90" i="10"/>
  <c r="E90" i="10"/>
  <c r="E89" i="10"/>
  <c r="F89" i="10" s="1"/>
  <c r="F88" i="10"/>
  <c r="E88" i="10"/>
  <c r="E87" i="10"/>
  <c r="F87" i="10" s="1"/>
  <c r="E86" i="10"/>
  <c r="F86" i="10" s="1"/>
  <c r="D84" i="10"/>
  <c r="E84" i="10" s="1"/>
  <c r="C84" i="10"/>
  <c r="F84" i="10" s="1"/>
  <c r="D83" i="10"/>
  <c r="E83" i="10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 s="1"/>
  <c r="C72" i="10"/>
  <c r="F71" i="10"/>
  <c r="D71" i="10"/>
  <c r="E71" i="10" s="1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 s="1"/>
  <c r="D59" i="10"/>
  <c r="E59" i="10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C48" i="10"/>
  <c r="F47" i="10"/>
  <c r="D47" i="10"/>
  <c r="E47" i="10" s="1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/>
  <c r="F36" i="10"/>
  <c r="C36" i="10"/>
  <c r="D35" i="10"/>
  <c r="C35" i="10"/>
  <c r="E34" i="10"/>
  <c r="F34" i="10" s="1"/>
  <c r="F33" i="10"/>
  <c r="E33" i="10"/>
  <c r="E32" i="10"/>
  <c r="F32" i="10" s="1"/>
  <c r="E31" i="10"/>
  <c r="F31" i="10" s="1"/>
  <c r="E30" i="10"/>
  <c r="F30" i="10" s="1"/>
  <c r="F29" i="10"/>
  <c r="E29" i="10"/>
  <c r="E28" i="10"/>
  <c r="F28" i="10" s="1"/>
  <c r="E27" i="10"/>
  <c r="F27" i="10" s="1"/>
  <c r="E26" i="10"/>
  <c r="F26" i="10" s="1"/>
  <c r="F24" i="10"/>
  <c r="D24" i="10"/>
  <c r="C24" i="10"/>
  <c r="E24" i="10" s="1"/>
  <c r="F23" i="10"/>
  <c r="D23" i="10"/>
  <c r="E23" i="10" s="1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E206" i="9" s="1"/>
  <c r="D205" i="9"/>
  <c r="C205" i="9"/>
  <c r="D204" i="9"/>
  <c r="E204" i="9" s="1"/>
  <c r="F204" i="9" s="1"/>
  <c r="C204" i="9"/>
  <c r="D203" i="9"/>
  <c r="C203" i="9"/>
  <c r="E203" i="9" s="1"/>
  <c r="D202" i="9"/>
  <c r="E202" i="9"/>
  <c r="F202" i="9" s="1"/>
  <c r="C202" i="9"/>
  <c r="D201" i="9"/>
  <c r="C201" i="9"/>
  <c r="E201" i="9" s="1"/>
  <c r="D200" i="9"/>
  <c r="D207" i="9" s="1"/>
  <c r="E200" i="9"/>
  <c r="C200" i="9"/>
  <c r="D199" i="9"/>
  <c r="D208" i="9"/>
  <c r="E208" i="9" s="1"/>
  <c r="C199" i="9"/>
  <c r="D198" i="9"/>
  <c r="C198" i="9"/>
  <c r="F193" i="9"/>
  <c r="D193" i="9"/>
  <c r="E193" i="9"/>
  <c r="C193" i="9"/>
  <c r="D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 s="1"/>
  <c r="C180" i="9"/>
  <c r="F179" i="9"/>
  <c r="D179" i="9"/>
  <c r="E179" i="9" s="1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D166" i="9"/>
  <c r="E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/>
  <c r="F154" i="9" s="1"/>
  <c r="C154" i="9"/>
  <c r="D153" i="9"/>
  <c r="E153" i="9"/>
  <c r="C153" i="9"/>
  <c r="E152" i="9"/>
  <c r="F152" i="9" s="1"/>
  <c r="F151" i="9"/>
  <c r="E151" i="9"/>
  <c r="E150" i="9"/>
  <c r="F150" i="9" s="1"/>
  <c r="E149" i="9"/>
  <c r="F149" i="9" s="1"/>
  <c r="E148" i="9"/>
  <c r="F148" i="9" s="1"/>
  <c r="F147" i="9"/>
  <c r="E147" i="9"/>
  <c r="E146" i="9"/>
  <c r="F146" i="9" s="1"/>
  <c r="E145" i="9"/>
  <c r="F145" i="9" s="1"/>
  <c r="E144" i="9"/>
  <c r="F144" i="9" s="1"/>
  <c r="D141" i="9"/>
  <c r="E141" i="9" s="1"/>
  <c r="F141" i="9" s="1"/>
  <c r="C141" i="9"/>
  <c r="D140" i="9"/>
  <c r="C140" i="9"/>
  <c r="F139" i="9"/>
  <c r="E139" i="9"/>
  <c r="F138" i="9"/>
  <c r="E138" i="9"/>
  <c r="E137" i="9"/>
  <c r="F137" i="9" s="1"/>
  <c r="E136" i="9"/>
  <c r="F136" i="9" s="1"/>
  <c r="F135" i="9"/>
  <c r="E135" i="9"/>
  <c r="F134" i="9"/>
  <c r="E134" i="9"/>
  <c r="E133" i="9"/>
  <c r="F133" i="9" s="1"/>
  <c r="E132" i="9"/>
  <c r="F132" i="9" s="1"/>
  <c r="F131" i="9"/>
  <c r="E131" i="9"/>
  <c r="D128" i="9"/>
  <c r="E128" i="9"/>
  <c r="C128" i="9"/>
  <c r="F128" i="9" s="1"/>
  <c r="D127" i="9"/>
  <c r="E127" i="9"/>
  <c r="F127" i="9" s="1"/>
  <c r="C127" i="9"/>
  <c r="E126" i="9"/>
  <c r="F126" i="9" s="1"/>
  <c r="E125" i="9"/>
  <c r="F125" i="9" s="1"/>
  <c r="F124" i="9"/>
  <c r="E124" i="9"/>
  <c r="F123" i="9"/>
  <c r="E123" i="9"/>
  <c r="F122" i="9"/>
  <c r="E122" i="9"/>
  <c r="E121" i="9"/>
  <c r="F121" i="9" s="1"/>
  <c r="E120" i="9"/>
  <c r="F120" i="9" s="1"/>
  <c r="F119" i="9"/>
  <c r="E119" i="9"/>
  <c r="F118" i="9"/>
  <c r="E118" i="9"/>
  <c r="D115" i="9"/>
  <c r="C115" i="9"/>
  <c r="F115" i="9" s="1"/>
  <c r="D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/>
  <c r="F102" i="9"/>
  <c r="C102" i="9"/>
  <c r="D101" i="9"/>
  <c r="E101" i="9"/>
  <c r="C101" i="9"/>
  <c r="E100" i="9"/>
  <c r="F100" i="9" s="1"/>
  <c r="F99" i="9"/>
  <c r="E99" i="9"/>
  <c r="E98" i="9"/>
  <c r="F98" i="9" s="1"/>
  <c r="E97" i="9"/>
  <c r="F97" i="9" s="1"/>
  <c r="F96" i="9"/>
  <c r="E96" i="9"/>
  <c r="F95" i="9"/>
  <c r="E95" i="9"/>
  <c r="F94" i="9"/>
  <c r="E94" i="9"/>
  <c r="E93" i="9"/>
  <c r="F93" i="9" s="1"/>
  <c r="F92" i="9"/>
  <c r="E92" i="9"/>
  <c r="D89" i="9"/>
  <c r="C89" i="9"/>
  <c r="D88" i="9"/>
  <c r="C88" i="9"/>
  <c r="F87" i="9"/>
  <c r="E87" i="9"/>
  <c r="E86" i="9"/>
  <c r="F86" i="9" s="1"/>
  <c r="E85" i="9"/>
  <c r="F85" i="9" s="1"/>
  <c r="F84" i="9"/>
  <c r="E84" i="9"/>
  <c r="F83" i="9"/>
  <c r="E83" i="9"/>
  <c r="F82" i="9"/>
  <c r="E82" i="9"/>
  <c r="E81" i="9"/>
  <c r="F81" i="9" s="1"/>
  <c r="E80" i="9"/>
  <c r="F80" i="9" s="1"/>
  <c r="F79" i="9"/>
  <c r="E79" i="9"/>
  <c r="F76" i="9"/>
  <c r="D76" i="9"/>
  <c r="E76" i="9" s="1"/>
  <c r="C76" i="9"/>
  <c r="F75" i="9"/>
  <c r="D75" i="9"/>
  <c r="E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D63" i="9"/>
  <c r="C63" i="9"/>
  <c r="F63" i="9" s="1"/>
  <c r="D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C49" i="9"/>
  <c r="F48" i="9"/>
  <c r="E48" i="9"/>
  <c r="F47" i="9"/>
  <c r="E47" i="9"/>
  <c r="F46" i="9"/>
  <c r="E46" i="9"/>
  <c r="E45" i="9"/>
  <c r="F45" i="9" s="1"/>
  <c r="E44" i="9"/>
  <c r="F44" i="9" s="1"/>
  <c r="F43" i="9"/>
  <c r="E43" i="9"/>
  <c r="E42" i="9"/>
  <c r="F42" i="9" s="1"/>
  <c r="E41" i="9"/>
  <c r="F41" i="9" s="1"/>
  <c r="E40" i="9"/>
  <c r="F40" i="9" s="1"/>
  <c r="F37" i="9"/>
  <c r="D37" i="9"/>
  <c r="C37" i="9"/>
  <c r="E37" i="9" s="1"/>
  <c r="D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D23" i="9"/>
  <c r="E23" i="9"/>
  <c r="F23" i="9"/>
  <c r="C23" i="9"/>
  <c r="E22" i="9"/>
  <c r="F22" i="9" s="1"/>
  <c r="E21" i="9"/>
  <c r="F21" i="9" s="1"/>
  <c r="E20" i="9"/>
  <c r="F20" i="9" s="1"/>
  <c r="E19" i="9"/>
  <c r="F19" i="9" s="1"/>
  <c r="E18" i="9"/>
  <c r="F18" i="9" s="1"/>
  <c r="E17" i="9"/>
  <c r="F17" i="9" s="1"/>
  <c r="E16" i="9"/>
  <c r="F16" i="9" s="1"/>
  <c r="E15" i="9"/>
  <c r="F15" i="9" s="1"/>
  <c r="E14" i="9"/>
  <c r="F14" i="9" s="1"/>
  <c r="E191" i="8"/>
  <c r="D191" i="8"/>
  <c r="C191" i="8"/>
  <c r="E176" i="8"/>
  <c r="D176" i="8"/>
  <c r="C176" i="8"/>
  <c r="E164" i="8"/>
  <c r="D164" i="8"/>
  <c r="D160" i="8"/>
  <c r="D166" i="8"/>
  <c r="C164" i="8"/>
  <c r="E162" i="8"/>
  <c r="D162" i="8"/>
  <c r="C162" i="8"/>
  <c r="E161" i="8"/>
  <c r="D161" i="8"/>
  <c r="C161" i="8"/>
  <c r="E160" i="8"/>
  <c r="C160" i="8"/>
  <c r="C166" i="8"/>
  <c r="E147" i="8"/>
  <c r="E143" i="8" s="1"/>
  <c r="D147" i="8"/>
  <c r="D143" i="8"/>
  <c r="C147" i="8"/>
  <c r="C143" i="8" s="1"/>
  <c r="E145" i="8"/>
  <c r="D145" i="8"/>
  <c r="D149" i="8" s="1"/>
  <c r="C145" i="8"/>
  <c r="E144" i="8"/>
  <c r="E149" i="8" s="1"/>
  <c r="E135" i="8" s="1"/>
  <c r="D144" i="8"/>
  <c r="C144" i="8"/>
  <c r="E126" i="8"/>
  <c r="D126" i="8"/>
  <c r="C126" i="8"/>
  <c r="E119" i="8"/>
  <c r="D119" i="8"/>
  <c r="C119" i="8"/>
  <c r="E108" i="8"/>
  <c r="D108" i="8"/>
  <c r="C108" i="8"/>
  <c r="E107" i="8"/>
  <c r="E109" i="8" s="1"/>
  <c r="E106" i="8" s="1"/>
  <c r="D107" i="8"/>
  <c r="D109" i="8"/>
  <c r="D106" i="8" s="1"/>
  <c r="C107" i="8"/>
  <c r="C109" i="8" s="1"/>
  <c r="C106" i="8" s="1"/>
  <c r="E102" i="8"/>
  <c r="E104" i="8" s="1"/>
  <c r="D102" i="8"/>
  <c r="D104" i="8" s="1"/>
  <c r="C102" i="8"/>
  <c r="C104" i="8" s="1"/>
  <c r="E100" i="8"/>
  <c r="D100" i="8"/>
  <c r="C100" i="8"/>
  <c r="E95" i="8"/>
  <c r="E94" i="8"/>
  <c r="D95" i="8"/>
  <c r="C95" i="8"/>
  <c r="C94" i="8"/>
  <c r="D94" i="8"/>
  <c r="E89" i="8"/>
  <c r="D89" i="8"/>
  <c r="C89" i="8"/>
  <c r="E87" i="8"/>
  <c r="D87" i="8"/>
  <c r="C87" i="8"/>
  <c r="E84" i="8"/>
  <c r="E79" i="8" s="1"/>
  <c r="D84" i="8"/>
  <c r="D79" i="8" s="1"/>
  <c r="C84" i="8"/>
  <c r="C79" i="8" s="1"/>
  <c r="E83" i="8"/>
  <c r="D83" i="8"/>
  <c r="C83" i="8"/>
  <c r="E77" i="8"/>
  <c r="E75" i="8"/>
  <c r="E88" i="8"/>
  <c r="E90" i="8" s="1"/>
  <c r="E86" i="8" s="1"/>
  <c r="D75" i="8"/>
  <c r="D88" i="8"/>
  <c r="D90" i="8" s="1"/>
  <c r="C75" i="8"/>
  <c r="C77" i="8" s="1"/>
  <c r="C71" i="8" s="1"/>
  <c r="C88" i="8"/>
  <c r="C90" i="8" s="1"/>
  <c r="C86" i="8"/>
  <c r="E74" i="8"/>
  <c r="E71" i="8" s="1"/>
  <c r="D74" i="8"/>
  <c r="C74" i="8"/>
  <c r="E67" i="8"/>
  <c r="D67" i="8"/>
  <c r="C67" i="8"/>
  <c r="D43" i="8"/>
  <c r="E38" i="8"/>
  <c r="E57" i="8"/>
  <c r="E62" i="8" s="1"/>
  <c r="D38" i="8"/>
  <c r="D53" i="8" s="1"/>
  <c r="D57" i="8"/>
  <c r="D62" i="8"/>
  <c r="C38" i="8"/>
  <c r="C57" i="8"/>
  <c r="C62" i="8" s="1"/>
  <c r="E33" i="8"/>
  <c r="E34" i="8" s="1"/>
  <c r="D33" i="8"/>
  <c r="D34" i="8"/>
  <c r="E26" i="8"/>
  <c r="D26" i="8"/>
  <c r="C26" i="8"/>
  <c r="E25" i="8"/>
  <c r="E27" i="8" s="1"/>
  <c r="E24" i="8"/>
  <c r="E13" i="8"/>
  <c r="E15" i="8" s="1"/>
  <c r="E17" i="8" s="1"/>
  <c r="D13" i="8"/>
  <c r="D25" i="8" s="1"/>
  <c r="D27" i="8" s="1"/>
  <c r="C13" i="8"/>
  <c r="C25" i="8" s="1"/>
  <c r="F186" i="7"/>
  <c r="E186" i="7"/>
  <c r="D183" i="7"/>
  <c r="C183" i="7"/>
  <c r="C188" i="7" s="1"/>
  <c r="E182" i="7"/>
  <c r="F182" i="7" s="1"/>
  <c r="F181" i="7"/>
  <c r="E181" i="7"/>
  <c r="F180" i="7"/>
  <c r="E180" i="7"/>
  <c r="F179" i="7"/>
  <c r="E179" i="7"/>
  <c r="E178" i="7"/>
  <c r="F178" i="7" s="1"/>
  <c r="E177" i="7"/>
  <c r="F177" i="7" s="1"/>
  <c r="F176" i="7"/>
  <c r="E176" i="7"/>
  <c r="F175" i="7"/>
  <c r="E175" i="7"/>
  <c r="F174" i="7"/>
  <c r="E174" i="7"/>
  <c r="E173" i="7"/>
  <c r="F173" i="7" s="1"/>
  <c r="F172" i="7"/>
  <c r="E172" i="7"/>
  <c r="E171" i="7"/>
  <c r="F171" i="7" s="1"/>
  <c r="E170" i="7"/>
  <c r="F170" i="7" s="1"/>
  <c r="D167" i="7"/>
  <c r="E167" i="7"/>
  <c r="F167" i="7" s="1"/>
  <c r="C167" i="7"/>
  <c r="F166" i="7"/>
  <c r="E166" i="7"/>
  <c r="F165" i="7"/>
  <c r="E165" i="7"/>
  <c r="E164" i="7"/>
  <c r="F164" i="7" s="1"/>
  <c r="E163" i="7"/>
  <c r="F163" i="7"/>
  <c r="F162" i="7"/>
  <c r="E162" i="7"/>
  <c r="E161" i="7"/>
  <c r="F161" i="7"/>
  <c r="E160" i="7"/>
  <c r="F160" i="7" s="1"/>
  <c r="F159" i="7"/>
  <c r="E159" i="7"/>
  <c r="F158" i="7"/>
  <c r="E158" i="7"/>
  <c r="E157" i="7"/>
  <c r="F157" i="7"/>
  <c r="E156" i="7"/>
  <c r="F156" i="7" s="1"/>
  <c r="E155" i="7"/>
  <c r="F155" i="7"/>
  <c r="E154" i="7"/>
  <c r="F154" i="7" s="1"/>
  <c r="F153" i="7"/>
  <c r="E153" i="7"/>
  <c r="E152" i="7"/>
  <c r="F152" i="7" s="1"/>
  <c r="F151" i="7"/>
  <c r="E151" i="7"/>
  <c r="E150" i="7"/>
  <c r="F150" i="7" s="1"/>
  <c r="E149" i="7"/>
  <c r="F149" i="7"/>
  <c r="E148" i="7"/>
  <c r="F148" i="7" s="1"/>
  <c r="E147" i="7"/>
  <c r="F147" i="7"/>
  <c r="E146" i="7"/>
  <c r="F146" i="7" s="1"/>
  <c r="E145" i="7"/>
  <c r="F145" i="7"/>
  <c r="E144" i="7"/>
  <c r="F144" i="7" s="1"/>
  <c r="F143" i="7"/>
  <c r="E143" i="7"/>
  <c r="E142" i="7"/>
  <c r="F142" i="7" s="1"/>
  <c r="E141" i="7"/>
  <c r="F141" i="7"/>
  <c r="E140" i="7"/>
  <c r="F140" i="7" s="1"/>
  <c r="E139" i="7"/>
  <c r="F139" i="7"/>
  <c r="E138" i="7"/>
  <c r="F138" i="7" s="1"/>
  <c r="E137" i="7"/>
  <c r="F137" i="7"/>
  <c r="E136" i="7"/>
  <c r="F136" i="7" s="1"/>
  <c r="E135" i="7"/>
  <c r="F135" i="7" s="1"/>
  <c r="E134" i="7"/>
  <c r="F134" i="7" s="1"/>
  <c r="E133" i="7"/>
  <c r="F133" i="7"/>
  <c r="D130" i="7"/>
  <c r="E130" i="7" s="1"/>
  <c r="F130" i="7" s="1"/>
  <c r="C130" i="7"/>
  <c r="E129" i="7"/>
  <c r="F129" i="7" s="1"/>
  <c r="E128" i="7"/>
  <c r="F128" i="7" s="1"/>
  <c r="E127" i="7"/>
  <c r="F127" i="7"/>
  <c r="E126" i="7"/>
  <c r="F126" i="7" s="1"/>
  <c r="E125" i="7"/>
  <c r="F125" i="7"/>
  <c r="E124" i="7"/>
  <c r="F124" i="7" s="1"/>
  <c r="D121" i="7"/>
  <c r="C121" i="7"/>
  <c r="E120" i="7"/>
  <c r="F120" i="7" s="1"/>
  <c r="E119" i="7"/>
  <c r="F119" i="7" s="1"/>
  <c r="E118" i="7"/>
  <c r="F118" i="7" s="1"/>
  <c r="E117" i="7"/>
  <c r="F117" i="7"/>
  <c r="E116" i="7"/>
  <c r="F116" i="7" s="1"/>
  <c r="E115" i="7"/>
  <c r="F115" i="7"/>
  <c r="F114" i="7"/>
  <c r="E114" i="7"/>
  <c r="E113" i="7"/>
  <c r="F113" i="7"/>
  <c r="E112" i="7"/>
  <c r="F112" i="7" s="1"/>
  <c r="E111" i="7"/>
  <c r="F111" i="7" s="1"/>
  <c r="E110" i="7"/>
  <c r="F110" i="7" s="1"/>
  <c r="E109" i="7"/>
  <c r="F109" i="7"/>
  <c r="E108" i="7"/>
  <c r="F108" i="7" s="1"/>
  <c r="E107" i="7"/>
  <c r="F107" i="7" s="1"/>
  <c r="E106" i="7"/>
  <c r="F106" i="7" s="1"/>
  <c r="E105" i="7"/>
  <c r="F105" i="7"/>
  <c r="E104" i="7"/>
  <c r="F104" i="7" s="1"/>
  <c r="E103" i="7"/>
  <c r="F103" i="7"/>
  <c r="E93" i="7"/>
  <c r="F93" i="7" s="1"/>
  <c r="D90" i="7"/>
  <c r="C90" i="7"/>
  <c r="E89" i="7"/>
  <c r="F89" i="7" s="1"/>
  <c r="E88" i="7"/>
  <c r="F88" i="7"/>
  <c r="E87" i="7"/>
  <c r="F87" i="7" s="1"/>
  <c r="F86" i="7"/>
  <c r="E86" i="7"/>
  <c r="E85" i="7"/>
  <c r="F85" i="7" s="1"/>
  <c r="E84" i="7"/>
  <c r="F84" i="7" s="1"/>
  <c r="E83" i="7"/>
  <c r="F83" i="7" s="1"/>
  <c r="E82" i="7"/>
  <c r="F82" i="7"/>
  <c r="E81" i="7"/>
  <c r="F81" i="7" s="1"/>
  <c r="E80" i="7"/>
  <c r="F80" i="7"/>
  <c r="E79" i="7"/>
  <c r="F79" i="7" s="1"/>
  <c r="E78" i="7"/>
  <c r="F78" i="7"/>
  <c r="F77" i="7"/>
  <c r="E77" i="7"/>
  <c r="E76" i="7"/>
  <c r="F76" i="7" s="1"/>
  <c r="E75" i="7"/>
  <c r="F75" i="7" s="1"/>
  <c r="E74" i="7"/>
  <c r="F74" i="7"/>
  <c r="E73" i="7"/>
  <c r="F73" i="7" s="1"/>
  <c r="E72" i="7"/>
  <c r="F72" i="7" s="1"/>
  <c r="E71" i="7"/>
  <c r="F71" i="7" s="1"/>
  <c r="E70" i="7"/>
  <c r="F70" i="7"/>
  <c r="E69" i="7"/>
  <c r="F69" i="7" s="1"/>
  <c r="E68" i="7"/>
  <c r="F68" i="7"/>
  <c r="E67" i="7"/>
  <c r="F67" i="7" s="1"/>
  <c r="E66" i="7"/>
  <c r="F66" i="7"/>
  <c r="E65" i="7"/>
  <c r="F65" i="7" s="1"/>
  <c r="E64" i="7"/>
  <c r="F64" i="7" s="1"/>
  <c r="E63" i="7"/>
  <c r="F63" i="7" s="1"/>
  <c r="E62" i="7"/>
  <c r="F62" i="7"/>
  <c r="D59" i="7"/>
  <c r="C59" i="7"/>
  <c r="E59" i="7"/>
  <c r="F59" i="7" s="1"/>
  <c r="F58" i="7"/>
  <c r="E58" i="7"/>
  <c r="E57" i="7"/>
  <c r="F57" i="7"/>
  <c r="E56" i="7"/>
  <c r="F56" i="7" s="1"/>
  <c r="E55" i="7"/>
  <c r="F55" i="7"/>
  <c r="E54" i="7"/>
  <c r="F54" i="7" s="1"/>
  <c r="E53" i="7"/>
  <c r="F53" i="7"/>
  <c r="E50" i="7"/>
  <c r="F50" i="7" s="1"/>
  <c r="E47" i="7"/>
  <c r="F47" i="7"/>
  <c r="E44" i="7"/>
  <c r="F44" i="7" s="1"/>
  <c r="D41" i="7"/>
  <c r="C41" i="7"/>
  <c r="E41" i="7"/>
  <c r="E40" i="7"/>
  <c r="F40" i="7" s="1"/>
  <c r="E39" i="7"/>
  <c r="F39" i="7" s="1"/>
  <c r="E38" i="7"/>
  <c r="F38" i="7" s="1"/>
  <c r="D35" i="7"/>
  <c r="C35" i="7"/>
  <c r="E35" i="7"/>
  <c r="E34" i="7"/>
  <c r="F34" i="7"/>
  <c r="E33" i="7"/>
  <c r="F33" i="7" s="1"/>
  <c r="D30" i="7"/>
  <c r="C30" i="7"/>
  <c r="E30" i="7"/>
  <c r="E29" i="7"/>
  <c r="F29" i="7" s="1"/>
  <c r="F28" i="7"/>
  <c r="E28" i="7"/>
  <c r="E27" i="7"/>
  <c r="F27" i="7" s="1"/>
  <c r="D24" i="7"/>
  <c r="C24" i="7"/>
  <c r="E23" i="7"/>
  <c r="F23" i="7"/>
  <c r="E22" i="7"/>
  <c r="F22" i="7" s="1"/>
  <c r="E21" i="7"/>
  <c r="F21" i="7" s="1"/>
  <c r="D18" i="7"/>
  <c r="C18" i="7"/>
  <c r="E17" i="7"/>
  <c r="F17" i="7" s="1"/>
  <c r="E16" i="7"/>
  <c r="F16" i="7" s="1"/>
  <c r="E15" i="7"/>
  <c r="F15" i="7"/>
  <c r="D179" i="6"/>
  <c r="E179" i="6" s="1"/>
  <c r="C179" i="6"/>
  <c r="F178" i="6"/>
  <c r="E178" i="6"/>
  <c r="F177" i="6"/>
  <c r="E177" i="6"/>
  <c r="F176" i="6"/>
  <c r="E176" i="6"/>
  <c r="E175" i="6"/>
  <c r="F175" i="6" s="1"/>
  <c r="F174" i="6"/>
  <c r="E174" i="6"/>
  <c r="F173" i="6"/>
  <c r="E173" i="6"/>
  <c r="E172" i="6"/>
  <c r="F172" i="6" s="1"/>
  <c r="E171" i="6"/>
  <c r="F171" i="6" s="1"/>
  <c r="E170" i="6"/>
  <c r="F170" i="6" s="1"/>
  <c r="F169" i="6"/>
  <c r="E169" i="6"/>
  <c r="E168" i="6"/>
  <c r="F168" i="6" s="1"/>
  <c r="D166" i="6"/>
  <c r="F166" i="6"/>
  <c r="C166" i="6"/>
  <c r="E166" i="6" s="1"/>
  <c r="F165" i="6"/>
  <c r="E165" i="6"/>
  <c r="F164" i="6"/>
  <c r="E164" i="6"/>
  <c r="E163" i="6"/>
  <c r="F163" i="6" s="1"/>
  <c r="E162" i="6"/>
  <c r="F162" i="6" s="1"/>
  <c r="F161" i="6"/>
  <c r="E161" i="6"/>
  <c r="F160" i="6"/>
  <c r="E160" i="6"/>
  <c r="E159" i="6"/>
  <c r="F159" i="6" s="1"/>
  <c r="F158" i="6"/>
  <c r="E158" i="6"/>
  <c r="F157" i="6"/>
  <c r="E157" i="6"/>
  <c r="F156" i="6"/>
  <c r="E156" i="6"/>
  <c r="E155" i="6"/>
  <c r="F155" i="6" s="1"/>
  <c r="D153" i="6"/>
  <c r="E153" i="6"/>
  <c r="C153" i="6"/>
  <c r="E152" i="6"/>
  <c r="F152" i="6" s="1"/>
  <c r="F151" i="6"/>
  <c r="E151" i="6"/>
  <c r="E150" i="6"/>
  <c r="F150" i="6" s="1"/>
  <c r="E149" i="6"/>
  <c r="F149" i="6" s="1"/>
  <c r="E148" i="6"/>
  <c r="F148" i="6" s="1"/>
  <c r="E147" i="6"/>
  <c r="F147" i="6" s="1"/>
  <c r="F146" i="6"/>
  <c r="E146" i="6"/>
  <c r="E145" i="6"/>
  <c r="F145" i="6" s="1"/>
  <c r="E144" i="6"/>
  <c r="F144" i="6" s="1"/>
  <c r="E143" i="6"/>
  <c r="F143" i="6" s="1"/>
  <c r="E142" i="6"/>
  <c r="F142" i="6" s="1"/>
  <c r="D137" i="6"/>
  <c r="F137" i="6"/>
  <c r="C137" i="6"/>
  <c r="E137" i="6" s="1"/>
  <c r="E136" i="6"/>
  <c r="F136" i="6" s="1"/>
  <c r="F135" i="6"/>
  <c r="E135" i="6"/>
  <c r="E134" i="6"/>
  <c r="F134" i="6" s="1"/>
  <c r="E133" i="6"/>
  <c r="F133" i="6" s="1"/>
  <c r="E132" i="6"/>
  <c r="F132" i="6" s="1"/>
  <c r="E131" i="6"/>
  <c r="F131" i="6" s="1"/>
  <c r="E130" i="6"/>
  <c r="F130" i="6" s="1"/>
  <c r="E129" i="6"/>
  <c r="F129" i="6" s="1"/>
  <c r="E128" i="6"/>
  <c r="F128" i="6" s="1"/>
  <c r="F127" i="6"/>
  <c r="E127" i="6"/>
  <c r="E126" i="6"/>
  <c r="F126" i="6" s="1"/>
  <c r="D124" i="6"/>
  <c r="E124" i="6"/>
  <c r="C124" i="6"/>
  <c r="E123" i="6"/>
  <c r="F123" i="6" s="1"/>
  <c r="F122" i="6"/>
  <c r="E122" i="6"/>
  <c r="E121" i="6"/>
  <c r="F121" i="6" s="1"/>
  <c r="F120" i="6"/>
  <c r="E120" i="6"/>
  <c r="F119" i="6"/>
  <c r="E119" i="6"/>
  <c r="F118" i="6"/>
  <c r="E118" i="6"/>
  <c r="E117" i="6"/>
  <c r="F117" i="6" s="1"/>
  <c r="F116" i="6"/>
  <c r="E116" i="6"/>
  <c r="E115" i="6"/>
  <c r="F115" i="6" s="1"/>
  <c r="F114" i="6"/>
  <c r="E114" i="6"/>
  <c r="E113" i="6"/>
  <c r="F113" i="6" s="1"/>
  <c r="D111" i="6"/>
  <c r="E111" i="6" s="1"/>
  <c r="F111" i="6"/>
  <c r="C111" i="6"/>
  <c r="F110" i="6"/>
  <c r="E110" i="6"/>
  <c r="F109" i="6"/>
  <c r="E109" i="6"/>
  <c r="F108" i="6"/>
  <c r="E108" i="6"/>
  <c r="F107" i="6"/>
  <c r="E107" i="6"/>
  <c r="F106" i="6"/>
  <c r="E106" i="6"/>
  <c r="E105" i="6"/>
  <c r="F105" i="6" s="1"/>
  <c r="F104" i="6"/>
  <c r="E104" i="6"/>
  <c r="E103" i="6"/>
  <c r="F103" i="6" s="1"/>
  <c r="F102" i="6"/>
  <c r="E102" i="6"/>
  <c r="E101" i="6"/>
  <c r="F101" i="6" s="1"/>
  <c r="F100" i="6"/>
  <c r="E100" i="6"/>
  <c r="D94" i="6"/>
  <c r="E94" i="6" s="1"/>
  <c r="F94" i="6"/>
  <c r="C94" i="6"/>
  <c r="D93" i="6"/>
  <c r="E93" i="6"/>
  <c r="C93" i="6"/>
  <c r="F93" i="6" s="1"/>
  <c r="F92" i="6"/>
  <c r="D92" i="6"/>
  <c r="E92" i="6" s="1"/>
  <c r="C92" i="6"/>
  <c r="D91" i="6"/>
  <c r="E91" i="6"/>
  <c r="F91" i="6"/>
  <c r="C91" i="6"/>
  <c r="D90" i="6"/>
  <c r="E90" i="6" s="1"/>
  <c r="F90" i="6" s="1"/>
  <c r="C90" i="6"/>
  <c r="D89" i="6"/>
  <c r="E89" i="6"/>
  <c r="F89" i="6"/>
  <c r="C89" i="6"/>
  <c r="D88" i="6"/>
  <c r="E88" i="6" s="1"/>
  <c r="F88" i="6" s="1"/>
  <c r="C88" i="6"/>
  <c r="D87" i="6"/>
  <c r="E87" i="6"/>
  <c r="F87" i="6"/>
  <c r="C87" i="6"/>
  <c r="D86" i="6"/>
  <c r="E86" i="6" s="1"/>
  <c r="F86" i="6" s="1"/>
  <c r="C86" i="6"/>
  <c r="D85" i="6"/>
  <c r="E85" i="6"/>
  <c r="F85" i="6"/>
  <c r="C85" i="6"/>
  <c r="D84" i="6"/>
  <c r="D95" i="6" s="1"/>
  <c r="E95" i="6" s="1"/>
  <c r="C84" i="6"/>
  <c r="C95" i="6" s="1"/>
  <c r="D81" i="6"/>
  <c r="C81" i="6"/>
  <c r="E80" i="6"/>
  <c r="F80" i="6" s="1"/>
  <c r="F79" i="6"/>
  <c r="E79" i="6"/>
  <c r="F78" i="6"/>
  <c r="E78" i="6"/>
  <c r="E77" i="6"/>
  <c r="F77" i="6" s="1"/>
  <c r="F76" i="6"/>
  <c r="E76" i="6"/>
  <c r="F75" i="6"/>
  <c r="E75" i="6"/>
  <c r="E74" i="6"/>
  <c r="F74" i="6" s="1"/>
  <c r="E73" i="6"/>
  <c r="F73" i="6" s="1"/>
  <c r="E72" i="6"/>
  <c r="F72" i="6" s="1"/>
  <c r="F71" i="6"/>
  <c r="E71" i="6"/>
  <c r="E70" i="6"/>
  <c r="F70" i="6" s="1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E62" i="6"/>
  <c r="F62" i="6" s="1"/>
  <c r="E61" i="6"/>
  <c r="F61" i="6" s="1"/>
  <c r="E60" i="6"/>
  <c r="F60" i="6" s="1"/>
  <c r="F59" i="6"/>
  <c r="E59" i="6"/>
  <c r="E58" i="6"/>
  <c r="F58" i="6" s="1"/>
  <c r="E57" i="6"/>
  <c r="F57" i="6" s="1"/>
  <c r="D51" i="6"/>
  <c r="E51" i="6"/>
  <c r="F51" i="6" s="1"/>
  <c r="C51" i="6"/>
  <c r="D50" i="6"/>
  <c r="C50" i="6"/>
  <c r="F50" i="6" s="1"/>
  <c r="D49" i="6"/>
  <c r="E49" i="6"/>
  <c r="F49" i="6" s="1"/>
  <c r="C49" i="6"/>
  <c r="D48" i="6"/>
  <c r="E48" i="6"/>
  <c r="C48" i="6"/>
  <c r="D47" i="6"/>
  <c r="E47" i="6"/>
  <c r="F47" i="6" s="1"/>
  <c r="C47" i="6"/>
  <c r="D46" i="6"/>
  <c r="E46" i="6"/>
  <c r="C46" i="6"/>
  <c r="D45" i="6"/>
  <c r="E45" i="6" s="1"/>
  <c r="F45" i="6" s="1"/>
  <c r="C45" i="6"/>
  <c r="D44" i="6"/>
  <c r="C44" i="6"/>
  <c r="D43" i="6"/>
  <c r="E43" i="6" s="1"/>
  <c r="F43" i="6" s="1"/>
  <c r="C43" i="6"/>
  <c r="D42" i="6"/>
  <c r="C42" i="6"/>
  <c r="D41" i="6"/>
  <c r="E41" i="6" s="1"/>
  <c r="D52" i="6"/>
  <c r="C41" i="6"/>
  <c r="C52" i="6" s="1"/>
  <c r="D38" i="6"/>
  <c r="E38" i="6"/>
  <c r="C38" i="6"/>
  <c r="E37" i="6"/>
  <c r="F37" i="6" s="1"/>
  <c r="F36" i="6"/>
  <c r="E36" i="6"/>
  <c r="E35" i="6"/>
  <c r="F35" i="6" s="1"/>
  <c r="E34" i="6"/>
  <c r="F34" i="6" s="1"/>
  <c r="F33" i="6"/>
  <c r="E33" i="6"/>
  <c r="F32" i="6"/>
  <c r="E32" i="6"/>
  <c r="E31" i="6"/>
  <c r="F31" i="6" s="1"/>
  <c r="E30" i="6"/>
  <c r="F30" i="6" s="1"/>
  <c r="F29" i="6"/>
  <c r="E29" i="6"/>
  <c r="F28" i="6"/>
  <c r="E28" i="6"/>
  <c r="E27" i="6"/>
  <c r="F27" i="6" s="1"/>
  <c r="D25" i="6"/>
  <c r="F25" i="6"/>
  <c r="C25" i="6"/>
  <c r="E25" i="6" s="1"/>
  <c r="E24" i="6"/>
  <c r="F24" i="6" s="1"/>
  <c r="F23" i="6"/>
  <c r="E23" i="6"/>
  <c r="E22" i="6"/>
  <c r="F22" i="6" s="1"/>
  <c r="F21" i="6"/>
  <c r="E21" i="6"/>
  <c r="E20" i="6"/>
  <c r="F20" i="6" s="1"/>
  <c r="E19" i="6"/>
  <c r="F19" i="6" s="1"/>
  <c r="E18" i="6"/>
  <c r="F18" i="6" s="1"/>
  <c r="F17" i="6"/>
  <c r="E17" i="6"/>
  <c r="E16" i="6"/>
  <c r="F16" i="6" s="1"/>
  <c r="E15" i="6"/>
  <c r="F15" i="6" s="1"/>
  <c r="E14" i="6"/>
  <c r="F14" i="6" s="1"/>
  <c r="F51" i="5"/>
  <c r="E51" i="5"/>
  <c r="D48" i="5"/>
  <c r="C48" i="5"/>
  <c r="F47" i="5"/>
  <c r="E47" i="5"/>
  <c r="F46" i="5"/>
  <c r="E46" i="5"/>
  <c r="D41" i="5"/>
  <c r="E41" i="5" s="1"/>
  <c r="C41" i="5"/>
  <c r="F40" i="5"/>
  <c r="E40" i="5"/>
  <c r="F39" i="5"/>
  <c r="E39" i="5"/>
  <c r="E38" i="5"/>
  <c r="F38" i="5" s="1"/>
  <c r="D33" i="5"/>
  <c r="E33" i="5"/>
  <c r="C33" i="5"/>
  <c r="E32" i="5"/>
  <c r="F32" i="5" s="1"/>
  <c r="F31" i="5"/>
  <c r="E31" i="5"/>
  <c r="E30" i="5"/>
  <c r="F30" i="5" s="1"/>
  <c r="E29" i="5"/>
  <c r="F29" i="5" s="1"/>
  <c r="E28" i="5"/>
  <c r="F28" i="5" s="1"/>
  <c r="F27" i="5"/>
  <c r="E27" i="5"/>
  <c r="F26" i="5"/>
  <c r="E26" i="5"/>
  <c r="E25" i="5"/>
  <c r="F25" i="5" s="1"/>
  <c r="E24" i="5"/>
  <c r="F24" i="5" s="1"/>
  <c r="F20" i="5"/>
  <c r="E20" i="5"/>
  <c r="E19" i="5"/>
  <c r="F19" i="5" s="1"/>
  <c r="F17" i="5"/>
  <c r="E17" i="5"/>
  <c r="D16" i="5"/>
  <c r="C16" i="5"/>
  <c r="C18" i="5" s="1"/>
  <c r="E15" i="5"/>
  <c r="F15" i="5" s="1"/>
  <c r="E14" i="5"/>
  <c r="F14" i="5" s="1"/>
  <c r="F13" i="5"/>
  <c r="E13" i="5"/>
  <c r="F12" i="5"/>
  <c r="E12" i="5"/>
  <c r="D73" i="4"/>
  <c r="E73" i="4"/>
  <c r="C73" i="4"/>
  <c r="E72" i="4"/>
  <c r="F72" i="4" s="1"/>
  <c r="E71" i="4"/>
  <c r="F71" i="4" s="1"/>
  <c r="E70" i="4"/>
  <c r="F70" i="4" s="1"/>
  <c r="F67" i="4"/>
  <c r="E67" i="4"/>
  <c r="E64" i="4"/>
  <c r="F64" i="4" s="1"/>
  <c r="E63" i="4"/>
  <c r="F63" i="4" s="1"/>
  <c r="D61" i="4"/>
  <c r="D65" i="4"/>
  <c r="C61" i="4"/>
  <c r="C65" i="4"/>
  <c r="F60" i="4"/>
  <c r="E60" i="4"/>
  <c r="E59" i="4"/>
  <c r="F59" i="4" s="1"/>
  <c r="D56" i="4"/>
  <c r="C56" i="4"/>
  <c r="F55" i="4"/>
  <c r="E55" i="4"/>
  <c r="F54" i="4"/>
  <c r="E54" i="4"/>
  <c r="E53" i="4"/>
  <c r="F53" i="4" s="1"/>
  <c r="E52" i="4"/>
  <c r="F52" i="4"/>
  <c r="E51" i="4"/>
  <c r="F51" i="4" s="1"/>
  <c r="A51" i="4"/>
  <c r="A52" i="4"/>
  <c r="A53" i="4" s="1"/>
  <c r="A54" i="4"/>
  <c r="A55" i="4"/>
  <c r="E50" i="4"/>
  <c r="F50" i="4" s="1"/>
  <c r="A50" i="4"/>
  <c r="E49" i="4"/>
  <c r="F49" i="4" s="1"/>
  <c r="E40" i="4"/>
  <c r="F40" i="4" s="1"/>
  <c r="D38" i="4"/>
  <c r="C38" i="4"/>
  <c r="C41" i="4"/>
  <c r="F37" i="4"/>
  <c r="E37" i="4"/>
  <c r="E36" i="4"/>
  <c r="F36" i="4" s="1"/>
  <c r="F33" i="4"/>
  <c r="E33" i="4"/>
  <c r="F32" i="4"/>
  <c r="E32" i="4"/>
  <c r="F31" i="4"/>
  <c r="E31" i="4"/>
  <c r="D29" i="4"/>
  <c r="E29" i="4"/>
  <c r="F29" i="4"/>
  <c r="C29" i="4"/>
  <c r="E28" i="4"/>
  <c r="F28" i="4" s="1"/>
  <c r="F27" i="4"/>
  <c r="E27" i="4"/>
  <c r="F26" i="4"/>
  <c r="E26" i="4"/>
  <c r="F25" i="4"/>
  <c r="E25" i="4"/>
  <c r="D22" i="4"/>
  <c r="C22" i="4"/>
  <c r="C43" i="4"/>
  <c r="E21" i="4"/>
  <c r="F21" i="4" s="1"/>
  <c r="E20" i="4"/>
  <c r="F20" i="4" s="1"/>
  <c r="E19" i="4"/>
  <c r="F19" i="4" s="1"/>
  <c r="F18" i="4"/>
  <c r="E18" i="4"/>
  <c r="E17" i="4"/>
  <c r="F17" i="4" s="1"/>
  <c r="F16" i="4"/>
  <c r="E16" i="4"/>
  <c r="E15" i="4"/>
  <c r="F15" i="4" s="1"/>
  <c r="E14" i="4"/>
  <c r="F14" i="4" s="1"/>
  <c r="E13" i="4"/>
  <c r="F13" i="4" s="1"/>
  <c r="E108" i="22"/>
  <c r="D22" i="22"/>
  <c r="C23" i="22"/>
  <c r="E23" i="22"/>
  <c r="D33" i="22"/>
  <c r="C34" i="22"/>
  <c r="E34" i="22"/>
  <c r="C102" i="22"/>
  <c r="C103" i="22" s="1"/>
  <c r="E102" i="22"/>
  <c r="C22" i="22"/>
  <c r="E22" i="22"/>
  <c r="F21" i="21"/>
  <c r="C41" i="20"/>
  <c r="D41" i="20"/>
  <c r="E39" i="20"/>
  <c r="E41" i="20"/>
  <c r="E19" i="20"/>
  <c r="F19" i="20"/>
  <c r="E43" i="20"/>
  <c r="E23" i="17"/>
  <c r="F23" i="17" s="1"/>
  <c r="E24" i="17"/>
  <c r="F24" i="17" s="1"/>
  <c r="E29" i="17"/>
  <c r="E36" i="17"/>
  <c r="E44" i="17"/>
  <c r="E229" i="17"/>
  <c r="F229" i="17" s="1"/>
  <c r="E230" i="17"/>
  <c r="E238" i="17"/>
  <c r="F238" i="17" s="1"/>
  <c r="E294" i="17"/>
  <c r="F294" i="17" s="1"/>
  <c r="E295" i="17"/>
  <c r="E296" i="17"/>
  <c r="E297" i="17"/>
  <c r="E298" i="17"/>
  <c r="E299" i="17"/>
  <c r="F299" i="17" s="1"/>
  <c r="D283" i="18"/>
  <c r="D22" i="18"/>
  <c r="D284" i="18" s="1"/>
  <c r="E284" i="18" s="1"/>
  <c r="E21" i="18"/>
  <c r="C33" i="18"/>
  <c r="E32" i="18"/>
  <c r="D43" i="18"/>
  <c r="D44" i="18" s="1"/>
  <c r="E54" i="18"/>
  <c r="C289" i="18"/>
  <c r="C71" i="18"/>
  <c r="C76" i="18" s="1"/>
  <c r="C65" i="18"/>
  <c r="E60" i="18"/>
  <c r="E70" i="18"/>
  <c r="E17" i="17"/>
  <c r="F17" i="17" s="1"/>
  <c r="E52" i="17"/>
  <c r="F53" i="17"/>
  <c r="E58" i="17"/>
  <c r="E67" i="17"/>
  <c r="F67" i="17"/>
  <c r="E33" i="18"/>
  <c r="C44" i="18"/>
  <c r="E69" i="18"/>
  <c r="C283" i="18"/>
  <c r="C144" i="18"/>
  <c r="D145" i="18"/>
  <c r="E151" i="18"/>
  <c r="C175" i="18"/>
  <c r="E175" i="18"/>
  <c r="C261" i="18"/>
  <c r="C189" i="18"/>
  <c r="E189" i="18" s="1"/>
  <c r="E188" i="18"/>
  <c r="E260" i="18"/>
  <c r="E242" i="18"/>
  <c r="E243" i="18"/>
  <c r="E244" i="18"/>
  <c r="D252" i="18"/>
  <c r="E253" i="18"/>
  <c r="C303" i="18"/>
  <c r="E139" i="18"/>
  <c r="E261" i="18"/>
  <c r="D306" i="18"/>
  <c r="D320" i="18"/>
  <c r="E320" i="18" s="1"/>
  <c r="E316" i="18"/>
  <c r="E326" i="18"/>
  <c r="D330" i="18"/>
  <c r="E330" i="18" s="1"/>
  <c r="E195" i="18"/>
  <c r="C210" i="18"/>
  <c r="E215" i="18"/>
  <c r="C217" i="18"/>
  <c r="C241" i="18"/>
  <c r="E219" i="18"/>
  <c r="D222" i="18"/>
  <c r="C252" i="18"/>
  <c r="C254" i="18" s="1"/>
  <c r="E265" i="18"/>
  <c r="E314" i="18"/>
  <c r="E205" i="18"/>
  <c r="E216" i="18"/>
  <c r="E218" i="18"/>
  <c r="E220" i="18"/>
  <c r="C222" i="18"/>
  <c r="D223" i="18"/>
  <c r="E233" i="18"/>
  <c r="E251" i="18"/>
  <c r="E324" i="18"/>
  <c r="D32" i="17"/>
  <c r="D90" i="17"/>
  <c r="C61" i="17"/>
  <c r="E89" i="17"/>
  <c r="D103" i="17"/>
  <c r="E102" i="17"/>
  <c r="F102" i="17" s="1"/>
  <c r="E111" i="17"/>
  <c r="F111" i="17"/>
  <c r="C207" i="17"/>
  <c r="C138" i="17"/>
  <c r="F146" i="17"/>
  <c r="E172" i="17"/>
  <c r="F172" i="17" s="1"/>
  <c r="C173" i="17"/>
  <c r="E60" i="17"/>
  <c r="F60" i="17"/>
  <c r="D61" i="17"/>
  <c r="C103" i="17"/>
  <c r="F103" i="17" s="1"/>
  <c r="D207" i="17"/>
  <c r="D138" i="17"/>
  <c r="D140" i="17" s="1"/>
  <c r="E137" i="17"/>
  <c r="F137" i="17"/>
  <c r="D21" i="17"/>
  <c r="F29" i="17"/>
  <c r="F36" i="17"/>
  <c r="F44" i="17"/>
  <c r="F52" i="17"/>
  <c r="F58" i="17"/>
  <c r="E88" i="17"/>
  <c r="F88" i="17" s="1"/>
  <c r="E101" i="17"/>
  <c r="F101" i="17"/>
  <c r="E109" i="17"/>
  <c r="F109" i="17"/>
  <c r="E123" i="17"/>
  <c r="F123" i="17"/>
  <c r="E136" i="17"/>
  <c r="F136" i="17" s="1"/>
  <c r="F144" i="17"/>
  <c r="E158" i="17"/>
  <c r="F158" i="17"/>
  <c r="E164" i="17"/>
  <c r="F164" i="17"/>
  <c r="E170" i="17"/>
  <c r="F170" i="17" s="1"/>
  <c r="C277" i="17"/>
  <c r="C261" i="17"/>
  <c r="C254" i="17"/>
  <c r="C214" i="17"/>
  <c r="C206" i="17"/>
  <c r="E188" i="17"/>
  <c r="F188" i="17" s="1"/>
  <c r="C280" i="17"/>
  <c r="E280" i="17" s="1"/>
  <c r="C264" i="17"/>
  <c r="C200" i="17"/>
  <c r="E191" i="17"/>
  <c r="F191" i="17"/>
  <c r="C286" i="17"/>
  <c r="E20" i="17"/>
  <c r="F20" i="17" s="1"/>
  <c r="C21" i="17"/>
  <c r="E30" i="17"/>
  <c r="F30" i="17"/>
  <c r="E35" i="17"/>
  <c r="F35" i="17"/>
  <c r="C37" i="17"/>
  <c r="E47" i="17"/>
  <c r="F47" i="17"/>
  <c r="E59" i="17"/>
  <c r="F59" i="17"/>
  <c r="E76" i="17"/>
  <c r="F76" i="17"/>
  <c r="D124" i="17"/>
  <c r="F165" i="17"/>
  <c r="E171" i="17"/>
  <c r="F171" i="17"/>
  <c r="E180" i="17"/>
  <c r="F180" i="17" s="1"/>
  <c r="C262" i="17"/>
  <c r="C215" i="17"/>
  <c r="D279" i="17"/>
  <c r="D190" i="17"/>
  <c r="D193" i="17"/>
  <c r="D266" i="17"/>
  <c r="D265" i="17" s="1"/>
  <c r="D290" i="17"/>
  <c r="E290" i="17" s="1"/>
  <c r="F290" i="17" s="1"/>
  <c r="D274" i="17"/>
  <c r="D199" i="17"/>
  <c r="D200" i="17"/>
  <c r="E200" i="17"/>
  <c r="D283" i="17"/>
  <c r="D267" i="17"/>
  <c r="D285" i="17"/>
  <c r="E285" i="17"/>
  <c r="F285" i="17"/>
  <c r="D269" i="17"/>
  <c r="D205" i="17"/>
  <c r="D206" i="17"/>
  <c r="E206" i="17" s="1"/>
  <c r="F206" i="17" s="1"/>
  <c r="D214" i="17"/>
  <c r="D215" i="17"/>
  <c r="F223" i="17"/>
  <c r="F230" i="17"/>
  <c r="D261" i="17"/>
  <c r="D268" i="17" s="1"/>
  <c r="D262" i="17"/>
  <c r="D264" i="17"/>
  <c r="E198" i="17"/>
  <c r="F198" i="17"/>
  <c r="C199" i="17"/>
  <c r="E203" i="17"/>
  <c r="F203" i="17"/>
  <c r="E204" i="17"/>
  <c r="F204" i="17" s="1"/>
  <c r="C205" i="17"/>
  <c r="E226" i="17"/>
  <c r="F226" i="17"/>
  <c r="E237" i="17"/>
  <c r="F237" i="17" s="1"/>
  <c r="E250" i="17"/>
  <c r="F250" i="17"/>
  <c r="C267" i="17"/>
  <c r="C269" i="17"/>
  <c r="C274" i="17"/>
  <c r="F295" i="17"/>
  <c r="F296" i="17"/>
  <c r="F297" i="17"/>
  <c r="F298" i="17"/>
  <c r="F23" i="16"/>
  <c r="F36" i="14"/>
  <c r="F38" i="14"/>
  <c r="F40" i="14"/>
  <c r="I31" i="14"/>
  <c r="I17" i="14"/>
  <c r="D31" i="14"/>
  <c r="F31" i="14"/>
  <c r="H31" i="14" s="1"/>
  <c r="C33" i="14"/>
  <c r="C36" i="14"/>
  <c r="C38" i="14"/>
  <c r="C40" i="14" s="1"/>
  <c r="E33" i="14"/>
  <c r="E36" i="14"/>
  <c r="E38" i="14" s="1"/>
  <c r="E40" i="14" s="1"/>
  <c r="G33" i="14"/>
  <c r="H17" i="14"/>
  <c r="C21" i="13"/>
  <c r="E21" i="13"/>
  <c r="C15" i="13"/>
  <c r="E15" i="13"/>
  <c r="D17" i="13"/>
  <c r="D28" i="13"/>
  <c r="D70" i="13"/>
  <c r="D72" i="13" s="1"/>
  <c r="D69" i="13" s="1"/>
  <c r="C48" i="13"/>
  <c r="C42" i="13"/>
  <c r="E48" i="13"/>
  <c r="E42" i="13"/>
  <c r="D20" i="12"/>
  <c r="E20" i="12" s="1"/>
  <c r="E17" i="12"/>
  <c r="F17" i="12" s="1"/>
  <c r="C20" i="12"/>
  <c r="E15" i="12"/>
  <c r="F15" i="12" s="1"/>
  <c r="E41" i="11"/>
  <c r="F41" i="11" s="1"/>
  <c r="F73" i="11"/>
  <c r="E22" i="11"/>
  <c r="F22" i="11" s="1"/>
  <c r="E38" i="11"/>
  <c r="F38" i="11" s="1"/>
  <c r="E56" i="11"/>
  <c r="F56" i="11" s="1"/>
  <c r="E61" i="11"/>
  <c r="F61" i="11"/>
  <c r="E112" i="10"/>
  <c r="F112" i="10"/>
  <c r="E113" i="10"/>
  <c r="F113" i="10" s="1"/>
  <c r="F200" i="9"/>
  <c r="F201" i="9"/>
  <c r="F203" i="9"/>
  <c r="F206" i="9"/>
  <c r="E198" i="9"/>
  <c r="F198" i="9" s="1"/>
  <c r="E199" i="9"/>
  <c r="F199" i="9" s="1"/>
  <c r="C207" i="9"/>
  <c r="C208" i="9"/>
  <c r="D21" i="8"/>
  <c r="D156" i="8"/>
  <c r="D154" i="8"/>
  <c r="D152" i="8"/>
  <c r="D153" i="8"/>
  <c r="D139" i="8"/>
  <c r="D135" i="8"/>
  <c r="D140" i="8"/>
  <c r="D138" i="8"/>
  <c r="D15" i="8"/>
  <c r="C43" i="8"/>
  <c r="E43" i="8"/>
  <c r="D49" i="8"/>
  <c r="C53" i="8"/>
  <c r="E53" i="8"/>
  <c r="D77" i="8"/>
  <c r="D71" i="8" s="1"/>
  <c r="C49" i="8"/>
  <c r="E49" i="8"/>
  <c r="F30" i="7"/>
  <c r="F35" i="7"/>
  <c r="F41" i="7"/>
  <c r="C95" i="7"/>
  <c r="E90" i="7"/>
  <c r="F90" i="7"/>
  <c r="E121" i="7"/>
  <c r="F121" i="7"/>
  <c r="E183" i="7"/>
  <c r="F183" i="7" s="1"/>
  <c r="F41" i="6"/>
  <c r="E84" i="6"/>
  <c r="F84" i="6" s="1"/>
  <c r="E22" i="4"/>
  <c r="F22" i="4" s="1"/>
  <c r="E56" i="4"/>
  <c r="F56" i="4"/>
  <c r="E61" i="4"/>
  <c r="E53" i="22"/>
  <c r="E45" i="22"/>
  <c r="E39" i="22"/>
  <c r="E35" i="22"/>
  <c r="E29" i="22"/>
  <c r="E110" i="22"/>
  <c r="C40" i="22"/>
  <c r="C36" i="22"/>
  <c r="C53" i="22"/>
  <c r="C45" i="22"/>
  <c r="C39" i="22"/>
  <c r="C35" i="22"/>
  <c r="C29" i="22"/>
  <c r="E111" i="22"/>
  <c r="E40" i="22"/>
  <c r="E36" i="22"/>
  <c r="D45" i="22"/>
  <c r="F39" i="20"/>
  <c r="F43" i="20"/>
  <c r="E46" i="20"/>
  <c r="F46" i="20"/>
  <c r="F41" i="20"/>
  <c r="C258" i="18"/>
  <c r="C100" i="18"/>
  <c r="C98" i="18"/>
  <c r="C96" i="18"/>
  <c r="C102" i="18"/>
  <c r="C89" i="18"/>
  <c r="C87" i="18"/>
  <c r="C85" i="18"/>
  <c r="C83" i="18"/>
  <c r="C91" i="18" s="1"/>
  <c r="C101" i="18"/>
  <c r="C99" i="18"/>
  <c r="C97" i="18"/>
  <c r="C95" i="18"/>
  <c r="C103" i="18" s="1"/>
  <c r="C88" i="18"/>
  <c r="C86" i="18"/>
  <c r="C84" i="18"/>
  <c r="C90" i="18" s="1"/>
  <c r="D258" i="18"/>
  <c r="D101" i="18"/>
  <c r="E101" i="18" s="1"/>
  <c r="D97" i="18"/>
  <c r="E97" i="18" s="1"/>
  <c r="D88" i="18"/>
  <c r="E88" i="18"/>
  <c r="D86" i="18"/>
  <c r="E86" i="18" s="1"/>
  <c r="D100" i="18"/>
  <c r="E100" i="18"/>
  <c r="D96" i="18"/>
  <c r="D89" i="18"/>
  <c r="E89" i="18" s="1"/>
  <c r="D85" i="18"/>
  <c r="E85" i="18" s="1"/>
  <c r="D83" i="18"/>
  <c r="E44" i="18"/>
  <c r="E43" i="18"/>
  <c r="E283" i="18"/>
  <c r="C211" i="18"/>
  <c r="C235" i="18"/>
  <c r="C234" i="18"/>
  <c r="D310" i="18"/>
  <c r="D271" i="17"/>
  <c r="D304" i="17" s="1"/>
  <c r="D263" i="17"/>
  <c r="D255" i="17"/>
  <c r="D270" i="17"/>
  <c r="D272" i="17"/>
  <c r="E214" i="17"/>
  <c r="D254" i="17"/>
  <c r="D216" i="17"/>
  <c r="E205" i="17"/>
  <c r="F205" i="17" s="1"/>
  <c r="E269" i="17"/>
  <c r="F269" i="17" s="1"/>
  <c r="D194" i="17"/>
  <c r="D195" i="17" s="1"/>
  <c r="F200" i="17"/>
  <c r="F280" i="17"/>
  <c r="C287" i="17"/>
  <c r="C284" i="17"/>
  <c r="D282" i="17"/>
  <c r="D281" i="17" s="1"/>
  <c r="E138" i="17"/>
  <c r="F138" i="17" s="1"/>
  <c r="D125" i="17"/>
  <c r="D105" i="17"/>
  <c r="D62" i="17"/>
  <c r="D300" i="17"/>
  <c r="E264" i="17"/>
  <c r="D288" i="17"/>
  <c r="C161" i="17"/>
  <c r="C91" i="17"/>
  <c r="C300" i="17"/>
  <c r="F214" i="17"/>
  <c r="D161" i="17"/>
  <c r="D162" i="17" s="1"/>
  <c r="D126" i="17"/>
  <c r="D91" i="17"/>
  <c r="E21" i="17"/>
  <c r="F21" i="17" s="1"/>
  <c r="D49" i="17"/>
  <c r="D208" i="17"/>
  <c r="D174" i="17"/>
  <c r="D139" i="17"/>
  <c r="D104" i="17"/>
  <c r="E173" i="17"/>
  <c r="F173" i="17" s="1"/>
  <c r="E103" i="17"/>
  <c r="C139" i="17"/>
  <c r="E37" i="17"/>
  <c r="F37" i="17"/>
  <c r="H33" i="14"/>
  <c r="H36" i="14" s="1"/>
  <c r="H38" i="14" s="1"/>
  <c r="H40" i="14" s="1"/>
  <c r="E24" i="13"/>
  <c r="E20" i="13"/>
  <c r="E17" i="13"/>
  <c r="E28" i="13"/>
  <c r="C24" i="13"/>
  <c r="C20" i="13" s="1"/>
  <c r="C17" i="13"/>
  <c r="C28" i="13"/>
  <c r="C70" i="13" s="1"/>
  <c r="C72" i="13" s="1"/>
  <c r="C69" i="13" s="1"/>
  <c r="D34" i="12"/>
  <c r="D42" i="12" s="1"/>
  <c r="D49" i="12" s="1"/>
  <c r="F20" i="12"/>
  <c r="C34" i="12"/>
  <c r="F207" i="9"/>
  <c r="E207" i="9"/>
  <c r="D24" i="8"/>
  <c r="D20" i="8" s="1"/>
  <c r="D17" i="8"/>
  <c r="D28" i="8" s="1"/>
  <c r="D22" i="8" s="1"/>
  <c r="E112" i="8"/>
  <c r="E111" i="8"/>
  <c r="E28" i="8"/>
  <c r="C55" i="22"/>
  <c r="C47" i="22"/>
  <c r="C37" i="22"/>
  <c r="E55" i="22"/>
  <c r="E47" i="22"/>
  <c r="E37" i="22"/>
  <c r="E112" i="22"/>
  <c r="E83" i="18"/>
  <c r="E258" i="18"/>
  <c r="C105" i="18"/>
  <c r="D50" i="17"/>
  <c r="E161" i="17"/>
  <c r="F161" i="17" s="1"/>
  <c r="D127" i="17"/>
  <c r="E300" i="17"/>
  <c r="F300" i="17" s="1"/>
  <c r="D141" i="17"/>
  <c r="E254" i="17"/>
  <c r="F254" i="17"/>
  <c r="C162" i="17"/>
  <c r="D63" i="17"/>
  <c r="D70" i="17" s="1"/>
  <c r="D106" i="17"/>
  <c r="D176" i="17"/>
  <c r="D273" i="17"/>
  <c r="C22" i="13"/>
  <c r="C42" i="12"/>
  <c r="E99" i="8"/>
  <c r="E101" i="8"/>
  <c r="E98" i="8" s="1"/>
  <c r="D112" i="8"/>
  <c r="D111" i="8"/>
  <c r="D322" i="17"/>
  <c r="D148" i="17"/>
  <c r="D183" i="17"/>
  <c r="E162" i="17"/>
  <c r="D99" i="8"/>
  <c r="D101" i="8"/>
  <c r="D98" i="8" s="1"/>
  <c r="F52" i="6" l="1"/>
  <c r="G36" i="14"/>
  <c r="G38" i="14" s="1"/>
  <c r="G40" i="14" s="1"/>
  <c r="I33" i="14"/>
  <c r="I36" i="14" s="1"/>
  <c r="I38" i="14" s="1"/>
  <c r="I40" i="14" s="1"/>
  <c r="F286" i="17"/>
  <c r="C168" i="18"/>
  <c r="C180" i="18"/>
  <c r="C145" i="18"/>
  <c r="E144" i="18"/>
  <c r="C294" i="18"/>
  <c r="C66" i="18"/>
  <c r="C295" i="18" s="1"/>
  <c r="F65" i="4"/>
  <c r="C75" i="4"/>
  <c r="E52" i="6"/>
  <c r="D21" i="13"/>
  <c r="D20" i="13"/>
  <c r="D22" i="13"/>
  <c r="D77" i="22"/>
  <c r="D101" i="22"/>
  <c r="D103" i="22" s="1"/>
  <c r="C49" i="12"/>
  <c r="E34" i="12"/>
  <c r="F34" i="12" s="1"/>
  <c r="F162" i="17"/>
  <c r="C267" i="18"/>
  <c r="D141" i="8"/>
  <c r="D287" i="17"/>
  <c r="D286" i="17"/>
  <c r="E286" i="17" s="1"/>
  <c r="E283" i="17"/>
  <c r="F283" i="17" s="1"/>
  <c r="D284" i="17"/>
  <c r="E284" i="17" s="1"/>
  <c r="F284" i="17" s="1"/>
  <c r="C259" i="18"/>
  <c r="C263" i="18" s="1"/>
  <c r="C264" i="18" s="1"/>
  <c r="C266" i="18" s="1"/>
  <c r="C77" i="18"/>
  <c r="F38" i="4"/>
  <c r="F33" i="5"/>
  <c r="F41" i="5"/>
  <c r="E81" i="6"/>
  <c r="F81" i="6" s="1"/>
  <c r="E24" i="7"/>
  <c r="F24" i="7"/>
  <c r="E96" i="18"/>
  <c r="D102" i="18"/>
  <c r="E102" i="18" s="1"/>
  <c r="E91" i="17"/>
  <c r="F91" i="17" s="1"/>
  <c r="D196" i="17"/>
  <c r="C263" i="17"/>
  <c r="E261" i="17"/>
  <c r="C271" i="17"/>
  <c r="C268" i="17"/>
  <c r="F261" i="17"/>
  <c r="E42" i="6"/>
  <c r="F42" i="6" s="1"/>
  <c r="E22" i="18"/>
  <c r="E61" i="17"/>
  <c r="F61" i="17"/>
  <c r="C174" i="17"/>
  <c r="C104" i="17"/>
  <c r="E222" i="18"/>
  <c r="C246" i="18"/>
  <c r="C223" i="18"/>
  <c r="D39" i="22"/>
  <c r="D35" i="22"/>
  <c r="D110" i="22"/>
  <c r="D53" i="22"/>
  <c r="D29" i="22"/>
  <c r="F95" i="6"/>
  <c r="D188" i="7"/>
  <c r="E188" i="7" s="1"/>
  <c r="E21" i="8"/>
  <c r="E20" i="8"/>
  <c r="E22" i="8"/>
  <c r="C149" i="8"/>
  <c r="E221" i="18"/>
  <c r="C245" i="18"/>
  <c r="E245" i="18" s="1"/>
  <c r="D92" i="17"/>
  <c r="D323" i="17"/>
  <c r="F208" i="9"/>
  <c r="C216" i="17"/>
  <c r="E215" i="17"/>
  <c r="F215" i="17" s="1"/>
  <c r="F73" i="4"/>
  <c r="C278" i="17"/>
  <c r="C255" i="17"/>
  <c r="E189" i="17"/>
  <c r="C190" i="17"/>
  <c r="F189" i="17"/>
  <c r="F139" i="17"/>
  <c r="F199" i="17"/>
  <c r="E199" i="17"/>
  <c r="C157" i="8"/>
  <c r="C156" i="8"/>
  <c r="C155" i="8"/>
  <c r="C153" i="8"/>
  <c r="C154" i="8"/>
  <c r="F62" i="9"/>
  <c r="E62" i="9"/>
  <c r="E262" i="17"/>
  <c r="C272" i="17"/>
  <c r="F262" i="17"/>
  <c r="C208" i="17"/>
  <c r="E207" i="17"/>
  <c r="F207" i="17" s="1"/>
  <c r="C21" i="5"/>
  <c r="E48" i="17"/>
  <c r="F48" i="17"/>
  <c r="C160" i="17"/>
  <c r="C90" i="17"/>
  <c r="C49" i="17"/>
  <c r="E159" i="17"/>
  <c r="F159" i="17" s="1"/>
  <c r="D160" i="17"/>
  <c r="E179" i="17"/>
  <c r="F179" i="17" s="1"/>
  <c r="C181" i="17"/>
  <c r="D210" i="17"/>
  <c r="D209" i="17"/>
  <c r="E139" i="8"/>
  <c r="E137" i="8"/>
  <c r="E140" i="8"/>
  <c r="E138" i="8"/>
  <c r="E136" i="8"/>
  <c r="E141" i="8" s="1"/>
  <c r="E35" i="10"/>
  <c r="F35" i="10"/>
  <c r="C68" i="17"/>
  <c r="C304" i="17"/>
  <c r="E66" i="17"/>
  <c r="F66" i="17" s="1"/>
  <c r="C92" i="17"/>
  <c r="E42" i="12"/>
  <c r="F42" i="12" s="1"/>
  <c r="E303" i="18"/>
  <c r="C306" i="18"/>
  <c r="D41" i="4"/>
  <c r="E38" i="4"/>
  <c r="E139" i="17"/>
  <c r="E267" i="17"/>
  <c r="F267" i="17" s="1"/>
  <c r="C270" i="17"/>
  <c r="E22" i="13"/>
  <c r="E70" i="13"/>
  <c r="E72" i="13" s="1"/>
  <c r="E69" i="13" s="1"/>
  <c r="C152" i="8"/>
  <c r="E16" i="5"/>
  <c r="F16" i="5" s="1"/>
  <c r="D18" i="5"/>
  <c r="F44" i="6"/>
  <c r="E44" i="6"/>
  <c r="E90" i="17"/>
  <c r="D136" i="8"/>
  <c r="D137" i="8"/>
  <c r="E166" i="8"/>
  <c r="D157" i="8"/>
  <c r="D155" i="8"/>
  <c r="D158" i="8" s="1"/>
  <c r="E96" i="10"/>
  <c r="F96" i="10" s="1"/>
  <c r="F37" i="15"/>
  <c r="F55" i="15"/>
  <c r="C32" i="17"/>
  <c r="E31" i="17"/>
  <c r="F31" i="17" s="1"/>
  <c r="F264" i="17"/>
  <c r="F277" i="17"/>
  <c r="D99" i="18"/>
  <c r="E99" i="18" s="1"/>
  <c r="D84" i="18"/>
  <c r="D87" i="18"/>
  <c r="E87" i="18" s="1"/>
  <c r="D95" i="18"/>
  <c r="D98" i="18"/>
  <c r="E98" i="18" s="1"/>
  <c r="F61" i="4"/>
  <c r="E50" i="6"/>
  <c r="E18" i="7"/>
  <c r="F18" i="7" s="1"/>
  <c r="D95" i="7"/>
  <c r="E95" i="7" s="1"/>
  <c r="F95" i="7" s="1"/>
  <c r="E129" i="17"/>
  <c r="F129" i="17" s="1"/>
  <c r="D254" i="18"/>
  <c r="E254" i="18" s="1"/>
  <c r="E252" i="18"/>
  <c r="E65" i="4"/>
  <c r="F38" i="6"/>
  <c r="F48" i="6"/>
  <c r="F179" i="6"/>
  <c r="F101" i="9"/>
  <c r="F118" i="10"/>
  <c r="C37" i="19"/>
  <c r="C38" i="19" s="1"/>
  <c r="C127" i="19" s="1"/>
  <c r="C129" i="19" s="1"/>
  <c r="C133" i="19" s="1"/>
  <c r="E54" i="22"/>
  <c r="E46" i="22"/>
  <c r="E30" i="22"/>
  <c r="F48" i="5"/>
  <c r="E48" i="5"/>
  <c r="F188" i="7"/>
  <c r="F114" i="9"/>
  <c r="E114" i="9"/>
  <c r="F23" i="15"/>
  <c r="E277" i="17"/>
  <c r="E274" i="17"/>
  <c r="F274" i="17" s="1"/>
  <c r="C54" i="22"/>
  <c r="C46" i="22"/>
  <c r="C30" i="22"/>
  <c r="D75" i="4"/>
  <c r="F46" i="6"/>
  <c r="F124" i="6"/>
  <c r="F153" i="6"/>
  <c r="E24" i="9"/>
  <c r="F24" i="9"/>
  <c r="F49" i="9"/>
  <c r="F192" i="9"/>
  <c r="E192" i="9"/>
  <c r="E205" i="9"/>
  <c r="F205" i="9" s="1"/>
  <c r="D121" i="10"/>
  <c r="E121" i="10" s="1"/>
  <c r="F121" i="10" s="1"/>
  <c r="E50" i="15"/>
  <c r="F50" i="15" s="1"/>
  <c r="D86" i="8"/>
  <c r="E23" i="15"/>
  <c r="E311" i="17"/>
  <c r="D229" i="18"/>
  <c r="E229" i="18" s="1"/>
  <c r="D210" i="18"/>
  <c r="C64" i="19"/>
  <c r="C65" i="19" s="1"/>
  <c r="C114" i="19" s="1"/>
  <c r="C116" i="19" s="1"/>
  <c r="C119" i="19" s="1"/>
  <c r="C123" i="19" s="1"/>
  <c r="C49" i="19"/>
  <c r="C27" i="8"/>
  <c r="F167" i="9"/>
  <c r="E167" i="9"/>
  <c r="D289" i="18"/>
  <c r="E289" i="18" s="1"/>
  <c r="D65" i="18"/>
  <c r="D71" i="18"/>
  <c r="D23" i="22"/>
  <c r="D34" i="22"/>
  <c r="F36" i="9"/>
  <c r="E36" i="9"/>
  <c r="E88" i="9"/>
  <c r="F88" i="9"/>
  <c r="C193" i="17"/>
  <c r="C192" i="17"/>
  <c r="C124" i="17"/>
  <c r="C125" i="17" s="1"/>
  <c r="D239" i="17"/>
  <c r="E239" i="17" s="1"/>
  <c r="F239" i="17" s="1"/>
  <c r="D163" i="18"/>
  <c r="E163" i="18" s="1"/>
  <c r="D156" i="18"/>
  <c r="E36" i="20"/>
  <c r="F36" i="20" s="1"/>
  <c r="F34" i="20"/>
  <c r="D46" i="20"/>
  <c r="C15" i="8"/>
  <c r="F116" i="10"/>
  <c r="F119" i="10"/>
  <c r="E32" i="12"/>
  <c r="F32" i="12" s="1"/>
  <c r="D42" i="13"/>
  <c r="F75" i="15"/>
  <c r="E167" i="18"/>
  <c r="E140" i="9"/>
  <c r="F140" i="9" s="1"/>
  <c r="D122" i="10"/>
  <c r="E122" i="10" s="1"/>
  <c r="F122" i="10" s="1"/>
  <c r="F120" i="10"/>
  <c r="E278" i="18"/>
  <c r="F19" i="21"/>
  <c r="E115" i="9"/>
  <c r="F108" i="10"/>
  <c r="F114" i="10"/>
  <c r="F117" i="10"/>
  <c r="C43" i="11"/>
  <c r="F45" i="15"/>
  <c r="E70" i="15"/>
  <c r="F70" i="15" s="1"/>
  <c r="E227" i="17"/>
  <c r="F227" i="17" s="1"/>
  <c r="E36" i="18"/>
  <c r="E74" i="18"/>
  <c r="E292" i="18"/>
  <c r="C77" i="22"/>
  <c r="E63" i="9"/>
  <c r="E89" i="9"/>
  <c r="F89" i="9" s="1"/>
  <c r="F153" i="9"/>
  <c r="E48" i="10"/>
  <c r="E60" i="10"/>
  <c r="F95" i="10"/>
  <c r="E65" i="11"/>
  <c r="F65" i="11" s="1"/>
  <c r="D80" i="13"/>
  <c r="D77" i="13" s="1"/>
  <c r="F65" i="15"/>
  <c r="E307" i="17"/>
  <c r="F307" i="17" s="1"/>
  <c r="D217" i="18"/>
  <c r="E20" i="20"/>
  <c r="F20" i="20" s="1"/>
  <c r="F45" i="20"/>
  <c r="E125" i="17" l="1"/>
  <c r="F125" i="17"/>
  <c r="E217" i="18"/>
  <c r="D241" i="18"/>
  <c r="E241" i="18" s="1"/>
  <c r="D291" i="17"/>
  <c r="D289" i="17"/>
  <c r="E287" i="17"/>
  <c r="F287" i="17" s="1"/>
  <c r="C21" i="8"/>
  <c r="C20" i="8"/>
  <c r="F304" i="17"/>
  <c r="C35" i="5"/>
  <c r="E278" i="17"/>
  <c r="F278" i="17" s="1"/>
  <c r="C288" i="17"/>
  <c r="D324" i="17"/>
  <c r="D113" i="17"/>
  <c r="E92" i="17"/>
  <c r="E43" i="11"/>
  <c r="F43" i="11"/>
  <c r="E124" i="17"/>
  <c r="C279" i="17"/>
  <c r="E270" i="17"/>
  <c r="F270" i="17"/>
  <c r="E68" i="17"/>
  <c r="F68" i="17" s="1"/>
  <c r="F49" i="17"/>
  <c r="C50" i="17"/>
  <c r="E49" i="17"/>
  <c r="D112" i="22"/>
  <c r="D47" i="22"/>
  <c r="D55" i="22"/>
  <c r="D37" i="22"/>
  <c r="E104" i="17"/>
  <c r="F104" i="17"/>
  <c r="C269" i="18"/>
  <c r="C268" i="18"/>
  <c r="C271" i="18" s="1"/>
  <c r="D109" i="22"/>
  <c r="D108" i="22"/>
  <c r="D157" i="18"/>
  <c r="D168" i="18"/>
  <c r="E168" i="18" s="1"/>
  <c r="E156" i="18"/>
  <c r="E306" i="18"/>
  <c r="C310" i="18"/>
  <c r="E310" i="18" s="1"/>
  <c r="F75" i="4"/>
  <c r="C109" i="22"/>
  <c r="C108" i="22"/>
  <c r="C112" i="22"/>
  <c r="C111" i="22"/>
  <c r="C110" i="22"/>
  <c r="E210" i="17"/>
  <c r="D211" i="17"/>
  <c r="F174" i="17"/>
  <c r="C17" i="8"/>
  <c r="C24" i="8"/>
  <c r="E192" i="17"/>
  <c r="F192" i="17" s="1"/>
  <c r="D76" i="18"/>
  <c r="E71" i="18"/>
  <c r="D234" i="18"/>
  <c r="E234" i="18" s="1"/>
  <c r="D180" i="18"/>
  <c r="E180" i="18" s="1"/>
  <c r="D211" i="18"/>
  <c r="E210" i="18"/>
  <c r="D21" i="5"/>
  <c r="E18" i="5"/>
  <c r="F18" i="5" s="1"/>
  <c r="F92" i="17"/>
  <c r="F90" i="17"/>
  <c r="E208" i="17"/>
  <c r="F208" i="17" s="1"/>
  <c r="C209" i="17"/>
  <c r="E209" i="17" s="1"/>
  <c r="E216" i="17"/>
  <c r="F216" i="17" s="1"/>
  <c r="C140" i="8"/>
  <c r="C139" i="8"/>
  <c r="C135" i="8"/>
  <c r="C138" i="8"/>
  <c r="C136" i="8"/>
  <c r="C137" i="8"/>
  <c r="C273" i="17"/>
  <c r="E271" i="17"/>
  <c r="F271" i="17" s="1"/>
  <c r="D90" i="18"/>
  <c r="E84" i="18"/>
  <c r="E38" i="22"/>
  <c r="E113" i="22"/>
  <c r="E48" i="22"/>
  <c r="E56" i="22"/>
  <c r="E268" i="17"/>
  <c r="F268" i="17" s="1"/>
  <c r="C127" i="18"/>
  <c r="C124" i="18"/>
  <c r="C125" i="18"/>
  <c r="C122" i="18"/>
  <c r="C128" i="18" s="1"/>
  <c r="C114" i="18"/>
  <c r="C111" i="18"/>
  <c r="C115" i="18"/>
  <c r="C113" i="18"/>
  <c r="C109" i="18"/>
  <c r="C123" i="18"/>
  <c r="C112" i="18"/>
  <c r="C110" i="18"/>
  <c r="C126" i="18"/>
  <c r="C121" i="18"/>
  <c r="C129" i="18" s="1"/>
  <c r="C194" i="17"/>
  <c r="E193" i="17"/>
  <c r="F193" i="17"/>
  <c r="C282" i="17"/>
  <c r="C266" i="17"/>
  <c r="D246" i="18"/>
  <c r="E246" i="18" s="1"/>
  <c r="D294" i="18"/>
  <c r="E294" i="18" s="1"/>
  <c r="D66" i="18"/>
  <c r="E65" i="18"/>
  <c r="E155" i="8"/>
  <c r="E153" i="8"/>
  <c r="E152" i="8"/>
  <c r="E157" i="8"/>
  <c r="E156" i="8"/>
  <c r="E154" i="8"/>
  <c r="E181" i="17"/>
  <c r="F181" i="17"/>
  <c r="E145" i="18"/>
  <c r="C169" i="18"/>
  <c r="C181" i="18"/>
  <c r="C126" i="17"/>
  <c r="F124" i="17"/>
  <c r="E255" i="17"/>
  <c r="F255" i="17" s="1"/>
  <c r="D197" i="17"/>
  <c r="D111" i="22"/>
  <c r="D36" i="22"/>
  <c r="D54" i="22"/>
  <c r="D30" i="22"/>
  <c r="D46" i="22"/>
  <c r="D40" i="22"/>
  <c r="E75" i="4"/>
  <c r="E95" i="18"/>
  <c r="D103" i="18"/>
  <c r="E103" i="18" s="1"/>
  <c r="C140" i="17"/>
  <c r="C210" i="17"/>
  <c r="E32" i="17"/>
  <c r="F32" i="17" s="1"/>
  <c r="C62" i="17"/>
  <c r="C105" i="17"/>
  <c r="C175" i="17"/>
  <c r="C158" i="8"/>
  <c r="E272" i="17"/>
  <c r="F272" i="17"/>
  <c r="E190" i="17"/>
  <c r="F190" i="17" s="1"/>
  <c r="E263" i="17"/>
  <c r="F263" i="17" s="1"/>
  <c r="C113" i="22"/>
  <c r="C48" i="22"/>
  <c r="C56" i="22"/>
  <c r="C38" i="22"/>
  <c r="E174" i="17"/>
  <c r="E41" i="4"/>
  <c r="F41" i="4" s="1"/>
  <c r="D43" i="4"/>
  <c r="E43" i="4" s="1"/>
  <c r="F43" i="4" s="1"/>
  <c r="E160" i="17"/>
  <c r="F160" i="17" s="1"/>
  <c r="E223" i="18"/>
  <c r="C247" i="18"/>
  <c r="E304" i="17"/>
  <c r="E49" i="12"/>
  <c r="F49" i="12" s="1"/>
  <c r="C63" i="17" l="1"/>
  <c r="F62" i="17"/>
  <c r="E62" i="17"/>
  <c r="E66" i="18"/>
  <c r="D247" i="18"/>
  <c r="E247" i="18" s="1"/>
  <c r="D295" i="18"/>
  <c r="E295" i="18" s="1"/>
  <c r="E273" i="17"/>
  <c r="F273" i="17" s="1"/>
  <c r="E76" i="18"/>
  <c r="D259" i="18"/>
  <c r="D77" i="18"/>
  <c r="C43" i="5"/>
  <c r="F210" i="17"/>
  <c r="D113" i="22"/>
  <c r="D38" i="22"/>
  <c r="D48" i="22"/>
  <c r="D56" i="22"/>
  <c r="D305" i="17"/>
  <c r="E291" i="17"/>
  <c r="C127" i="17"/>
  <c r="E126" i="17"/>
  <c r="F126" i="17"/>
  <c r="F209" i="17"/>
  <c r="E157" i="18"/>
  <c r="D169" i="18"/>
  <c r="E169" i="18" s="1"/>
  <c r="C141" i="17"/>
  <c r="E140" i="17"/>
  <c r="F140" i="17" s="1"/>
  <c r="F266" i="17"/>
  <c r="C265" i="17"/>
  <c r="E266" i="17"/>
  <c r="D325" i="17"/>
  <c r="C116" i="18"/>
  <c r="D35" i="5"/>
  <c r="E21" i="5"/>
  <c r="F21" i="5" s="1"/>
  <c r="E158" i="8"/>
  <c r="C281" i="17"/>
  <c r="F282" i="17"/>
  <c r="E282" i="17"/>
  <c r="D181" i="18"/>
  <c r="E181" i="18" s="1"/>
  <c r="E211" i="18"/>
  <c r="D235" i="18"/>
  <c r="E235" i="18" s="1"/>
  <c r="C28" i="8"/>
  <c r="C112" i="8"/>
  <c r="C111" i="8" s="1"/>
  <c r="C289" i="17"/>
  <c r="E289" i="17" s="1"/>
  <c r="C291" i="17"/>
  <c r="E288" i="17"/>
  <c r="F288" i="17" s="1"/>
  <c r="C196" i="17"/>
  <c r="E194" i="17"/>
  <c r="F194" i="17" s="1"/>
  <c r="C195" i="17"/>
  <c r="C176" i="17"/>
  <c r="E175" i="17"/>
  <c r="F175" i="17" s="1"/>
  <c r="C117" i="18"/>
  <c r="C131" i="18" s="1"/>
  <c r="C141" i="8"/>
  <c r="E279" i="17"/>
  <c r="F279" i="17"/>
  <c r="E105" i="17"/>
  <c r="F105" i="17" s="1"/>
  <c r="C106" i="17"/>
  <c r="D91" i="18"/>
  <c r="E90" i="18"/>
  <c r="C70" i="17"/>
  <c r="E50" i="17"/>
  <c r="F50" i="17" s="1"/>
  <c r="C148" i="17" l="1"/>
  <c r="E127" i="17"/>
  <c r="F127" i="17" s="1"/>
  <c r="C197" i="17"/>
  <c r="E265" i="17"/>
  <c r="F265" i="17" s="1"/>
  <c r="E70" i="17"/>
  <c r="F70" i="17" s="1"/>
  <c r="C322" i="17"/>
  <c r="C211" i="17"/>
  <c r="E141" i="17"/>
  <c r="F141" i="17" s="1"/>
  <c r="D309" i="17"/>
  <c r="E305" i="17"/>
  <c r="D43" i="5"/>
  <c r="E35" i="5"/>
  <c r="F35" i="5" s="1"/>
  <c r="D105" i="18"/>
  <c r="E105" i="18" s="1"/>
  <c r="E91" i="18"/>
  <c r="C305" i="17"/>
  <c r="F291" i="17"/>
  <c r="D124" i="18"/>
  <c r="E124" i="18" s="1"/>
  <c r="D121" i="18"/>
  <c r="D109" i="18"/>
  <c r="D114" i="18"/>
  <c r="E114" i="18" s="1"/>
  <c r="D125" i="18"/>
  <c r="E125" i="18" s="1"/>
  <c r="D115" i="18"/>
  <c r="E115" i="18" s="1"/>
  <c r="D113" i="18"/>
  <c r="E113" i="18" s="1"/>
  <c r="D112" i="18"/>
  <c r="E112" i="18" s="1"/>
  <c r="D111" i="18"/>
  <c r="E111" i="18" s="1"/>
  <c r="D110" i="18"/>
  <c r="D126" i="18"/>
  <c r="E126" i="18" s="1"/>
  <c r="D123" i="18"/>
  <c r="E123" i="18" s="1"/>
  <c r="D127" i="18"/>
  <c r="E127" i="18" s="1"/>
  <c r="E77" i="18"/>
  <c r="D122" i="18"/>
  <c r="F195" i="17"/>
  <c r="E195" i="17"/>
  <c r="C99" i="8"/>
  <c r="C101" i="8" s="1"/>
  <c r="C98" i="8" s="1"/>
  <c r="C22" i="8"/>
  <c r="E196" i="17"/>
  <c r="F196" i="17" s="1"/>
  <c r="C50" i="5"/>
  <c r="F106" i="17"/>
  <c r="E106" i="17"/>
  <c r="C113" i="17"/>
  <c r="C324" i="17"/>
  <c r="F289" i="17"/>
  <c r="D263" i="18"/>
  <c r="E259" i="18"/>
  <c r="C323" i="17"/>
  <c r="F176" i="17"/>
  <c r="E176" i="17"/>
  <c r="C183" i="17"/>
  <c r="F281" i="17"/>
  <c r="E281" i="17"/>
  <c r="F63" i="17"/>
  <c r="E63" i="17"/>
  <c r="C325" i="17" l="1"/>
  <c r="E324" i="17"/>
  <c r="F324" i="17" s="1"/>
  <c r="E183" i="17"/>
  <c r="F183" i="17" s="1"/>
  <c r="E110" i="18"/>
  <c r="D116" i="18"/>
  <c r="E116" i="18" s="1"/>
  <c r="D129" i="18"/>
  <c r="E129" i="18" s="1"/>
  <c r="E121" i="18"/>
  <c r="D50" i="5"/>
  <c r="E50" i="5" s="1"/>
  <c r="E43" i="5"/>
  <c r="F43" i="5" s="1"/>
  <c r="E323" i="17"/>
  <c r="F323" i="17" s="1"/>
  <c r="D128" i="18"/>
  <c r="E128" i="18" s="1"/>
  <c r="E122" i="18"/>
  <c r="F197" i="17"/>
  <c r="E197" i="17"/>
  <c r="E109" i="18"/>
  <c r="E113" i="17"/>
  <c r="F113" i="17" s="1"/>
  <c r="E309" i="17"/>
  <c r="D310" i="17"/>
  <c r="F50" i="5"/>
  <c r="C309" i="17"/>
  <c r="F305" i="17"/>
  <c r="E263" i="18"/>
  <c r="D264" i="18"/>
  <c r="E211" i="17"/>
  <c r="F211" i="17" s="1"/>
  <c r="E322" i="17"/>
  <c r="F322" i="17" s="1"/>
  <c r="E148" i="17"/>
  <c r="F148" i="17" s="1"/>
  <c r="D266" i="18" l="1"/>
  <c r="E264" i="18"/>
  <c r="D312" i="17"/>
  <c r="E310" i="17"/>
  <c r="D117" i="18"/>
  <c r="E325" i="17"/>
  <c r="F325" i="17" s="1"/>
  <c r="F309" i="17"/>
  <c r="C310" i="17"/>
  <c r="E117" i="18" l="1"/>
  <c r="D131" i="18"/>
  <c r="E131" i="18" s="1"/>
  <c r="D313" i="17"/>
  <c r="F310" i="17"/>
  <c r="C312" i="17"/>
  <c r="D267" i="18"/>
  <c r="E266" i="18"/>
  <c r="C313" i="17" l="1"/>
  <c r="E267" i="18"/>
  <c r="D268" i="18"/>
  <c r="D269" i="18"/>
  <c r="E269" i="18" s="1"/>
  <c r="E313" i="17"/>
  <c r="D315" i="17"/>
  <c r="D314" i="17"/>
  <c r="D251" i="17"/>
  <c r="D256" i="17"/>
  <c r="E312" i="17"/>
  <c r="F312" i="17" s="1"/>
  <c r="E314" i="17" l="1"/>
  <c r="D318" i="17"/>
  <c r="D257" i="17"/>
  <c r="E256" i="17"/>
  <c r="C315" i="17"/>
  <c r="C251" i="17"/>
  <c r="F313" i="17"/>
  <c r="C314" i="17"/>
  <c r="C256" i="17"/>
  <c r="E268" i="18"/>
  <c r="D271" i="18"/>
  <c r="E271" i="18" s="1"/>
  <c r="E251" i="17" l="1"/>
  <c r="F251" i="17" s="1"/>
  <c r="E318" i="17"/>
  <c r="C257" i="17"/>
  <c r="E257" i="17" s="1"/>
  <c r="F256" i="17"/>
  <c r="F314" i="17"/>
  <c r="C318" i="17"/>
  <c r="E315" i="17"/>
  <c r="F315" i="17" s="1"/>
  <c r="F257" i="17" l="1"/>
  <c r="F318" i="17"/>
</calcChain>
</file>

<file path=xl/sharedStrings.xml><?xml version="1.0" encoding="utf-8"?>
<sst xmlns="http://schemas.openxmlformats.org/spreadsheetml/2006/main" count="2335" uniqueCount="1010">
  <si>
    <t>LAWRENCE AND MEMORIAL HOSPITAL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</si>
  <si>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</si>
  <si>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</si>
  <si>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</si>
  <si>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</si>
  <si>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</si>
  <si>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</si>
  <si>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</si>
  <si>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</si>
  <si>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</si>
  <si>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</si>
  <si>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</si>
  <si>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</si>
  <si>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</si>
  <si>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</si>
  <si>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</si>
  <si>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</si>
  <si>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</si>
  <si>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</si>
  <si>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</si>
  <si>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</si>
  <si>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</si>
  <si>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</si>
  <si>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</si>
  <si>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</si>
  <si>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</si>
  <si>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</si>
  <si>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</si>
  <si>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</si>
  <si>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</si>
  <si>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</si>
  <si>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</si>
  <si>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</si>
  <si>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</si>
  <si>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</si>
  <si>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</si>
  <si>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</si>
  <si>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</si>
  <si>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</si>
  <si>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</si>
  <si>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</si>
  <si>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</si>
  <si>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</si>
  <si>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</si>
  <si>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</si>
  <si>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</si>
  <si>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</si>
  <si>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</si>
  <si>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</si>
  <si>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</si>
  <si>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</si>
  <si>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</si>
  <si>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</si>
  <si>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</si>
  <si>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</si>
  <si>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</si>
  <si>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</si>
  <si>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</si>
  <si>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</si>
  <si>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</si>
  <si>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</si>
  <si>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</si>
  <si>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</si>
  <si>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</si>
  <si>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</si>
  <si>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</si>
  <si>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</si>
  <si>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</si>
  <si>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</si>
  <si>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</si>
  <si>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</si>
  <si>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</si>
  <si>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</si>
  <si>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</si>
  <si>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</si>
  <si>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</si>
  <si>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</si>
  <si>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</si>
  <si>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</si>
  <si>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</si>
  <si>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</si>
  <si>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</si>
  <si>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</si>
  <si>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</si>
  <si>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</si>
  <si>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</si>
  <si>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</si>
  <si>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</si>
  <si>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</si>
  <si>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</si>
  <si>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</si>
  <si>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</si>
  <si>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</si>
  <si>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</si>
  <si>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</si>
  <si>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</si>
  <si>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</si>
  <si>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</si>
  <si>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</si>
  <si>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</si>
  <si>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</si>
  <si>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</si>
  <si>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</si>
  <si>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</si>
  <si>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</si>
  <si>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</si>
  <si>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</si>
  <si>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</si>
  <si>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</si>
  <si>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</si>
  <si>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</si>
  <si>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</si>
  <si>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</si>
  <si>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</si>
  <si>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</si>
  <si>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</si>
  <si>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</si>
  <si>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</si>
  <si>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</si>
  <si>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</si>
  <si>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</si>
  <si>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</si>
  <si>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</si>
  <si>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</si>
  <si>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</si>
  <si>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</si>
  <si>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</si>
  <si>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</si>
  <si>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</si>
  <si>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</si>
  <si>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</si>
  <si>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</si>
  <si>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</si>
  <si>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</si>
  <si>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</si>
  <si>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</si>
  <si>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</si>
  <si>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</si>
  <si>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</si>
  <si>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</si>
  <si>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</si>
  <si>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</si>
  <si>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</si>
  <si>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</si>
  <si>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</si>
  <si>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</si>
  <si>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</si>
  <si>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</si>
  <si>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</si>
  <si>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</si>
  <si>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</si>
  <si>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</si>
  <si>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</si>
  <si>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</si>
  <si>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</si>
  <si>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</si>
  <si>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</si>
  <si>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</si>
  <si>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</si>
  <si>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</si>
  <si>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</si>
  <si>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</si>
  <si>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</si>
  <si>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</si>
  <si>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</si>
  <si>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</si>
  <si>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</si>
  <si>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</si>
  <si>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</si>
  <si>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</si>
  <si>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</si>
  <si>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</si>
  <si>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</si>
  <si>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</si>
  <si>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</si>
  <si>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</si>
  <si>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</si>
  <si>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</si>
  <si>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</si>
  <si>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</si>
  <si>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</si>
  <si>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</si>
  <si>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</si>
  <si>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</si>
  <si>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</si>
  <si>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</si>
  <si>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</si>
  <si>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</si>
  <si>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</si>
  <si>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</si>
  <si>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</si>
  <si>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</si>
  <si>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</si>
  <si>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</si>
  <si>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</si>
  <si>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</si>
  <si>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</si>
  <si>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</si>
  <si>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</si>
  <si>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</si>
  <si>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</si>
  <si>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</si>
  <si>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</si>
  <si>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</si>
  <si>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</si>
  <si>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</si>
  <si>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</si>
  <si>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</si>
  <si>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</si>
  <si>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</si>
  <si>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</si>
  <si>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</si>
  <si>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</si>
  <si>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</si>
  <si>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</si>
  <si>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</si>
  <si>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</si>
  <si>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</si>
  <si>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</si>
  <si>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</si>
  <si>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</si>
  <si>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</si>
  <si>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</si>
  <si>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</si>
  <si>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</si>
  <si>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</si>
  <si>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</si>
  <si>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</si>
  <si>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</si>
  <si>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</si>
  <si>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</si>
  <si>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</si>
  <si>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</si>
  <si>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</si>
  <si>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</si>
  <si>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</si>
  <si>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</si>
  <si>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</si>
  <si>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</si>
  <si>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</si>
  <si>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</si>
  <si>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</si>
  <si>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</si>
  <si>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</si>
  <si>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</si>
  <si>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</si>
  <si>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</si>
  <si>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</si>
  <si>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</si>
  <si>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</si>
  <si>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</si>
  <si>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</si>
  <si>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</si>
  <si>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</si>
  <si>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</si>
  <si>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</si>
  <si>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</si>
  <si>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</si>
  <si>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</si>
  <si>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</si>
  <si>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</si>
  <si>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</si>
  <si>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</si>
  <si>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</si>
  <si>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</si>
  <si>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</si>
  <si>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</si>
  <si>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</si>
  <si>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</si>
  <si>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</si>
  <si>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</si>
  <si>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</si>
  <si>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</si>
  <si>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</si>
  <si>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</si>
  <si>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</si>
  <si>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</si>
  <si>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</si>
  <si>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</si>
  <si>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</si>
  <si>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</si>
  <si>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</si>
  <si>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</si>
  <si>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</si>
  <si>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</si>
  <si>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</si>
  <si>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</si>
  <si>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</si>
  <si>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</si>
  <si>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</si>
  <si>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</si>
  <si>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</si>
  <si>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</si>
  <si>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</si>
  <si>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</si>
  <si>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</si>
  <si>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</si>
  <si>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</si>
  <si>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</si>
  <si>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</si>
  <si>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</si>
  <si>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</si>
  <si>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</si>
  <si>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</si>
  <si>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</si>
  <si>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</si>
  <si>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</si>
  <si>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</si>
  <si>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</si>
  <si>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</si>
  <si>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</si>
  <si>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</si>
  <si>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</si>
  <si>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</si>
  <si>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</si>
  <si>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</si>
  <si>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</si>
  <si>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</si>
  <si>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</si>
  <si>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</si>
  <si>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</si>
  <si>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</si>
  <si>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</si>
  <si>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</si>
  <si>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</si>
  <si>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</si>
  <si>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</si>
  <si>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</si>
  <si>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</si>
  <si>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</si>
  <si>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</si>
  <si>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</si>
  <si>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</si>
  <si>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</si>
  <si>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</si>
  <si>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</si>
  <si>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</si>
  <si>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</si>
  <si>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</si>
  <si>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</si>
  <si>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</si>
  <si>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</si>
  <si>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</si>
  <si>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</si>
  <si>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</si>
  <si>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</si>
  <si>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</si>
  <si>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</si>
  <si>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</si>
  <si>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</si>
  <si>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</si>
  <si>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</si>
  <si>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</si>
  <si>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</si>
  <si>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</si>
  <si>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</si>
  <si>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</si>
  <si>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</si>
  <si>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</si>
  <si>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</si>
  <si>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</si>
  <si>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</si>
  <si>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</si>
  <si>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</si>
  <si>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</si>
  <si>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</si>
  <si>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</si>
  <si>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</si>
  <si>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</si>
  <si>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</si>
  <si>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</si>
  <si>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</si>
  <si>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</si>
  <si>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</si>
  <si>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</si>
  <si>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</si>
  <si>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</si>
  <si>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</si>
  <si>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</si>
  <si>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</si>
  <si>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</si>
  <si>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</si>
  <si>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</si>
  <si>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</si>
  <si>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</si>
  <si>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</si>
  <si>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</si>
  <si>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</si>
  <si>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</si>
  <si>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</si>
  <si>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</si>
  <si>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</si>
  <si>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</si>
  <si>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</si>
  <si>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</si>
  <si>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</si>
  <si>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</si>
  <si>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</si>
  <si>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</si>
  <si>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</si>
  <si>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</si>
  <si>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</si>
  <si>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</si>
  <si>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</si>
  <si>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</si>
  <si>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</si>
  <si>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</si>
  <si>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</si>
  <si>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</si>
  <si>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</si>
  <si>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</si>
  <si>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</si>
  <si>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</si>
  <si>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</si>
  <si>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</si>
  <si>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</si>
  <si>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</si>
  <si>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</si>
  <si>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</si>
  <si>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</si>
  <si>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</si>
  <si>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</si>
  <si>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</si>
  <si>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</si>
  <si>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</si>
  <si>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</si>
  <si>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</si>
  <si>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</si>
  <si>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</si>
  <si>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</si>
  <si>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</si>
  <si>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</si>
  <si>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</si>
  <si>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</si>
  <si>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</si>
  <si>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</si>
  <si>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</si>
  <si>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</si>
  <si>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</si>
  <si>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</si>
  <si>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</si>
  <si>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</si>
  <si>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</si>
  <si>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</si>
  <si>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</si>
  <si>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</si>
  <si>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</si>
  <si>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</si>
  <si>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</si>
  <si>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</si>
  <si>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</si>
  <si>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</si>
  <si>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</si>
  <si>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</si>
  <si>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</si>
  <si>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</si>
  <si>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</si>
  <si>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</si>
  <si>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</si>
  <si>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</si>
  <si>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</si>
  <si>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</si>
  <si>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</si>
  <si>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</si>
  <si>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</si>
  <si>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</si>
  <si>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</si>
  <si>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</si>
  <si>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</si>
  <si>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</si>
  <si>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</si>
  <si>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</si>
  <si>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</si>
  <si>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</si>
  <si>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</si>
  <si>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</si>
  <si>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</si>
  <si>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</si>
  <si>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</si>
  <si>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</si>
  <si>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</si>
  <si>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</si>
  <si>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</si>
  <si>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</si>
  <si>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</si>
  <si>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</si>
  <si>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</si>
  <si>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</si>
  <si>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</si>
  <si>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</si>
  <si>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</si>
  <si>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</si>
  <si>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</si>
  <si>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</si>
  <si>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</si>
  <si>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</si>
  <si>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</si>
  <si>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</si>
  <si>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</si>
  <si>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</si>
  <si>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L+M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</si>
  <si>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</si>
  <si>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</si>
  <si>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</si>
  <si>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</si>
  <si>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</si>
  <si>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</si>
  <si>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</si>
  <si>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</si>
  <si>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</si>
  <si>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</si>
  <si>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</si>
  <si>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</si>
  <si>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</si>
  <si>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</si>
  <si>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</si>
  <si>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</si>
  <si>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</si>
  <si>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</si>
  <si>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</si>
  <si>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</si>
  <si>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</si>
  <si>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</si>
  <si>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</si>
  <si>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</si>
  <si>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</si>
  <si>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</si>
  <si>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</si>
  <si>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</si>
  <si>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</si>
  <si>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</si>
  <si>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</si>
  <si>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</si>
  <si>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</si>
  <si>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</si>
  <si>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</si>
  <si>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</si>
  <si>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</si>
  <si>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</si>
  <si>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</si>
  <si>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</si>
  <si>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</si>
  <si>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</si>
  <si>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</si>
  <si>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</si>
  <si>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</si>
  <si>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</si>
  <si>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</si>
  <si>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</si>
  <si>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</si>
  <si>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</si>
  <si>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</si>
  <si>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</si>
  <si>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</si>
  <si>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</si>
  <si>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</si>
  <si>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</si>
  <si>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</si>
  <si>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</si>
  <si>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</si>
  <si>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</si>
  <si>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</si>
  <si>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</si>
  <si>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</si>
  <si>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</si>
  <si>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</si>
  <si>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</si>
  <si>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</si>
  <si>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</si>
  <si>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</si>
  <si>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</si>
  <si>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</si>
  <si>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</si>
  <si>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</si>
  <si>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</si>
  <si>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</si>
  <si>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</si>
  <si>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</si>
  <si>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</si>
  <si>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</si>
  <si>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</si>
  <si>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</si>
  <si>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</si>
  <si>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</si>
  <si>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</si>
  <si>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</si>
  <si>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</si>
  <si>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</si>
  <si>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</si>
  <si>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</si>
  <si>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</si>
  <si>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</si>
  <si>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</si>
  <si>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</si>
  <si>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</si>
  <si>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</si>
  <si>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</si>
  <si>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</si>
  <si>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</si>
  <si>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</si>
  <si>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</si>
  <si>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</si>
  <si>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</si>
  <si>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</si>
  <si>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</si>
  <si>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</si>
  <si>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</si>
  <si>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</si>
  <si>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</si>
  <si>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</si>
  <si>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</si>
  <si>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</si>
  <si>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</si>
  <si>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</si>
  <si>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</si>
  <si>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</si>
  <si>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</si>
  <si>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</si>
  <si>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</si>
  <si>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</si>
  <si>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</si>
  <si>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L&amp;M 365 Montauk Hospital</t>
  </si>
  <si>
    <t>Pequot Health Center Groton</t>
  </si>
  <si>
    <t>Total Outpatient Surgical Procedures(A)</t>
  </si>
  <si>
    <t>L&amp;M 365 Montauk Ave Hospital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</si>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</sst>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13568654</v>
      </c>
      <c r="D13" s="22">
        <v>301175</v>
      </c>
      <c r="E13" s="22">
        <f t="shared" ref="E13:E22" si="0">D13-C13</f>
        <v>-13267479</v>
      </c>
      <c r="F13" s="23">
        <f t="shared" ref="F13:F22" si="1">IF(C13=0,0,E13/C13)</f>
        <v>-0.97780362002008447</v>
      </c>
    </row>
    <row r="14" spans="1:8" ht="24" customHeight="1" x14ac:dyDescent="0.2">
      <c r="A14" s="20">
        <v>2</v>
      </c>
      <c r="B14" s="21" t="s">
        <v>17</v>
      </c>
      <c r="C14" s="22">
        <v>138433638</v>
      </c>
      <c r="D14" s="22">
        <v>130950161</v>
      </c>
      <c r="E14" s="22">
        <f t="shared" si="0"/>
        <v>-7483477</v>
      </c>
      <c r="F14" s="23">
        <f t="shared" si="1"/>
        <v>-5.4058226801783536E-2</v>
      </c>
    </row>
    <row r="15" spans="1:8" ht="24" customHeight="1" x14ac:dyDescent="0.2">
      <c r="A15" s="20">
        <v>3</v>
      </c>
      <c r="B15" s="21" t="s">
        <v>18</v>
      </c>
      <c r="C15" s="22">
        <v>28719548</v>
      </c>
      <c r="D15" s="22">
        <v>33778305</v>
      </c>
      <c r="E15" s="22">
        <f t="shared" si="0"/>
        <v>5058757</v>
      </c>
      <c r="F15" s="23">
        <f t="shared" si="1"/>
        <v>0.17614333623913581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808442</v>
      </c>
      <c r="D17" s="22">
        <v>1434568</v>
      </c>
      <c r="E17" s="22">
        <f t="shared" si="0"/>
        <v>626126</v>
      </c>
      <c r="F17" s="23">
        <f t="shared" si="1"/>
        <v>0.77448474967901226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4469470</v>
      </c>
      <c r="D19" s="22">
        <v>5845470</v>
      </c>
      <c r="E19" s="22">
        <f t="shared" si="0"/>
        <v>1376000</v>
      </c>
      <c r="F19" s="23">
        <f t="shared" si="1"/>
        <v>0.30786648081316131</v>
      </c>
    </row>
    <row r="20" spans="1:11" ht="24" customHeight="1" x14ac:dyDescent="0.2">
      <c r="A20" s="20">
        <v>8</v>
      </c>
      <c r="B20" s="21" t="s">
        <v>23</v>
      </c>
      <c r="C20" s="22">
        <v>2004576</v>
      </c>
      <c r="D20" s="22">
        <v>2256097</v>
      </c>
      <c r="E20" s="22">
        <f t="shared" si="0"/>
        <v>251521</v>
      </c>
      <c r="F20" s="23">
        <f t="shared" si="1"/>
        <v>0.12547341682231056</v>
      </c>
    </row>
    <row r="21" spans="1:11" ht="24" customHeight="1" x14ac:dyDescent="0.2">
      <c r="A21" s="20">
        <v>9</v>
      </c>
      <c r="B21" s="21" t="s">
        <v>24</v>
      </c>
      <c r="C21" s="22">
        <v>18699699</v>
      </c>
      <c r="D21" s="22">
        <v>18938816</v>
      </c>
      <c r="E21" s="22">
        <f t="shared" si="0"/>
        <v>239117</v>
      </c>
      <c r="F21" s="23">
        <f t="shared" si="1"/>
        <v>1.2787211173826916E-2</v>
      </c>
    </row>
    <row r="22" spans="1:11" ht="24" customHeight="1" x14ac:dyDescent="0.25">
      <c r="A22" s="24"/>
      <c r="B22" s="25" t="s">
        <v>25</v>
      </c>
      <c r="C22" s="26">
        <f>SUM(C13:C21)</f>
        <v>206704027</v>
      </c>
      <c r="D22" s="26">
        <f>SUM(D13:D21)</f>
        <v>193504592</v>
      </c>
      <c r="E22" s="26">
        <f t="shared" si="0"/>
        <v>-13199435</v>
      </c>
      <c r="F22" s="27">
        <f t="shared" si="1"/>
        <v>-6.3856690126312829E-2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971261</v>
      </c>
      <c r="D25" s="22">
        <v>985034</v>
      </c>
      <c r="E25" s="22">
        <f>D25-C25</f>
        <v>13773</v>
      </c>
      <c r="F25" s="23">
        <f>IF(C25=0,0,E25/C25)</f>
        <v>1.4180534377474232E-2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9541685</v>
      </c>
      <c r="E26" s="22">
        <f>D26-C26</f>
        <v>9541685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2247125</v>
      </c>
      <c r="D27" s="22">
        <v>2247255</v>
      </c>
      <c r="E27" s="22">
        <f>D27-C27</f>
        <v>130</v>
      </c>
      <c r="F27" s="23">
        <f>IF(C27=0,0,E27/C27)</f>
        <v>5.7851699393669687E-5</v>
      </c>
    </row>
    <row r="28" spans="1:11" ht="24" customHeight="1" x14ac:dyDescent="0.2">
      <c r="A28" s="20">
        <v>4</v>
      </c>
      <c r="B28" s="21" t="s">
        <v>31</v>
      </c>
      <c r="C28" s="22">
        <v>22903951</v>
      </c>
      <c r="D28" s="22">
        <v>24899264</v>
      </c>
      <c r="E28" s="22">
        <f>D28-C28</f>
        <v>1995313</v>
      </c>
      <c r="F28" s="23">
        <f>IF(C28=0,0,E28/C28)</f>
        <v>8.7116541595814626E-2</v>
      </c>
    </row>
    <row r="29" spans="1:11" ht="24" customHeight="1" x14ac:dyDescent="0.25">
      <c r="A29" s="24"/>
      <c r="B29" s="25" t="s">
        <v>32</v>
      </c>
      <c r="C29" s="26">
        <f>SUM(C25:C28)</f>
        <v>26122337</v>
      </c>
      <c r="D29" s="26">
        <f>SUM(D25:D28)</f>
        <v>37673238</v>
      </c>
      <c r="E29" s="26">
        <f>D29-C29</f>
        <v>11550901</v>
      </c>
      <c r="F29" s="27">
        <f>IF(C29=0,0,E29/C29)</f>
        <v>0.44218482442822782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1857504</v>
      </c>
      <c r="D33" s="22">
        <v>1776176</v>
      </c>
      <c r="E33" s="22">
        <f>D33-C33</f>
        <v>-81328</v>
      </c>
      <c r="F33" s="23">
        <f>IF(C33=0,0,E33/C33)</f>
        <v>-4.3783485795992901E-2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337299259</v>
      </c>
      <c r="D36" s="22">
        <v>361545084</v>
      </c>
      <c r="E36" s="22">
        <f>D36-C36</f>
        <v>24245825</v>
      </c>
      <c r="F36" s="23">
        <f>IF(C36=0,0,E36/C36)</f>
        <v>7.1882236183625894E-2</v>
      </c>
    </row>
    <row r="37" spans="1:8" ht="24" customHeight="1" x14ac:dyDescent="0.2">
      <c r="A37" s="20">
        <v>2</v>
      </c>
      <c r="B37" s="21" t="s">
        <v>39</v>
      </c>
      <c r="C37" s="22">
        <v>224709996</v>
      </c>
      <c r="D37" s="22">
        <v>245331839</v>
      </c>
      <c r="E37" s="22">
        <f>D37-C37</f>
        <v>20621843</v>
      </c>
      <c r="F37" s="23">
        <f>IF(C37=0,0,E37/C37)</f>
        <v>9.1770919705770448E-2</v>
      </c>
    </row>
    <row r="38" spans="1:8" ht="24" customHeight="1" x14ac:dyDescent="0.25">
      <c r="A38" s="24"/>
      <c r="B38" s="25" t="s">
        <v>40</v>
      </c>
      <c r="C38" s="26">
        <f>C36-C37</f>
        <v>112589263</v>
      </c>
      <c r="D38" s="26">
        <f>D36-D37</f>
        <v>116213245</v>
      </c>
      <c r="E38" s="26">
        <f>D38-C38</f>
        <v>3623982</v>
      </c>
      <c r="F38" s="27">
        <f>IF(C38=0,0,E38/C38)</f>
        <v>3.2187634090828005E-2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22337285</v>
      </c>
      <c r="D40" s="22">
        <v>45776965</v>
      </c>
      <c r="E40" s="22">
        <f>D40-C40</f>
        <v>23439680</v>
      </c>
      <c r="F40" s="23">
        <f>IF(C40=0,0,E40/C40)</f>
        <v>1.0493522377495743</v>
      </c>
    </row>
    <row r="41" spans="1:8" ht="24" customHeight="1" x14ac:dyDescent="0.25">
      <c r="A41" s="24"/>
      <c r="B41" s="25" t="s">
        <v>42</v>
      </c>
      <c r="C41" s="26">
        <f>+C38+C40</f>
        <v>134926548</v>
      </c>
      <c r="D41" s="26">
        <f>+D38+D40</f>
        <v>161990210</v>
      </c>
      <c r="E41" s="26">
        <f>D41-C41</f>
        <v>27063662</v>
      </c>
      <c r="F41" s="27">
        <f>IF(C41=0,0,E41/C41)</f>
        <v>0.20058070410279821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369610416</v>
      </c>
      <c r="D43" s="26">
        <f>D22+D29+D31+D32+D33+D41</f>
        <v>394944216</v>
      </c>
      <c r="E43" s="26">
        <f>D43-C43</f>
        <v>25333800</v>
      </c>
      <c r="F43" s="27">
        <f>IF(C43=0,0,E43/C43)</f>
        <v>6.854189953348068E-2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36729771</v>
      </c>
      <c r="D49" s="22">
        <v>34966367</v>
      </c>
      <c r="E49" s="22">
        <f t="shared" ref="E49:E56" si="2">D49-C49</f>
        <v>-1763404</v>
      </c>
      <c r="F49" s="23">
        <f t="shared" ref="F49:F56" si="3">IF(C49=0,0,E49/C49)</f>
        <v>-4.8010209483745486E-2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3600791</v>
      </c>
      <c r="D50" s="22">
        <v>4108644</v>
      </c>
      <c r="E50" s="22">
        <f t="shared" si="2"/>
        <v>507853</v>
      </c>
      <c r="F50" s="23">
        <f t="shared" si="3"/>
        <v>0.14103928831192925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5409556</v>
      </c>
      <c r="D51" s="22">
        <v>3826094</v>
      </c>
      <c r="E51" s="22">
        <f t="shared" si="2"/>
        <v>-1583462</v>
      </c>
      <c r="F51" s="23">
        <f t="shared" si="3"/>
        <v>-0.29271570531851415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2421244</v>
      </c>
      <c r="D52" s="22">
        <v>1867732</v>
      </c>
      <c r="E52" s="22">
        <f t="shared" si="2"/>
        <v>-553512</v>
      </c>
      <c r="F52" s="23">
        <f t="shared" si="3"/>
        <v>-0.22860645189002018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2762007</v>
      </c>
      <c r="D53" s="22">
        <v>4487234</v>
      </c>
      <c r="E53" s="22">
        <f t="shared" si="2"/>
        <v>1725227</v>
      </c>
      <c r="F53" s="23">
        <f t="shared" si="3"/>
        <v>0.62462803316573778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0</v>
      </c>
      <c r="D55" s="22">
        <v>0</v>
      </c>
      <c r="E55" s="22">
        <f t="shared" si="2"/>
        <v>0</v>
      </c>
      <c r="F55" s="23">
        <f t="shared" si="3"/>
        <v>0</v>
      </c>
    </row>
    <row r="56" spans="1:6" ht="24" customHeight="1" x14ac:dyDescent="0.25">
      <c r="A56" s="24"/>
      <c r="B56" s="25" t="s">
        <v>54</v>
      </c>
      <c r="C56" s="26">
        <f>SUM(C49:C55)</f>
        <v>50923369</v>
      </c>
      <c r="D56" s="26">
        <f>SUM(D49:D55)</f>
        <v>49256071</v>
      </c>
      <c r="E56" s="26">
        <f t="shared" si="2"/>
        <v>-1667298</v>
      </c>
      <c r="F56" s="27">
        <f t="shared" si="3"/>
        <v>-3.2741313717872832E-2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79507217</v>
      </c>
      <c r="D59" s="22">
        <v>86439477</v>
      </c>
      <c r="E59" s="22">
        <f>D59-C59</f>
        <v>6932260</v>
      </c>
      <c r="F59" s="23">
        <f>IF(C59=0,0,E59/C59)</f>
        <v>8.7190323867077368E-2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79507217</v>
      </c>
      <c r="D61" s="26">
        <f>SUM(D59:D60)</f>
        <v>86439477</v>
      </c>
      <c r="E61" s="26">
        <f>D61-C61</f>
        <v>6932260</v>
      </c>
      <c r="F61" s="27">
        <f>IF(C61=0,0,E61/C61)</f>
        <v>8.7190323867077368E-2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51185800</v>
      </c>
      <c r="D63" s="22">
        <v>42309345</v>
      </c>
      <c r="E63" s="22">
        <f>D63-C63</f>
        <v>-8876455</v>
      </c>
      <c r="F63" s="23">
        <f>IF(C63=0,0,E63/C63)</f>
        <v>-0.17341635766169525</v>
      </c>
    </row>
    <row r="64" spans="1:6" ht="24" customHeight="1" x14ac:dyDescent="0.2">
      <c r="A64" s="20">
        <v>4</v>
      </c>
      <c r="B64" s="21" t="s">
        <v>60</v>
      </c>
      <c r="C64" s="22">
        <v>17998408</v>
      </c>
      <c r="D64" s="22">
        <v>17774823</v>
      </c>
      <c r="E64" s="22">
        <f>D64-C64</f>
        <v>-223585</v>
      </c>
      <c r="F64" s="23">
        <f>IF(C64=0,0,E64/C64)</f>
        <v>-1.2422487588902307E-2</v>
      </c>
    </row>
    <row r="65" spans="1:6" ht="24" customHeight="1" x14ac:dyDescent="0.25">
      <c r="A65" s="24"/>
      <c r="B65" s="25" t="s">
        <v>61</v>
      </c>
      <c r="C65" s="26">
        <f>SUM(C61:C64)</f>
        <v>148691425</v>
      </c>
      <c r="D65" s="26">
        <f>SUM(D61:D64)</f>
        <v>146523645</v>
      </c>
      <c r="E65" s="26">
        <f>D65-C65</f>
        <v>-2167780</v>
      </c>
      <c r="F65" s="27">
        <f>IF(C65=0,0,E65/C65)</f>
        <v>-1.4579051885473556E-2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144038576</v>
      </c>
      <c r="D70" s="22">
        <v>171018998</v>
      </c>
      <c r="E70" s="22">
        <f>D70-C70</f>
        <v>26980422</v>
      </c>
      <c r="F70" s="23">
        <f>IF(C70=0,0,E70/C70)</f>
        <v>0.18731386236420444</v>
      </c>
    </row>
    <row r="71" spans="1:6" ht="24" customHeight="1" x14ac:dyDescent="0.2">
      <c r="A71" s="20">
        <v>2</v>
      </c>
      <c r="B71" s="21" t="s">
        <v>65</v>
      </c>
      <c r="C71" s="22">
        <v>20092239</v>
      </c>
      <c r="D71" s="22">
        <v>22198248</v>
      </c>
      <c r="E71" s="22">
        <f>D71-C71</f>
        <v>2106009</v>
      </c>
      <c r="F71" s="23">
        <f>IF(C71=0,0,E71/C71)</f>
        <v>0.10481703905672235</v>
      </c>
    </row>
    <row r="72" spans="1:6" ht="24" customHeight="1" x14ac:dyDescent="0.2">
      <c r="A72" s="20">
        <v>3</v>
      </c>
      <c r="B72" s="21" t="s">
        <v>66</v>
      </c>
      <c r="C72" s="22">
        <v>5864807</v>
      </c>
      <c r="D72" s="22">
        <v>5947254</v>
      </c>
      <c r="E72" s="22">
        <f>D72-C72</f>
        <v>82447</v>
      </c>
      <c r="F72" s="23">
        <f>IF(C72=0,0,E72/C72)</f>
        <v>1.4057922110650871E-2</v>
      </c>
    </row>
    <row r="73" spans="1:6" ht="24" customHeight="1" x14ac:dyDescent="0.25">
      <c r="A73" s="20"/>
      <c r="B73" s="25" t="s">
        <v>67</v>
      </c>
      <c r="C73" s="26">
        <f>SUM(C70:C72)</f>
        <v>169995622</v>
      </c>
      <c r="D73" s="26">
        <f>SUM(D70:D72)</f>
        <v>199164500</v>
      </c>
      <c r="E73" s="26">
        <f>D73-C73</f>
        <v>29168878</v>
      </c>
      <c r="F73" s="27">
        <f>IF(C73=0,0,E73/C73)</f>
        <v>0.17158605413967662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369610416</v>
      </c>
      <c r="D75" s="26">
        <f>D56+D65+D67+D73</f>
        <v>394944216</v>
      </c>
      <c r="E75" s="26">
        <f>D75-C75</f>
        <v>25333800</v>
      </c>
      <c r="F75" s="27">
        <f>IF(C75=0,0,E75/C75)</f>
        <v>6.854189953348068E-2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346642222</v>
      </c>
      <c r="D11" s="76">
        <v>354042019</v>
      </c>
      <c r="E11" s="76">
        <v>358189769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18437225</v>
      </c>
      <c r="D12" s="185">
        <v>16080943</v>
      </c>
      <c r="E12" s="185">
        <v>22197644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365079447</v>
      </c>
      <c r="D13" s="76">
        <f>+D11+D12</f>
        <v>370122962</v>
      </c>
      <c r="E13" s="76">
        <f>+E11+E12</f>
        <v>380387413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355831236</v>
      </c>
      <c r="D14" s="185">
        <v>369415491</v>
      </c>
      <c r="E14" s="185">
        <v>387805077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9248211</v>
      </c>
      <c r="D15" s="76">
        <f>+D13-D14</f>
        <v>707471</v>
      </c>
      <c r="E15" s="76">
        <f>+E13-E14</f>
        <v>-7417664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6654562</v>
      </c>
      <c r="D16" s="185">
        <v>7013860</v>
      </c>
      <c r="E16" s="185">
        <v>9671018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15902773</v>
      </c>
      <c r="D17" s="76">
        <f>D15+D16</f>
        <v>7721331</v>
      </c>
      <c r="E17" s="76">
        <f>E15+E16</f>
        <v>2253354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2.4878571172109249E-2</v>
      </c>
      <c r="D20" s="189">
        <f>IF(+D27=0,0,+D24/+D27)</f>
        <v>1.8759000944224959E-3</v>
      </c>
      <c r="E20" s="189">
        <f>IF(+E27=0,0,+E24/+E27)</f>
        <v>-1.9016802126243491E-2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1.7901407562631699E-2</v>
      </c>
      <c r="D21" s="189">
        <f>IF(+D27=0,0,+D26/+D27)</f>
        <v>1.8597653665332101E-2</v>
      </c>
      <c r="E21" s="189">
        <f>IF(+E27=0,0,+E26/+E27)</f>
        <v>2.479376737276575E-2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4.2779978734740945E-2</v>
      </c>
      <c r="D22" s="189">
        <f>IF(+D27=0,0,+D28/+D27)</f>
        <v>2.0473553759754598E-2</v>
      </c>
      <c r="E22" s="189">
        <f>IF(+E27=0,0,+E28/+E27)</f>
        <v>5.7769652465222577E-3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9248211</v>
      </c>
      <c r="D24" s="76">
        <f>+D15</f>
        <v>707471</v>
      </c>
      <c r="E24" s="76">
        <f>+E15</f>
        <v>-7417664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365079447</v>
      </c>
      <c r="D25" s="76">
        <f>+D13</f>
        <v>370122962</v>
      </c>
      <c r="E25" s="76">
        <f>+E13</f>
        <v>380387413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6654562</v>
      </c>
      <c r="D26" s="76">
        <f>+D16</f>
        <v>7013860</v>
      </c>
      <c r="E26" s="76">
        <f>+E16</f>
        <v>9671018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371734009</v>
      </c>
      <c r="D27" s="76">
        <f>SUM(D25:D26)</f>
        <v>377136822</v>
      </c>
      <c r="E27" s="76">
        <f>SUM(E25:E26)</f>
        <v>390058431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15902773</v>
      </c>
      <c r="D28" s="76">
        <f>+D17</f>
        <v>7721331</v>
      </c>
      <c r="E28" s="76">
        <f>+E17</f>
        <v>2253354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217665390</v>
      </c>
      <c r="D31" s="76">
        <v>225862751</v>
      </c>
      <c r="E31" s="76">
        <v>246531146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242126973</v>
      </c>
      <c r="D32" s="76">
        <v>253109414</v>
      </c>
      <c r="E32" s="76">
        <v>285975606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14507275</v>
      </c>
      <c r="D33" s="76">
        <f>+D32-C32</f>
        <v>10982441</v>
      </c>
      <c r="E33" s="76">
        <f>+E32-D32</f>
        <v>32866192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1.0637000000000001</v>
      </c>
      <c r="D34" s="193">
        <f>IF(C32=0,0,+D33/C32)</f>
        <v>4.5358188986239049E-2</v>
      </c>
      <c r="E34" s="193">
        <f>IF(D32=0,0,+E33/D32)</f>
        <v>0.12984974158250787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4.835680123845755</v>
      </c>
      <c r="D38" s="338">
        <f>IF(+D40=0,0,+D39/+D40)</f>
        <v>5.0139164342234794</v>
      </c>
      <c r="E38" s="338">
        <f>IF(+E40=0,0,+E39/+E40)</f>
        <v>3.2402084210442594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245546175</v>
      </c>
      <c r="D39" s="341">
        <v>272002244</v>
      </c>
      <c r="E39" s="341">
        <v>255838063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50778002</v>
      </c>
      <c r="D40" s="341">
        <v>54249457</v>
      </c>
      <c r="E40" s="341">
        <v>78957286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216.7095519836196</v>
      </c>
      <c r="D42" s="343">
        <f>IF((D48/365)=0,0,+D45/(D48/365))</f>
        <v>233.37505284513728</v>
      </c>
      <c r="E42" s="343">
        <f>IF((E48/365)=0,0,+E45/(E48/365))</f>
        <v>192.98768510676484</v>
      </c>
    </row>
    <row r="43" spans="1:14" ht="24" customHeight="1" x14ac:dyDescent="0.2">
      <c r="A43" s="339">
        <v>5</v>
      </c>
      <c r="B43" s="344" t="s">
        <v>16</v>
      </c>
      <c r="C43" s="345">
        <v>44580932</v>
      </c>
      <c r="D43" s="345">
        <v>15956015</v>
      </c>
      <c r="E43" s="345">
        <v>11532247</v>
      </c>
    </row>
    <row r="44" spans="1:14" ht="24" customHeight="1" x14ac:dyDescent="0.2">
      <c r="A44" s="339">
        <v>6</v>
      </c>
      <c r="B44" s="346" t="s">
        <v>17</v>
      </c>
      <c r="C44" s="345">
        <v>156173381</v>
      </c>
      <c r="D44" s="345">
        <v>207930544</v>
      </c>
      <c r="E44" s="345">
        <v>181339986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200754313</v>
      </c>
      <c r="D45" s="341">
        <f>+D43+D44</f>
        <v>223886559</v>
      </c>
      <c r="E45" s="341">
        <f>+E43+E44</f>
        <v>192872233</v>
      </c>
    </row>
    <row r="46" spans="1:14" ht="24" customHeight="1" x14ac:dyDescent="0.2">
      <c r="A46" s="339">
        <v>8</v>
      </c>
      <c r="B46" s="340" t="s">
        <v>334</v>
      </c>
      <c r="C46" s="341">
        <f>+C14</f>
        <v>355831236</v>
      </c>
      <c r="D46" s="341">
        <f>+D14</f>
        <v>369415491</v>
      </c>
      <c r="E46" s="341">
        <f>+E14</f>
        <v>387805077</v>
      </c>
    </row>
    <row r="47" spans="1:14" ht="24" customHeight="1" x14ac:dyDescent="0.2">
      <c r="A47" s="339">
        <v>9</v>
      </c>
      <c r="B47" s="340" t="s">
        <v>356</v>
      </c>
      <c r="C47" s="341">
        <v>17704358</v>
      </c>
      <c r="D47" s="341">
        <v>19255553</v>
      </c>
      <c r="E47" s="341">
        <v>23023433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338126878</v>
      </c>
      <c r="D48" s="341">
        <f>+D46-D47</f>
        <v>350159938</v>
      </c>
      <c r="E48" s="341">
        <f>+E46-E47</f>
        <v>364781644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25.480735797383623</v>
      </c>
      <c r="D50" s="350">
        <f>IF((D55/365)=0,0,+D54/(D55/365))</f>
        <v>27.490898050719796</v>
      </c>
      <c r="E50" s="350">
        <f>IF((E55/365)=0,0,+E54/(E55/365))</f>
        <v>37.561890021487464</v>
      </c>
    </row>
    <row r="51" spans="1:5" ht="24" customHeight="1" x14ac:dyDescent="0.2">
      <c r="A51" s="339">
        <v>12</v>
      </c>
      <c r="B51" s="344" t="s">
        <v>359</v>
      </c>
      <c r="C51" s="351">
        <v>32212263</v>
      </c>
      <c r="D51" s="351">
        <v>32312475</v>
      </c>
      <c r="E51" s="351">
        <v>42732035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8013088</v>
      </c>
      <c r="D53" s="341">
        <v>5646905</v>
      </c>
      <c r="E53" s="341">
        <v>5870981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24199175</v>
      </c>
      <c r="D54" s="352">
        <f>+D51+D52-D53</f>
        <v>26665570</v>
      </c>
      <c r="E54" s="352">
        <f>+E51+E52-E53</f>
        <v>36861054</v>
      </c>
    </row>
    <row r="55" spans="1:5" ht="24" customHeight="1" x14ac:dyDescent="0.2">
      <c r="A55" s="339">
        <v>16</v>
      </c>
      <c r="B55" s="340" t="s">
        <v>75</v>
      </c>
      <c r="C55" s="341">
        <f>+C11</f>
        <v>346642222</v>
      </c>
      <c r="D55" s="341">
        <f>+D11</f>
        <v>354042019</v>
      </c>
      <c r="E55" s="341">
        <f>+E11</f>
        <v>358189769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54.813657049765801</v>
      </c>
      <c r="D57" s="355">
        <f>IF((D61/365)=0,0,+D58/(D61/365))</f>
        <v>56.548592960397428</v>
      </c>
      <c r="E57" s="355">
        <f>IF((E61/365)=0,0,+E58/(E61/365))</f>
        <v>79.004549335273012</v>
      </c>
    </row>
    <row r="58" spans="1:5" ht="24" customHeight="1" x14ac:dyDescent="0.2">
      <c r="A58" s="339">
        <v>18</v>
      </c>
      <c r="B58" s="340" t="s">
        <v>54</v>
      </c>
      <c r="C58" s="353">
        <f>+C40</f>
        <v>50778002</v>
      </c>
      <c r="D58" s="353">
        <f>+D40</f>
        <v>54249457</v>
      </c>
      <c r="E58" s="353">
        <f>+E40</f>
        <v>78957286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355831236</v>
      </c>
      <c r="D59" s="353">
        <f t="shared" si="0"/>
        <v>369415491</v>
      </c>
      <c r="E59" s="353">
        <f t="shared" si="0"/>
        <v>387805077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17704358</v>
      </c>
      <c r="D60" s="356">
        <f t="shared" si="0"/>
        <v>19255553</v>
      </c>
      <c r="E60" s="356">
        <f t="shared" si="0"/>
        <v>23023433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338126878</v>
      </c>
      <c r="D61" s="353">
        <f>+D59-D60</f>
        <v>350159938</v>
      </c>
      <c r="E61" s="353">
        <f>+E59-E60</f>
        <v>364781644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55.945365152405515</v>
      </c>
      <c r="D65" s="357">
        <f>IF(D67=0,0,(D66/D67)*100)</f>
        <v>55.211440336010739</v>
      </c>
      <c r="E65" s="357">
        <f>IF(E67=0,0,(E66/E67)*100)</f>
        <v>53.965734885194927</v>
      </c>
    </row>
    <row r="66" spans="1:5" ht="24" customHeight="1" x14ac:dyDescent="0.2">
      <c r="A66" s="339">
        <v>2</v>
      </c>
      <c r="B66" s="340" t="s">
        <v>67</v>
      </c>
      <c r="C66" s="353">
        <f>+C32</f>
        <v>242126973</v>
      </c>
      <c r="D66" s="353">
        <f>+D32</f>
        <v>253109414</v>
      </c>
      <c r="E66" s="353">
        <f>+E32</f>
        <v>285975606</v>
      </c>
    </row>
    <row r="67" spans="1:5" ht="24" customHeight="1" x14ac:dyDescent="0.2">
      <c r="A67" s="339">
        <v>3</v>
      </c>
      <c r="B67" s="340" t="s">
        <v>43</v>
      </c>
      <c r="C67" s="353">
        <v>432791836</v>
      </c>
      <c r="D67" s="353">
        <v>458436535</v>
      </c>
      <c r="E67" s="353">
        <v>529920711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25.263215793147548</v>
      </c>
      <c r="D69" s="357">
        <f>IF(D75=0,0,(D72/D75)*100)</f>
        <v>20.168626501583017</v>
      </c>
      <c r="E69" s="357">
        <f>IF(E75=0,0,(E72/E75)*100)</f>
        <v>14.045852300769948</v>
      </c>
    </row>
    <row r="70" spans="1:5" ht="24" customHeight="1" x14ac:dyDescent="0.2">
      <c r="A70" s="339">
        <v>5</v>
      </c>
      <c r="B70" s="340" t="s">
        <v>366</v>
      </c>
      <c r="C70" s="353">
        <f>+C28</f>
        <v>15902773</v>
      </c>
      <c r="D70" s="353">
        <f>+D28</f>
        <v>7721331</v>
      </c>
      <c r="E70" s="353">
        <f>+E28</f>
        <v>2253354</v>
      </c>
    </row>
    <row r="71" spans="1:5" ht="24" customHeight="1" x14ac:dyDescent="0.2">
      <c r="A71" s="339">
        <v>6</v>
      </c>
      <c r="B71" s="340" t="s">
        <v>356</v>
      </c>
      <c r="C71" s="356">
        <f>+C47</f>
        <v>17704358</v>
      </c>
      <c r="D71" s="356">
        <f>+D47</f>
        <v>19255553</v>
      </c>
      <c r="E71" s="356">
        <f>+E47</f>
        <v>23023433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33607131</v>
      </c>
      <c r="D72" s="353">
        <f>+D70+D71</f>
        <v>26976884</v>
      </c>
      <c r="E72" s="353">
        <f>+E70+E71</f>
        <v>25276787</v>
      </c>
    </row>
    <row r="73" spans="1:5" ht="24" customHeight="1" x14ac:dyDescent="0.2">
      <c r="A73" s="339">
        <v>8</v>
      </c>
      <c r="B73" s="340" t="s">
        <v>54</v>
      </c>
      <c r="C73" s="341">
        <f>+C40</f>
        <v>50778002</v>
      </c>
      <c r="D73" s="341">
        <f>+D40</f>
        <v>54249457</v>
      </c>
      <c r="E73" s="341">
        <f>+E40</f>
        <v>78957286</v>
      </c>
    </row>
    <row r="74" spans="1:5" ht="24" customHeight="1" x14ac:dyDescent="0.2">
      <c r="A74" s="339">
        <v>9</v>
      </c>
      <c r="B74" s="340" t="s">
        <v>58</v>
      </c>
      <c r="C74" s="353">
        <v>82249920</v>
      </c>
      <c r="D74" s="353">
        <v>79507217</v>
      </c>
      <c r="E74" s="353">
        <v>101001797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133027922</v>
      </c>
      <c r="D75" s="341">
        <f>+D73+D74</f>
        <v>133756674</v>
      </c>
      <c r="E75" s="341">
        <f>+E73+E74</f>
        <v>179959083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25.356282082645144</v>
      </c>
      <c r="D77" s="359">
        <f>IF(D80=0,0,(D78/D80)*100)</f>
        <v>23.903560312352511</v>
      </c>
      <c r="E77" s="359">
        <f>IF(E80=0,0,(E78/E80)*100)</f>
        <v>26.100179549760426</v>
      </c>
    </row>
    <row r="78" spans="1:5" ht="24" customHeight="1" x14ac:dyDescent="0.2">
      <c r="A78" s="339">
        <v>12</v>
      </c>
      <c r="B78" s="340" t="s">
        <v>58</v>
      </c>
      <c r="C78" s="341">
        <f>+C74</f>
        <v>82249920</v>
      </c>
      <c r="D78" s="341">
        <f>+D74</f>
        <v>79507217</v>
      </c>
      <c r="E78" s="341">
        <f>+E74</f>
        <v>101001797</v>
      </c>
    </row>
    <row r="79" spans="1:5" ht="24" customHeight="1" x14ac:dyDescent="0.2">
      <c r="A79" s="339">
        <v>13</v>
      </c>
      <c r="B79" s="340" t="s">
        <v>67</v>
      </c>
      <c r="C79" s="341">
        <f>+C32</f>
        <v>242126973</v>
      </c>
      <c r="D79" s="341">
        <f>+D32</f>
        <v>253109414</v>
      </c>
      <c r="E79" s="341">
        <f>+E32</f>
        <v>285975606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324376893</v>
      </c>
      <c r="D80" s="341">
        <f>+D78+D79</f>
        <v>332616631</v>
      </c>
      <c r="E80" s="341">
        <f>+E78+E79</f>
        <v>386977403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41667</v>
      </c>
      <c r="D11" s="376">
        <v>10416</v>
      </c>
      <c r="E11" s="376">
        <v>10040</v>
      </c>
      <c r="F11" s="377">
        <v>148</v>
      </c>
      <c r="G11" s="377">
        <v>148</v>
      </c>
      <c r="H11" s="378">
        <f>IF(F11=0,0,$C11/(F11*365))</f>
        <v>0.77132543502406514</v>
      </c>
      <c r="I11" s="378">
        <f>IF(G11=0,0,$C11/(G11*365))</f>
        <v>0.77132543502406514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5325</v>
      </c>
      <c r="D13" s="376">
        <v>384</v>
      </c>
      <c r="E13" s="376">
        <v>0</v>
      </c>
      <c r="F13" s="377">
        <v>20</v>
      </c>
      <c r="G13" s="377">
        <v>20</v>
      </c>
      <c r="H13" s="378">
        <f>IF(F13=0,0,$C13/(F13*365))</f>
        <v>0.72945205479452058</v>
      </c>
      <c r="I13" s="378">
        <f>IF(G13=0,0,$C13/(G13*365))</f>
        <v>0.72945205479452058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5511</v>
      </c>
      <c r="D16" s="376">
        <v>651</v>
      </c>
      <c r="E16" s="376">
        <v>651</v>
      </c>
      <c r="F16" s="377">
        <v>18</v>
      </c>
      <c r="G16" s="377">
        <v>18</v>
      </c>
      <c r="H16" s="378">
        <f t="shared" si="0"/>
        <v>0.83881278538812787</v>
      </c>
      <c r="I16" s="378">
        <f t="shared" si="0"/>
        <v>0.83881278538812787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5511</v>
      </c>
      <c r="D17" s="381">
        <f>SUM(D15:D16)</f>
        <v>651</v>
      </c>
      <c r="E17" s="381">
        <f>SUM(E15:E16)</f>
        <v>651</v>
      </c>
      <c r="F17" s="381">
        <f>SUM(F15:F16)</f>
        <v>18</v>
      </c>
      <c r="G17" s="381">
        <f>SUM(G15:G16)</f>
        <v>18</v>
      </c>
      <c r="H17" s="382">
        <f t="shared" si="0"/>
        <v>0.83881278538812787</v>
      </c>
      <c r="I17" s="382">
        <f t="shared" si="0"/>
        <v>0.83881278538812787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4663</v>
      </c>
      <c r="D19" s="376">
        <v>344</v>
      </c>
      <c r="E19" s="376">
        <v>344</v>
      </c>
      <c r="F19" s="377">
        <v>16</v>
      </c>
      <c r="G19" s="377">
        <v>16</v>
      </c>
      <c r="H19" s="378">
        <f>IF(F19=0,0,$C19/(F19*365))</f>
        <v>0.79845890410958908</v>
      </c>
      <c r="I19" s="378">
        <f>IF(G19=0,0,$C19/(G19*365))</f>
        <v>0.79845890410958908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4207</v>
      </c>
      <c r="D21" s="376">
        <v>1588</v>
      </c>
      <c r="E21" s="376">
        <v>1588</v>
      </c>
      <c r="F21" s="377">
        <v>24</v>
      </c>
      <c r="G21" s="377">
        <v>24</v>
      </c>
      <c r="H21" s="378">
        <f>IF(F21=0,0,$C21/(F21*365))</f>
        <v>0.48025114155251142</v>
      </c>
      <c r="I21" s="378">
        <f>IF(G21=0,0,$C21/(G21*365))</f>
        <v>0.48025114155251142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3369</v>
      </c>
      <c r="D23" s="376">
        <v>1389</v>
      </c>
      <c r="E23" s="376">
        <v>1389</v>
      </c>
      <c r="F23" s="377">
        <v>14</v>
      </c>
      <c r="G23" s="377">
        <v>14</v>
      </c>
      <c r="H23" s="378">
        <f>IF(F23=0,0,$C23/(F23*365))</f>
        <v>0.6592954990215264</v>
      </c>
      <c r="I23" s="378">
        <f>IF(G23=0,0,$C23/(G23*365))</f>
        <v>0.6592954990215264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2220</v>
      </c>
      <c r="D25" s="376">
        <v>193</v>
      </c>
      <c r="E25" s="376">
        <v>0</v>
      </c>
      <c r="F25" s="377">
        <v>10</v>
      </c>
      <c r="G25" s="377">
        <v>10</v>
      </c>
      <c r="H25" s="378">
        <f>IF(F25=0,0,$C25/(F25*365))</f>
        <v>0.60821917808219184</v>
      </c>
      <c r="I25" s="378">
        <f>IF(G25=0,0,$C25/(G25*365))</f>
        <v>0.60821917808219184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191</v>
      </c>
      <c r="D27" s="376">
        <v>68</v>
      </c>
      <c r="E27" s="376">
        <v>68</v>
      </c>
      <c r="F27" s="377">
        <v>6</v>
      </c>
      <c r="G27" s="377">
        <v>6</v>
      </c>
      <c r="H27" s="378">
        <f>IF(F27=0,0,$C27/(F27*365))</f>
        <v>8.7214611872146117E-2</v>
      </c>
      <c r="I27" s="378">
        <f>IF(G27=0,0,$C27/(G27*365))</f>
        <v>8.7214611872146117E-2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63784</v>
      </c>
      <c r="D31" s="384">
        <f>SUM(D10:D29)-D13-D17-D23</f>
        <v>13260</v>
      </c>
      <c r="E31" s="384">
        <f>SUM(E10:E29)-E17-E23</f>
        <v>12691</v>
      </c>
      <c r="F31" s="384">
        <f>SUM(F10:F29)-F17-F23</f>
        <v>242</v>
      </c>
      <c r="G31" s="384">
        <f>SUM(G10:G29)-G17-G23</f>
        <v>242</v>
      </c>
      <c r="H31" s="385">
        <f>IF(F31=0,0,$C31/(F31*365))</f>
        <v>0.72211026831201175</v>
      </c>
      <c r="I31" s="385">
        <f>IF(G31=0,0,$C31/(G31*365))</f>
        <v>0.72211026831201175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67153</v>
      </c>
      <c r="D33" s="384">
        <f>SUM(D10:D29)-D13-D17</f>
        <v>14649</v>
      </c>
      <c r="E33" s="384">
        <f>SUM(E10:E29)-E17</f>
        <v>14080</v>
      </c>
      <c r="F33" s="384">
        <f>SUM(F10:F29)-F17</f>
        <v>256</v>
      </c>
      <c r="G33" s="384">
        <f>SUM(G10:G29)-G17</f>
        <v>256</v>
      </c>
      <c r="H33" s="385">
        <f>IF(F33=0,0,$C33/(F33*365))</f>
        <v>0.71867508561643834</v>
      </c>
      <c r="I33" s="385">
        <f>IF(G33=0,0,$C33/(G33*365))</f>
        <v>0.71867508561643834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67153</v>
      </c>
      <c r="D36" s="384">
        <f t="shared" si="1"/>
        <v>14649</v>
      </c>
      <c r="E36" s="384">
        <f t="shared" si="1"/>
        <v>14080</v>
      </c>
      <c r="F36" s="384">
        <f t="shared" si="1"/>
        <v>256</v>
      </c>
      <c r="G36" s="384">
        <f t="shared" si="1"/>
        <v>256</v>
      </c>
      <c r="H36" s="387">
        <f t="shared" si="1"/>
        <v>0.71867508561643834</v>
      </c>
      <c r="I36" s="387">
        <f t="shared" si="1"/>
        <v>0.71867508561643834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70558</v>
      </c>
      <c r="D37" s="384">
        <v>14932</v>
      </c>
      <c r="E37" s="384">
        <v>14428</v>
      </c>
      <c r="F37" s="386">
        <v>256</v>
      </c>
      <c r="G37" s="386">
        <v>256</v>
      </c>
      <c r="H37" s="385">
        <f>IF(F37=0,0,$C37/(F37*365))</f>
        <v>0.75511558219178088</v>
      </c>
      <c r="I37" s="385">
        <f>IF(G37=0,0,$C37/(G37*365))</f>
        <v>0.75511558219178088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-3405</v>
      </c>
      <c r="D38" s="384">
        <f t="shared" si="2"/>
        <v>-283</v>
      </c>
      <c r="E38" s="384">
        <f t="shared" si="2"/>
        <v>-348</v>
      </c>
      <c r="F38" s="384">
        <f t="shared" si="2"/>
        <v>0</v>
      </c>
      <c r="G38" s="384">
        <f t="shared" si="2"/>
        <v>0</v>
      </c>
      <c r="H38" s="387">
        <f t="shared" si="2"/>
        <v>-3.644049657534254E-2</v>
      </c>
      <c r="I38" s="387">
        <f t="shared" si="2"/>
        <v>-3.644049657534254E-2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-4.8258170583066411E-2</v>
      </c>
      <c r="D40" s="389">
        <f t="shared" si="3"/>
        <v>-1.8952585052236806E-2</v>
      </c>
      <c r="E40" s="389">
        <f t="shared" si="3"/>
        <v>-2.411976711948988E-2</v>
      </c>
      <c r="F40" s="389">
        <f t="shared" si="3"/>
        <v>0</v>
      </c>
      <c r="G40" s="389">
        <f t="shared" si="3"/>
        <v>0</v>
      </c>
      <c r="H40" s="389">
        <f t="shared" si="3"/>
        <v>-4.8258170583066508E-2</v>
      </c>
      <c r="I40" s="389">
        <f t="shared" si="3"/>
        <v>-4.8258170583066508E-2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308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6816</v>
      </c>
      <c r="D12" s="409">
        <v>6392</v>
      </c>
      <c r="E12" s="409">
        <f>+D12-C12</f>
        <v>-424</v>
      </c>
      <c r="F12" s="410">
        <f>IF(C12=0,0,+E12/C12)</f>
        <v>-6.2206572769953054E-2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10042</v>
      </c>
      <c r="D13" s="409">
        <v>9679</v>
      </c>
      <c r="E13" s="409">
        <f>+D13-C13</f>
        <v>-363</v>
      </c>
      <c r="F13" s="410">
        <f>IF(C13=0,0,+E13/C13)</f>
        <v>-3.6148177653853815E-2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7628</v>
      </c>
      <c r="D14" s="409">
        <v>7115</v>
      </c>
      <c r="E14" s="409">
        <f>+D14-C14</f>
        <v>-513</v>
      </c>
      <c r="F14" s="410">
        <f>IF(C14=0,0,+E14/C14)</f>
        <v>-6.7252228631358157E-2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24486</v>
      </c>
      <c r="D16" s="401">
        <f>SUM(D12:D15)</f>
        <v>23186</v>
      </c>
      <c r="E16" s="401">
        <f>+D16-C16</f>
        <v>-1300</v>
      </c>
      <c r="F16" s="402">
        <f>IF(C16=0,0,+E16/C16)</f>
        <v>-5.3091562525524792E-2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1501</v>
      </c>
      <c r="D19" s="409">
        <v>1323</v>
      </c>
      <c r="E19" s="409">
        <f>+D19-C19</f>
        <v>-178</v>
      </c>
      <c r="F19" s="410">
        <f>IF(C19=0,0,+E19/C19)</f>
        <v>-0.11858760826115923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9993</v>
      </c>
      <c r="D20" s="409">
        <v>9819</v>
      </c>
      <c r="E20" s="409">
        <f>+D20-C20</f>
        <v>-174</v>
      </c>
      <c r="F20" s="410">
        <f>IF(C20=0,0,+E20/C20)</f>
        <v>-1.7412188531972381E-2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105</v>
      </c>
      <c r="D21" s="409">
        <v>114</v>
      </c>
      <c r="E21" s="409">
        <f>+D21-C21</f>
        <v>9</v>
      </c>
      <c r="F21" s="410">
        <f>IF(C21=0,0,+E21/C21)</f>
        <v>8.5714285714285715E-2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11599</v>
      </c>
      <c r="D23" s="401">
        <f>SUM(D19:D22)</f>
        <v>11256</v>
      </c>
      <c r="E23" s="401">
        <f>+D23-C23</f>
        <v>-343</v>
      </c>
      <c r="F23" s="402">
        <f>IF(C23=0,0,+E23/C23)</f>
        <v>-2.9571514785757393E-2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3</v>
      </c>
      <c r="E27" s="409">
        <f>+D27-C27</f>
        <v>3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3</v>
      </c>
      <c r="E30" s="401">
        <f>+D30-C30</f>
        <v>3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6</v>
      </c>
      <c r="E33" s="409">
        <f>+D33-C33</f>
        <v>6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418</v>
      </c>
      <c r="D34" s="409">
        <v>369</v>
      </c>
      <c r="E34" s="409">
        <f>+D34-C34</f>
        <v>-49</v>
      </c>
      <c r="F34" s="410">
        <f>IF(C34=0,0,+E34/C34)</f>
        <v>-0.11722488038277512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418</v>
      </c>
      <c r="D37" s="401">
        <f>SUM(D33:D36)</f>
        <v>375</v>
      </c>
      <c r="E37" s="401">
        <f>+D37-C37</f>
        <v>-43</v>
      </c>
      <c r="F37" s="402">
        <f>IF(C37=0,0,+E37/C37)</f>
        <v>-0.10287081339712918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329</v>
      </c>
      <c r="D43" s="409">
        <v>229</v>
      </c>
      <c r="E43" s="409">
        <f>+D43-C43</f>
        <v>-100</v>
      </c>
      <c r="F43" s="410">
        <f>IF(C43=0,0,+E43/C43)</f>
        <v>-0.303951367781155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9350</v>
      </c>
      <c r="D44" s="409">
        <v>9439</v>
      </c>
      <c r="E44" s="409">
        <f>+D44-C44</f>
        <v>89</v>
      </c>
      <c r="F44" s="410">
        <f>IF(C44=0,0,+E44/C44)</f>
        <v>9.5187165775401077E-3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9679</v>
      </c>
      <c r="D45" s="401">
        <f>SUM(D43:D44)</f>
        <v>9668</v>
      </c>
      <c r="E45" s="401">
        <f>+D45-C45</f>
        <v>-11</v>
      </c>
      <c r="F45" s="402">
        <f>IF(C45=0,0,+E45/C45)</f>
        <v>-1.1364810414298998E-3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353</v>
      </c>
      <c r="D48" s="409">
        <v>390</v>
      </c>
      <c r="E48" s="409">
        <f>+D48-C48</f>
        <v>37</v>
      </c>
      <c r="F48" s="410">
        <f>IF(C48=0,0,+E48/C48)</f>
        <v>0.10481586402266289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239</v>
      </c>
      <c r="D49" s="409">
        <v>197</v>
      </c>
      <c r="E49" s="409">
        <f>+D49-C49</f>
        <v>-42</v>
      </c>
      <c r="F49" s="410">
        <f>IF(C49=0,0,+E49/C49)</f>
        <v>-0.17573221757322174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592</v>
      </c>
      <c r="D50" s="401">
        <f>SUM(D48:D49)</f>
        <v>587</v>
      </c>
      <c r="E50" s="401">
        <f>+D50-C50</f>
        <v>-5</v>
      </c>
      <c r="F50" s="402">
        <f>IF(C50=0,0,+E50/C50)</f>
        <v>-8.4459459459459464E-3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91</v>
      </c>
      <c r="D53" s="409">
        <v>108</v>
      </c>
      <c r="E53" s="409">
        <f>+D53-C53</f>
        <v>17</v>
      </c>
      <c r="F53" s="410">
        <f>IF(C53=0,0,+E53/C53)</f>
        <v>0.18681318681318682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91</v>
      </c>
      <c r="D55" s="401">
        <f>SUM(D53:D54)</f>
        <v>108</v>
      </c>
      <c r="E55" s="401">
        <f>+D55-C55</f>
        <v>17</v>
      </c>
      <c r="F55" s="402">
        <f>IF(C55=0,0,+E55/C55)</f>
        <v>0.18681318681318682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3397</v>
      </c>
      <c r="D63" s="409">
        <v>2565</v>
      </c>
      <c r="E63" s="409">
        <f>+D63-C63</f>
        <v>-832</v>
      </c>
      <c r="F63" s="410">
        <f>IF(C63=0,0,+E63/C63)</f>
        <v>-0.24492198999116868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11018</v>
      </c>
      <c r="D64" s="409">
        <v>10165</v>
      </c>
      <c r="E64" s="409">
        <f>+D64-C64</f>
        <v>-853</v>
      </c>
      <c r="F64" s="410">
        <f>IF(C64=0,0,+E64/C64)</f>
        <v>-7.7418769286621891E-2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14415</v>
      </c>
      <c r="D65" s="401">
        <f>SUM(D63:D64)</f>
        <v>12730</v>
      </c>
      <c r="E65" s="401">
        <f>+D65-C65</f>
        <v>-1685</v>
      </c>
      <c r="F65" s="402">
        <f>IF(C65=0,0,+E65/C65)</f>
        <v>-0.11689212625737079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1028</v>
      </c>
      <c r="D68" s="409">
        <v>910</v>
      </c>
      <c r="E68" s="409">
        <f>+D68-C68</f>
        <v>-118</v>
      </c>
      <c r="F68" s="410">
        <f>IF(C68=0,0,+E68/C68)</f>
        <v>-0.11478599221789883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2411</v>
      </c>
      <c r="D69" s="409">
        <v>2473</v>
      </c>
      <c r="E69" s="409">
        <f>+D69-C69</f>
        <v>62</v>
      </c>
      <c r="F69" s="412">
        <f>IF(C69=0,0,+E69/C69)</f>
        <v>2.5715470759021152E-2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3439</v>
      </c>
      <c r="D70" s="401">
        <f>SUM(D68:D69)</f>
        <v>3383</v>
      </c>
      <c r="E70" s="401">
        <f>+D70-C70</f>
        <v>-56</v>
      </c>
      <c r="F70" s="402">
        <f>IF(C70=0,0,+E70/C70)</f>
        <v>-1.628380343123001E-2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6525</v>
      </c>
      <c r="D73" s="376">
        <v>7004</v>
      </c>
      <c r="E73" s="409">
        <f>+D73-C73</f>
        <v>479</v>
      </c>
      <c r="F73" s="410">
        <f>IF(C73=0,0,+E73/C73)</f>
        <v>7.3409961685823755E-2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76140</v>
      </c>
      <c r="D74" s="376">
        <v>77556</v>
      </c>
      <c r="E74" s="409">
        <f>+D74-C74</f>
        <v>1416</v>
      </c>
      <c r="F74" s="410">
        <f>IF(C74=0,0,+E74/C74)</f>
        <v>1.8597320724980299E-2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82665</v>
      </c>
      <c r="D75" s="401">
        <f>SUM(D73:D74)</f>
        <v>84560</v>
      </c>
      <c r="E75" s="401">
        <f>SUM(E73:E74)</f>
        <v>1895</v>
      </c>
      <c r="F75" s="402">
        <f>IF(C75=0,0,+E75/C75)</f>
        <v>2.2923849271154661E-2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17490</v>
      </c>
      <c r="D81" s="376">
        <v>20163</v>
      </c>
      <c r="E81" s="409">
        <f t="shared" si="0"/>
        <v>2673</v>
      </c>
      <c r="F81" s="410">
        <f t="shared" si="1"/>
        <v>0.15283018867924528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17490</v>
      </c>
      <c r="D92" s="381">
        <f>SUM(D79:D91)</f>
        <v>20163</v>
      </c>
      <c r="E92" s="401">
        <f t="shared" si="0"/>
        <v>2673</v>
      </c>
      <c r="F92" s="402">
        <f t="shared" si="1"/>
        <v>0.15283018867924528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79924</v>
      </c>
      <c r="D95" s="414">
        <v>79048</v>
      </c>
      <c r="E95" s="415">
        <f t="shared" ref="E95:E100" si="2">+D95-C95</f>
        <v>-876</v>
      </c>
      <c r="F95" s="412">
        <f t="shared" ref="F95:F100" si="3">IF(C95=0,0,+E95/C95)</f>
        <v>-1.0960412391772183E-2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4610</v>
      </c>
      <c r="D96" s="414">
        <v>4113</v>
      </c>
      <c r="E96" s="409">
        <f t="shared" si="2"/>
        <v>-497</v>
      </c>
      <c r="F96" s="410">
        <f t="shared" si="3"/>
        <v>-0.10780911062906724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1602</v>
      </c>
      <c r="D97" s="414">
        <v>1676</v>
      </c>
      <c r="E97" s="409">
        <f t="shared" si="2"/>
        <v>74</v>
      </c>
      <c r="F97" s="410">
        <f t="shared" si="3"/>
        <v>4.6192259675405745E-2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2809</v>
      </c>
      <c r="D98" s="414">
        <v>3664</v>
      </c>
      <c r="E98" s="409">
        <f t="shared" si="2"/>
        <v>855</v>
      </c>
      <c r="F98" s="410">
        <f t="shared" si="3"/>
        <v>0.30437878248487005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273306</v>
      </c>
      <c r="D99" s="414">
        <v>260754</v>
      </c>
      <c r="E99" s="409">
        <f t="shared" si="2"/>
        <v>-12552</v>
      </c>
      <c r="F99" s="410">
        <f t="shared" si="3"/>
        <v>-4.5926543873899585E-2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362251</v>
      </c>
      <c r="D100" s="381">
        <f>SUM(D95:D99)</f>
        <v>349255</v>
      </c>
      <c r="E100" s="401">
        <f t="shared" si="2"/>
        <v>-12996</v>
      </c>
      <c r="F100" s="402">
        <f t="shared" si="3"/>
        <v>-3.5875677361829228E-2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460.5</v>
      </c>
      <c r="D104" s="416">
        <v>452.3</v>
      </c>
      <c r="E104" s="417">
        <f>+D104-C104</f>
        <v>-8.1999999999999886</v>
      </c>
      <c r="F104" s="410">
        <f>IF(C104=0,0,+E104/C104)</f>
        <v>-1.7806731813246445E-2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2.2999999999999998</v>
      </c>
      <c r="D105" s="416">
        <v>1.7</v>
      </c>
      <c r="E105" s="417">
        <f>+D105-C105</f>
        <v>-0.59999999999999987</v>
      </c>
      <c r="F105" s="410">
        <f>IF(C105=0,0,+E105/C105)</f>
        <v>-0.26086956521739124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1492</v>
      </c>
      <c r="D106" s="416">
        <v>1467</v>
      </c>
      <c r="E106" s="417">
        <f>+D106-C106</f>
        <v>-25</v>
      </c>
      <c r="F106" s="410">
        <f>IF(C106=0,0,+E106/C106)</f>
        <v>-1.675603217158177E-2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1954.8</v>
      </c>
      <c r="D107" s="418">
        <f>SUM(D104:D106)</f>
        <v>1921</v>
      </c>
      <c r="E107" s="418">
        <f>+D107-C107</f>
        <v>-33.799999999999955</v>
      </c>
      <c r="F107" s="402">
        <f>IF(C107=0,0,+E107/C107)</f>
        <v>-1.7290771434417821E-2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8282</v>
      </c>
      <c r="D12" s="409">
        <v>7414</v>
      </c>
      <c r="E12" s="409">
        <f>+D12-C12</f>
        <v>-868</v>
      </c>
      <c r="F12" s="410">
        <f>IF(C12=0,0,+E12/C12)</f>
        <v>-0.10480560251147066</v>
      </c>
    </row>
    <row r="13" spans="1:6" ht="15.75" customHeight="1" x14ac:dyDescent="0.2">
      <c r="A13" s="374">
        <v>2</v>
      </c>
      <c r="B13" s="408" t="s">
        <v>622</v>
      </c>
      <c r="C13" s="409">
        <v>2736</v>
      </c>
      <c r="D13" s="409">
        <v>2751</v>
      </c>
      <c r="E13" s="409">
        <f>+D13-C13</f>
        <v>15</v>
      </c>
      <c r="F13" s="410">
        <f>IF(C13=0,0,+E13/C13)</f>
        <v>5.4824561403508769E-3</v>
      </c>
    </row>
    <row r="14" spans="1:6" ht="15.75" customHeight="1" x14ac:dyDescent="0.25">
      <c r="A14" s="374"/>
      <c r="B14" s="399" t="s">
        <v>623</v>
      </c>
      <c r="C14" s="401">
        <f>SUM(C11:C13)</f>
        <v>11018</v>
      </c>
      <c r="D14" s="401">
        <f>SUM(D11:D13)</f>
        <v>10165</v>
      </c>
      <c r="E14" s="401">
        <f>+D14-C14</f>
        <v>-853</v>
      </c>
      <c r="F14" s="402">
        <f>IF(C14=0,0,+E14/C14)</f>
        <v>-7.7418769286621891E-2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624</v>
      </c>
      <c r="C17" s="409">
        <v>2411</v>
      </c>
      <c r="D17" s="409">
        <v>2473</v>
      </c>
      <c r="E17" s="409">
        <f>+D17-C17</f>
        <v>62</v>
      </c>
      <c r="F17" s="410">
        <f>IF(C17=0,0,+E17/C17)</f>
        <v>2.5715470759021152E-2</v>
      </c>
    </row>
    <row r="18" spans="1:6" ht="15.75" customHeight="1" x14ac:dyDescent="0.25">
      <c r="A18" s="374"/>
      <c r="B18" s="399" t="s">
        <v>625</v>
      </c>
      <c r="C18" s="401">
        <f>SUM(C16:C17)</f>
        <v>2411</v>
      </c>
      <c r="D18" s="401">
        <f>SUM(D16:D17)</f>
        <v>2473</v>
      </c>
      <c r="E18" s="401">
        <f>+D18-C18</f>
        <v>62</v>
      </c>
      <c r="F18" s="402">
        <f>IF(C18=0,0,+E18/C18)</f>
        <v>2.5715470759021152E-2</v>
      </c>
    </row>
    <row r="19" spans="1:6" ht="15.75" customHeight="1" x14ac:dyDescent="0.25">
      <c r="A19" s="136"/>
      <c r="B19" s="399"/>
      <c r="C19" s="401"/>
      <c r="D19" s="401"/>
      <c r="E19" s="401"/>
      <c r="F19" s="402"/>
    </row>
    <row r="20" spans="1:6" ht="15.75" customHeight="1" x14ac:dyDescent="0.25">
      <c r="A20" s="136" t="s">
        <v>36</v>
      </c>
      <c r="B20" s="406" t="s">
        <v>626</v>
      </c>
      <c r="C20" s="409"/>
      <c r="D20" s="409"/>
      <c r="E20" s="409"/>
      <c r="F20" s="410"/>
    </row>
    <row r="21" spans="1:6" ht="15.75" customHeight="1" x14ac:dyDescent="0.2">
      <c r="A21" s="374">
        <v>1</v>
      </c>
      <c r="B21" s="408" t="s">
        <v>624</v>
      </c>
      <c r="C21" s="409">
        <v>40965</v>
      </c>
      <c r="D21" s="409">
        <v>42476</v>
      </c>
      <c r="E21" s="409">
        <f>+D21-C21</f>
        <v>1511</v>
      </c>
      <c r="F21" s="410">
        <f>IF(C21=0,0,+E21/C21)</f>
        <v>3.6885145856218722E-2</v>
      </c>
    </row>
    <row r="22" spans="1:6" ht="15.75" customHeight="1" x14ac:dyDescent="0.2">
      <c r="A22" s="374">
        <v>2</v>
      </c>
      <c r="B22" s="408" t="s">
        <v>622</v>
      </c>
      <c r="C22" s="409">
        <v>35175</v>
      </c>
      <c r="D22" s="409">
        <v>35080</v>
      </c>
      <c r="E22" s="409">
        <f>+D22-C22</f>
        <v>-95</v>
      </c>
      <c r="F22" s="410">
        <f>IF(C22=0,0,+E22/C22)</f>
        <v>-2.7007818052594171E-3</v>
      </c>
    </row>
    <row r="23" spans="1:6" ht="15.75" customHeight="1" x14ac:dyDescent="0.25">
      <c r="A23" s="374"/>
      <c r="B23" s="399" t="s">
        <v>627</v>
      </c>
      <c r="C23" s="401">
        <f>SUM(C20:C22)</f>
        <v>76140</v>
      </c>
      <c r="D23" s="401">
        <f>SUM(D20:D22)</f>
        <v>77556</v>
      </c>
      <c r="E23" s="401">
        <f>+D23-C23</f>
        <v>1416</v>
      </c>
      <c r="F23" s="402">
        <f>IF(C23=0,0,+E23/C23)</f>
        <v>1.8597320724980299E-2</v>
      </c>
    </row>
    <row r="24" spans="1:6" ht="15.75" customHeight="1" x14ac:dyDescent="0.25">
      <c r="A24" s="136"/>
      <c r="B24" s="399"/>
      <c r="C24" s="401"/>
      <c r="D24" s="401"/>
      <c r="E24" s="401"/>
      <c r="F24" s="402"/>
    </row>
    <row r="25" spans="1:6" ht="15.75" customHeight="1" x14ac:dyDescent="0.25">
      <c r="B25" s="810" t="s">
        <v>628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629</v>
      </c>
      <c r="C27" s="811"/>
      <c r="D27" s="811"/>
      <c r="E27" s="811"/>
      <c r="F27" s="812"/>
    </row>
    <row r="28" spans="1:6" ht="15.75" customHeight="1" x14ac:dyDescent="0.25">
      <c r="A28" s="392"/>
    </row>
    <row r="29" spans="1:6" ht="15.75" customHeight="1" x14ac:dyDescent="0.25">
      <c r="B29" s="810" t="s">
        <v>630</v>
      </c>
      <c r="C29" s="811"/>
      <c r="D29" s="811"/>
      <c r="E29" s="811"/>
      <c r="F29" s="812"/>
    </row>
    <row r="30" spans="1:6" ht="15.75" customHeight="1" x14ac:dyDescent="0.25">
      <c r="A30" s="392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631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632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633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634</v>
      </c>
      <c r="D7" s="426" t="s">
        <v>634</v>
      </c>
      <c r="E7" s="426" t="s">
        <v>635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636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637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638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639</v>
      </c>
      <c r="C15" s="448">
        <v>156683829</v>
      </c>
      <c r="D15" s="448">
        <v>160976571</v>
      </c>
      <c r="E15" s="448">
        <f t="shared" ref="E15:E24" si="0">D15-C15</f>
        <v>4292742</v>
      </c>
      <c r="F15" s="449">
        <f t="shared" ref="F15:F24" si="1">IF(C15=0,0,E15/C15)</f>
        <v>2.7397479544618481E-2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640</v>
      </c>
      <c r="C16" s="448">
        <v>73626752</v>
      </c>
      <c r="D16" s="448">
        <v>71375778</v>
      </c>
      <c r="E16" s="448">
        <f t="shared" si="0"/>
        <v>-2250974</v>
      </c>
      <c r="F16" s="449">
        <f t="shared" si="1"/>
        <v>-3.0572773331084876E-2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641</v>
      </c>
      <c r="C17" s="453">
        <f>IF(C15=0,0,C16/C15)</f>
        <v>0.46990651473037465</v>
      </c>
      <c r="D17" s="453">
        <f>IF(LN_IA1=0,0,LN_IA2/LN_IA1)</f>
        <v>0.44339233688857743</v>
      </c>
      <c r="E17" s="454">
        <f t="shared" si="0"/>
        <v>-2.6514177841797215E-2</v>
      </c>
      <c r="F17" s="449">
        <f t="shared" si="1"/>
        <v>-5.6424367423402622E-2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6829</v>
      </c>
      <c r="D18" s="456">
        <v>6658</v>
      </c>
      <c r="E18" s="456">
        <f t="shared" si="0"/>
        <v>-171</v>
      </c>
      <c r="F18" s="449">
        <f t="shared" si="1"/>
        <v>-2.5040269439156538E-2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642</v>
      </c>
      <c r="C19" s="459">
        <v>1.4081999999999999</v>
      </c>
      <c r="D19" s="459">
        <v>1.4094</v>
      </c>
      <c r="E19" s="460">
        <f t="shared" si="0"/>
        <v>1.2000000000000899E-3</v>
      </c>
      <c r="F19" s="449">
        <f t="shared" si="1"/>
        <v>8.5215168299963785E-4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643</v>
      </c>
      <c r="C20" s="463">
        <f>C18*C19</f>
        <v>9616.5977999999996</v>
      </c>
      <c r="D20" s="463">
        <f>LN_IA4*LN_IA5</f>
        <v>9383.7852000000003</v>
      </c>
      <c r="E20" s="463">
        <f t="shared" si="0"/>
        <v>-232.81259999999929</v>
      </c>
      <c r="F20" s="449">
        <f t="shared" si="1"/>
        <v>-2.4209455863902232E-2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644</v>
      </c>
      <c r="C21" s="465">
        <f>IF(C20=0,0,C16/C20)</f>
        <v>7656.2162140128185</v>
      </c>
      <c r="D21" s="465">
        <f>IF(LN_IA6=0,0,LN_IA2/LN_IA6)</f>
        <v>7606.2885582675099</v>
      </c>
      <c r="E21" s="465">
        <f t="shared" si="0"/>
        <v>-49.927655745308584</v>
      </c>
      <c r="F21" s="449">
        <f t="shared" si="1"/>
        <v>-6.5211919765181536E-3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38019</v>
      </c>
      <c r="D22" s="456">
        <v>36229</v>
      </c>
      <c r="E22" s="456">
        <f t="shared" si="0"/>
        <v>-1790</v>
      </c>
      <c r="F22" s="449">
        <f t="shared" si="1"/>
        <v>-4.7081722296746363E-2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645</v>
      </c>
      <c r="C23" s="465">
        <f>IF(C22=0,0,C16/C22)</f>
        <v>1936.5778163549803</v>
      </c>
      <c r="D23" s="465">
        <f>IF(LN_IA8=0,0,LN_IA2/LN_IA8)</f>
        <v>1970.1282950122829</v>
      </c>
      <c r="E23" s="465">
        <f t="shared" si="0"/>
        <v>33.550478657302619</v>
      </c>
      <c r="F23" s="449">
        <f t="shared" si="1"/>
        <v>1.732462200793522E-2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646</v>
      </c>
      <c r="C24" s="466">
        <f>IF(C18=0,0,C22/C18)</f>
        <v>5.5672865719724705</v>
      </c>
      <c r="D24" s="466">
        <f>IF(LN_IA4=0,0,LN_IA8/LN_IA4)</f>
        <v>5.4414238510063084</v>
      </c>
      <c r="E24" s="466">
        <f t="shared" si="0"/>
        <v>-0.12586272096616202</v>
      </c>
      <c r="F24" s="449">
        <f t="shared" si="1"/>
        <v>-2.2607552052340156E-2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647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648</v>
      </c>
      <c r="C27" s="448">
        <v>123938243</v>
      </c>
      <c r="D27" s="448">
        <v>132585334</v>
      </c>
      <c r="E27" s="448">
        <f t="shared" ref="E27:E32" si="2">D27-C27</f>
        <v>8647091</v>
      </c>
      <c r="F27" s="449">
        <f t="shared" ref="F27:F32" si="3">IF(C27=0,0,E27/C27)</f>
        <v>6.9769352789679287E-2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649</v>
      </c>
      <c r="C28" s="448">
        <v>33437310</v>
      </c>
      <c r="D28" s="448">
        <v>31200240</v>
      </c>
      <c r="E28" s="448">
        <f t="shared" si="2"/>
        <v>-2237070</v>
      </c>
      <c r="F28" s="449">
        <f t="shared" si="3"/>
        <v>-6.690340819880547E-2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650</v>
      </c>
      <c r="C29" s="453">
        <f>IF(C27=0,0,C28/C27)</f>
        <v>0.26979009215097555</v>
      </c>
      <c r="D29" s="453">
        <f>IF(LN_IA11=0,0,LN_IA12/LN_IA11)</f>
        <v>0.23532195499088912</v>
      </c>
      <c r="E29" s="454">
        <f t="shared" si="2"/>
        <v>-3.4468137160086426E-2</v>
      </c>
      <c r="F29" s="449">
        <f t="shared" si="3"/>
        <v>-0.1277590918379535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651</v>
      </c>
      <c r="C30" s="453">
        <f>IF(C15=0,0,C27/C15)</f>
        <v>0.7910085156267147</v>
      </c>
      <c r="D30" s="453">
        <f>IF(LN_IA1=0,0,LN_IA11/LN_IA1)</f>
        <v>0.82363124755589434</v>
      </c>
      <c r="E30" s="454">
        <f t="shared" si="2"/>
        <v>3.2622731929179638E-2</v>
      </c>
      <c r="F30" s="449">
        <f t="shared" si="3"/>
        <v>4.1241947823194673E-2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652</v>
      </c>
      <c r="C31" s="463">
        <f>C30*C18</f>
        <v>5401.7971532148349</v>
      </c>
      <c r="D31" s="463">
        <f>LN_IA14*LN_IA4</f>
        <v>5483.7368462271443</v>
      </c>
      <c r="E31" s="463">
        <f t="shared" si="2"/>
        <v>81.939693012309363</v>
      </c>
      <c r="F31" s="449">
        <f t="shared" si="3"/>
        <v>1.5168968898349624E-2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653</v>
      </c>
      <c r="C32" s="465">
        <f>IF(C31=0,0,C28/C31)</f>
        <v>6190.034362934206</v>
      </c>
      <c r="D32" s="465">
        <f>IF(LN_IA15=0,0,LN_IA12/LN_IA15)</f>
        <v>5689.5946824045759</v>
      </c>
      <c r="E32" s="465">
        <f t="shared" si="2"/>
        <v>-500.4396805296301</v>
      </c>
      <c r="F32" s="449">
        <f t="shared" si="3"/>
        <v>-8.0846026239571822E-2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654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655</v>
      </c>
      <c r="C35" s="448">
        <f>C15+C27</f>
        <v>280622072</v>
      </c>
      <c r="D35" s="448">
        <f>LN_IA1+LN_IA11</f>
        <v>293561905</v>
      </c>
      <c r="E35" s="448">
        <f>D35-C35</f>
        <v>12939833</v>
      </c>
      <c r="F35" s="449">
        <f>IF(C35=0,0,E35/C35)</f>
        <v>4.6111244592335558E-2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656</v>
      </c>
      <c r="C36" s="448">
        <f>C16+C28</f>
        <v>107064062</v>
      </c>
      <c r="D36" s="448">
        <f>LN_IA2+LN_IA12</f>
        <v>102576018</v>
      </c>
      <c r="E36" s="448">
        <f>D36-C36</f>
        <v>-4488044</v>
      </c>
      <c r="F36" s="449">
        <f>IF(C36=0,0,E36/C36)</f>
        <v>-4.1919238969281777E-2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657</v>
      </c>
      <c r="C37" s="448">
        <f>C35-C36</f>
        <v>173558010</v>
      </c>
      <c r="D37" s="448">
        <f>LN_IA17-LN_IA18</f>
        <v>190985887</v>
      </c>
      <c r="E37" s="448">
        <f>D37-C37</f>
        <v>17427877</v>
      </c>
      <c r="F37" s="449">
        <f>IF(C37=0,0,E37/C37)</f>
        <v>0.10041528477999949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658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659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639</v>
      </c>
      <c r="C42" s="448">
        <v>72758907</v>
      </c>
      <c r="D42" s="448">
        <v>70397042</v>
      </c>
      <c r="E42" s="448">
        <f t="shared" ref="E42:E53" si="4">D42-C42</f>
        <v>-2361865</v>
      </c>
      <c r="F42" s="449">
        <f t="shared" ref="F42:F53" si="5">IF(C42=0,0,E42/C42)</f>
        <v>-3.2461523920363451E-2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640</v>
      </c>
      <c r="C43" s="448">
        <v>51860378</v>
      </c>
      <c r="D43" s="448">
        <v>51821467</v>
      </c>
      <c r="E43" s="448">
        <f t="shared" si="4"/>
        <v>-38911</v>
      </c>
      <c r="F43" s="449">
        <f t="shared" si="5"/>
        <v>-7.5030305409652046E-4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641</v>
      </c>
      <c r="C44" s="453">
        <f>IF(C42=0,0,C43/C42)</f>
        <v>0.71277016297124973</v>
      </c>
      <c r="D44" s="453">
        <f>IF(LN_IB1=0,0,LN_IB2/LN_IB1)</f>
        <v>0.7361313135855907</v>
      </c>
      <c r="E44" s="454">
        <f t="shared" si="4"/>
        <v>2.3361150614340964E-2</v>
      </c>
      <c r="F44" s="449">
        <f t="shared" si="5"/>
        <v>3.2775152255192334E-2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4075</v>
      </c>
      <c r="D45" s="456">
        <v>3952</v>
      </c>
      <c r="E45" s="456">
        <f t="shared" si="4"/>
        <v>-123</v>
      </c>
      <c r="F45" s="449">
        <f t="shared" si="5"/>
        <v>-3.01840490797546E-2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642</v>
      </c>
      <c r="C46" s="459">
        <v>1.149</v>
      </c>
      <c r="D46" s="459">
        <v>1.1398999999999999</v>
      </c>
      <c r="E46" s="460">
        <f t="shared" si="4"/>
        <v>-9.100000000000108E-3</v>
      </c>
      <c r="F46" s="449">
        <f t="shared" si="5"/>
        <v>-7.9199303742385624E-3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643</v>
      </c>
      <c r="C47" s="463">
        <f>C45*C46</f>
        <v>4682.1750000000002</v>
      </c>
      <c r="D47" s="463">
        <f>LN_IB4*LN_IB5</f>
        <v>4504.8847999999998</v>
      </c>
      <c r="E47" s="463">
        <f t="shared" si="4"/>
        <v>-177.29020000000037</v>
      </c>
      <c r="F47" s="449">
        <f t="shared" si="5"/>
        <v>-3.7864923886868893E-2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644</v>
      </c>
      <c r="C48" s="465">
        <f>IF(C47=0,0,C43/C47)</f>
        <v>11076.129790108229</v>
      </c>
      <c r="D48" s="465">
        <f>IF(LN_IB6=0,0,LN_IB2/LN_IB6)</f>
        <v>11503.394493017891</v>
      </c>
      <c r="E48" s="465">
        <f t="shared" si="4"/>
        <v>427.26470290966245</v>
      </c>
      <c r="F48" s="449">
        <f t="shared" si="5"/>
        <v>3.8575270514728005E-2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660</v>
      </c>
      <c r="C49" s="465">
        <f>C21-C48</f>
        <v>-3419.9135760954105</v>
      </c>
      <c r="D49" s="465">
        <f>LN_IA7-LN_IB7</f>
        <v>-3897.1059347503815</v>
      </c>
      <c r="E49" s="465">
        <f t="shared" si="4"/>
        <v>-477.19235865497103</v>
      </c>
      <c r="F49" s="449">
        <f t="shared" si="5"/>
        <v>0.13953345546228449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661</v>
      </c>
      <c r="C50" s="479">
        <f>C49*C47</f>
        <v>-16012633.84815453</v>
      </c>
      <c r="D50" s="479">
        <f>LN_IB8*LN_IB6</f>
        <v>-17556013.289446786</v>
      </c>
      <c r="E50" s="479">
        <f t="shared" si="4"/>
        <v>-1543379.4412922561</v>
      </c>
      <c r="F50" s="449">
        <f t="shared" si="5"/>
        <v>9.638510790466441E-2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15479</v>
      </c>
      <c r="D51" s="456">
        <v>14693</v>
      </c>
      <c r="E51" s="456">
        <f t="shared" si="4"/>
        <v>-786</v>
      </c>
      <c r="F51" s="449">
        <f t="shared" si="5"/>
        <v>-5.0778474061631891E-2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645</v>
      </c>
      <c r="C52" s="465">
        <f>IF(C51=0,0,C43/C51)</f>
        <v>3350.3700497448153</v>
      </c>
      <c r="D52" s="465">
        <f>IF(LN_IB10=0,0,LN_IB2/LN_IB10)</f>
        <v>3526.9493636425509</v>
      </c>
      <c r="E52" s="465">
        <f t="shared" si="4"/>
        <v>176.57931389773557</v>
      </c>
      <c r="F52" s="449">
        <f t="shared" si="5"/>
        <v>5.2704421086615473E-2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646</v>
      </c>
      <c r="C53" s="466">
        <f>IF(C45=0,0,C51/C45)</f>
        <v>3.7985276073619634</v>
      </c>
      <c r="D53" s="466">
        <f>IF(LN_IB4=0,0,LN_IB10/LN_IB4)</f>
        <v>3.7178643724696356</v>
      </c>
      <c r="E53" s="466">
        <f t="shared" si="4"/>
        <v>-8.066323489232774E-2</v>
      </c>
      <c r="F53" s="449">
        <f t="shared" si="5"/>
        <v>-2.1235395192598715E-2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662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648</v>
      </c>
      <c r="C56" s="448">
        <v>185599975</v>
      </c>
      <c r="D56" s="448">
        <v>186816281</v>
      </c>
      <c r="E56" s="448">
        <f t="shared" ref="E56:E63" si="6">D56-C56</f>
        <v>1216306</v>
      </c>
      <c r="F56" s="449">
        <f t="shared" ref="F56:F63" si="7">IF(C56=0,0,E56/C56)</f>
        <v>6.5533737275557287E-3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649</v>
      </c>
      <c r="C57" s="448">
        <v>105152745</v>
      </c>
      <c r="D57" s="448">
        <v>101871248</v>
      </c>
      <c r="E57" s="448">
        <f t="shared" si="6"/>
        <v>-3281497</v>
      </c>
      <c r="F57" s="449">
        <f t="shared" si="7"/>
        <v>-3.1206955177442111E-2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650</v>
      </c>
      <c r="C58" s="453">
        <f>IF(C56=0,0,C57/C56)</f>
        <v>0.56655581446064307</v>
      </c>
      <c r="D58" s="453">
        <f>IF(LN_IB13=0,0,LN_IB14/LN_IB13)</f>
        <v>0.54530176628449212</v>
      </c>
      <c r="E58" s="454">
        <f t="shared" si="6"/>
        <v>-2.1254048176150953E-2</v>
      </c>
      <c r="F58" s="449">
        <f t="shared" si="7"/>
        <v>-3.7514482481103208E-2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651</v>
      </c>
      <c r="C59" s="453">
        <f>IF(C42=0,0,C56/C42)</f>
        <v>2.5508900923978972</v>
      </c>
      <c r="D59" s="453">
        <f>IF(LN_IB1=0,0,LN_IB13/LN_IB1)</f>
        <v>2.6537518579260757</v>
      </c>
      <c r="E59" s="454">
        <f t="shared" si="6"/>
        <v>0.10286176552817849</v>
      </c>
      <c r="F59" s="449">
        <f t="shared" si="7"/>
        <v>4.0323871982852068E-2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652</v>
      </c>
      <c r="C60" s="463">
        <f>C59*C45</f>
        <v>10394.877126521431</v>
      </c>
      <c r="D60" s="463">
        <f>LN_IB16*LN_IB4</f>
        <v>10487.627342523851</v>
      </c>
      <c r="E60" s="463">
        <f t="shared" si="6"/>
        <v>92.75021600241962</v>
      </c>
      <c r="F60" s="449">
        <f t="shared" si="7"/>
        <v>8.9226851720812777E-3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653</v>
      </c>
      <c r="C61" s="465">
        <f>IF(C60=0,0,C57/C60)</f>
        <v>10115.82375819661</v>
      </c>
      <c r="D61" s="465">
        <f>IF(LN_IB17=0,0,LN_IB14/LN_IB17)</f>
        <v>9713.4694695859253</v>
      </c>
      <c r="E61" s="465">
        <f t="shared" si="6"/>
        <v>-402.35428861068431</v>
      </c>
      <c r="F61" s="449">
        <f t="shared" si="7"/>
        <v>-3.9774742841349554E-2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663</v>
      </c>
      <c r="C62" s="465">
        <f>C32-C61</f>
        <v>-3925.7893952624036</v>
      </c>
      <c r="D62" s="465">
        <f>LN_IA16-LN_IB18</f>
        <v>-4023.8747871813493</v>
      </c>
      <c r="E62" s="465">
        <f t="shared" si="6"/>
        <v>-98.085391918945788</v>
      </c>
      <c r="F62" s="449">
        <f t="shared" si="7"/>
        <v>2.4984883814020711E-2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664</v>
      </c>
      <c r="C63" s="448">
        <f>C62*C60</f>
        <v>-40808098.388353556</v>
      </c>
      <c r="D63" s="448">
        <f>LN_IB19*LN_IB17</f>
        <v>-42200899.24093546</v>
      </c>
      <c r="E63" s="448">
        <f t="shared" si="6"/>
        <v>-1392800.8525819033</v>
      </c>
      <c r="F63" s="449">
        <f t="shared" si="7"/>
        <v>3.4130501238435612E-2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665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655</v>
      </c>
      <c r="C66" s="448">
        <f>C42+C56</f>
        <v>258358882</v>
      </c>
      <c r="D66" s="448">
        <f>LN_IB1+LN_IB13</f>
        <v>257213323</v>
      </c>
      <c r="E66" s="448">
        <f>D66-C66</f>
        <v>-1145559</v>
      </c>
      <c r="F66" s="449">
        <f>IF(C66=0,0,E66/C66)</f>
        <v>-4.4339834231052295E-3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656</v>
      </c>
      <c r="C67" s="448">
        <f>C43+C57</f>
        <v>157013123</v>
      </c>
      <c r="D67" s="448">
        <f>LN_IB2+LN_IB14</f>
        <v>153692715</v>
      </c>
      <c r="E67" s="448">
        <f>D67-C67</f>
        <v>-3320408</v>
      </c>
      <c r="F67" s="449">
        <f>IF(C67=0,0,E67/C67)</f>
        <v>-2.1147327921119053E-2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657</v>
      </c>
      <c r="C68" s="448">
        <f>C66-C67</f>
        <v>101345759</v>
      </c>
      <c r="D68" s="448">
        <f>LN_IB21-LN_IB22</f>
        <v>103520608</v>
      </c>
      <c r="E68" s="448">
        <f>D68-C68</f>
        <v>2174849</v>
      </c>
      <c r="F68" s="449">
        <f>IF(C68=0,0,E68/C68)</f>
        <v>2.1459694233480455E-2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666</v>
      </c>
      <c r="C70" s="441">
        <f>C50+C63</f>
        <v>-56820732.236508086</v>
      </c>
      <c r="D70" s="441">
        <f>LN_IB9+LN_IB20</f>
        <v>-59756912.530382246</v>
      </c>
      <c r="E70" s="448">
        <f>D70-C70</f>
        <v>-2936180.2938741595</v>
      </c>
      <c r="F70" s="449">
        <f>IF(C70=0,0,E70/C70)</f>
        <v>5.1674453642250394E-2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667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668</v>
      </c>
      <c r="C73" s="488">
        <v>232465068</v>
      </c>
      <c r="D73" s="488">
        <v>231817118</v>
      </c>
      <c r="E73" s="488">
        <f>D73-C73</f>
        <v>-647950</v>
      </c>
      <c r="F73" s="489">
        <f>IF(C73=0,0,E73/C73)</f>
        <v>-2.7873004988431208E-3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669</v>
      </c>
      <c r="C74" s="488">
        <v>153442991</v>
      </c>
      <c r="D74" s="488">
        <v>150271830</v>
      </c>
      <c r="E74" s="488">
        <f>D74-C74</f>
        <v>-3171161</v>
      </c>
      <c r="F74" s="489">
        <f>IF(C74=0,0,E74/C74)</f>
        <v>-2.0666704808954096E-2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670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671</v>
      </c>
      <c r="C76" s="441">
        <f>C73-C74</f>
        <v>79022077</v>
      </c>
      <c r="D76" s="441">
        <f>LN_IB32-LN_IB33</f>
        <v>81545288</v>
      </c>
      <c r="E76" s="488">
        <f>D76-C76</f>
        <v>2523211</v>
      </c>
      <c r="F76" s="489">
        <f>IF(E76=0,0,E76/C76)</f>
        <v>3.1930456598856544E-2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672</v>
      </c>
      <c r="C77" s="453">
        <f>IF(C73=0,0,C76/C73)</f>
        <v>0.33993097405929396</v>
      </c>
      <c r="D77" s="453">
        <f>IF(LN_IB32=0,0,LN_IB34/LN_IB32)</f>
        <v>0.35176560171022403</v>
      </c>
      <c r="E77" s="493">
        <f>D77-C77</f>
        <v>1.1834627650930074E-2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673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674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639</v>
      </c>
      <c r="C83" s="448">
        <v>935031</v>
      </c>
      <c r="D83" s="448">
        <v>1115273</v>
      </c>
      <c r="E83" s="448">
        <f t="shared" ref="E83:E95" si="8">D83-C83</f>
        <v>180242</v>
      </c>
      <c r="F83" s="449">
        <f t="shared" ref="F83:F95" si="9">IF(C83=0,0,E83/C83)</f>
        <v>0.19276580134776281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640</v>
      </c>
      <c r="C84" s="448">
        <v>0</v>
      </c>
      <c r="D84" s="448">
        <v>0</v>
      </c>
      <c r="E84" s="448">
        <f t="shared" si="8"/>
        <v>0</v>
      </c>
      <c r="F84" s="449">
        <f t="shared" si="9"/>
        <v>0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641</v>
      </c>
      <c r="C85" s="453">
        <f>IF(C83=0,0,C84/C83)</f>
        <v>0</v>
      </c>
      <c r="D85" s="453">
        <f>IF(LN_IC1=0,0,LN_IC2/LN_IC1)</f>
        <v>0</v>
      </c>
      <c r="E85" s="454">
        <f t="shared" si="8"/>
        <v>0</v>
      </c>
      <c r="F85" s="449">
        <f t="shared" si="9"/>
        <v>0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69</v>
      </c>
      <c r="D86" s="456">
        <v>67</v>
      </c>
      <c r="E86" s="456">
        <f t="shared" si="8"/>
        <v>-2</v>
      </c>
      <c r="F86" s="449">
        <f t="shared" si="9"/>
        <v>-2.8985507246376812E-2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642</v>
      </c>
      <c r="C87" s="459">
        <v>1.1487000000000001</v>
      </c>
      <c r="D87" s="459">
        <v>1.0244</v>
      </c>
      <c r="E87" s="460">
        <f t="shared" si="8"/>
        <v>-0.12430000000000008</v>
      </c>
      <c r="F87" s="449">
        <f t="shared" si="9"/>
        <v>-0.10820928005571522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643</v>
      </c>
      <c r="C88" s="463">
        <f>C86*C87</f>
        <v>79.260300000000001</v>
      </c>
      <c r="D88" s="463">
        <f>LN_IC4*LN_IC5</f>
        <v>68.634799999999998</v>
      </c>
      <c r="E88" s="463">
        <f t="shared" si="8"/>
        <v>-10.625500000000002</v>
      </c>
      <c r="F88" s="449">
        <f t="shared" si="9"/>
        <v>-0.13405828643091186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644</v>
      </c>
      <c r="C89" s="465">
        <f>IF(C88=0,0,C84/C88)</f>
        <v>0</v>
      </c>
      <c r="D89" s="465">
        <f>IF(LN_IC6=0,0,LN_IC2/LN_IC6)</f>
        <v>0</v>
      </c>
      <c r="E89" s="465">
        <f t="shared" si="8"/>
        <v>0</v>
      </c>
      <c r="F89" s="449">
        <f t="shared" si="9"/>
        <v>0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675</v>
      </c>
      <c r="C90" s="465">
        <f>C48-C89</f>
        <v>11076.129790108229</v>
      </c>
      <c r="D90" s="465">
        <f>LN_IB7-LN_IC7</f>
        <v>11503.394493017891</v>
      </c>
      <c r="E90" s="465">
        <f t="shared" si="8"/>
        <v>427.26470290966245</v>
      </c>
      <c r="F90" s="449">
        <f t="shared" si="9"/>
        <v>3.8575270514728005E-2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676</v>
      </c>
      <c r="C91" s="465">
        <f>C21-C89</f>
        <v>7656.2162140128185</v>
      </c>
      <c r="D91" s="465">
        <f>LN_IA7-LN_IC7</f>
        <v>7606.2885582675099</v>
      </c>
      <c r="E91" s="465">
        <f t="shared" si="8"/>
        <v>-49.927655745308584</v>
      </c>
      <c r="F91" s="449">
        <f t="shared" si="9"/>
        <v>-6.5211919765181536E-3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661</v>
      </c>
      <c r="C92" s="441">
        <f>C91*C88</f>
        <v>606833.99398752023</v>
      </c>
      <c r="D92" s="441">
        <f>LN_IC9*LN_IC6</f>
        <v>522056.09393897885</v>
      </c>
      <c r="E92" s="441">
        <f t="shared" si="8"/>
        <v>-84777.900048541371</v>
      </c>
      <c r="F92" s="449">
        <f t="shared" si="9"/>
        <v>-0.13970525858557103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216</v>
      </c>
      <c r="D93" s="456">
        <v>191</v>
      </c>
      <c r="E93" s="456">
        <f t="shared" si="8"/>
        <v>-25</v>
      </c>
      <c r="F93" s="449">
        <f t="shared" si="9"/>
        <v>-0.11574074074074074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645</v>
      </c>
      <c r="C94" s="499">
        <f>IF(C93=0,0,C84/C93)</f>
        <v>0</v>
      </c>
      <c r="D94" s="499">
        <f>IF(LN_IC11=0,0,LN_IC2/LN_IC11)</f>
        <v>0</v>
      </c>
      <c r="E94" s="499">
        <f t="shared" si="8"/>
        <v>0</v>
      </c>
      <c r="F94" s="449">
        <f t="shared" si="9"/>
        <v>0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646</v>
      </c>
      <c r="C95" s="466">
        <f>IF(C86=0,0,C93/C86)</f>
        <v>3.1304347826086958</v>
      </c>
      <c r="D95" s="466">
        <f>IF(LN_IC4=0,0,LN_IC11/LN_IC4)</f>
        <v>2.8507462686567164</v>
      </c>
      <c r="E95" s="466">
        <f t="shared" si="8"/>
        <v>-0.27968851395197936</v>
      </c>
      <c r="F95" s="449">
        <f t="shared" si="9"/>
        <v>-8.9344941956882293E-2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677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648</v>
      </c>
      <c r="C98" s="448">
        <v>10178944</v>
      </c>
      <c r="D98" s="448">
        <v>10987518</v>
      </c>
      <c r="E98" s="448">
        <f t="shared" ref="E98:E106" si="10">D98-C98</f>
        <v>808574</v>
      </c>
      <c r="F98" s="449">
        <f t="shared" ref="F98:F106" si="11">IF(C98=0,0,E98/C98)</f>
        <v>7.9435941488625927E-2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649</v>
      </c>
      <c r="C99" s="448">
        <v>0</v>
      </c>
      <c r="D99" s="448">
        <v>0</v>
      </c>
      <c r="E99" s="448">
        <f t="shared" si="10"/>
        <v>0</v>
      </c>
      <c r="F99" s="449">
        <f t="shared" si="11"/>
        <v>0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650</v>
      </c>
      <c r="C100" s="453">
        <f>IF(C98=0,0,C99/C98)</f>
        <v>0</v>
      </c>
      <c r="D100" s="453">
        <f>IF(LN_IC14=0,0,LN_IC15/LN_IC14)</f>
        <v>0</v>
      </c>
      <c r="E100" s="454">
        <f t="shared" si="10"/>
        <v>0</v>
      </c>
      <c r="F100" s="449">
        <f t="shared" si="11"/>
        <v>0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651</v>
      </c>
      <c r="C101" s="453">
        <f>IF(C83=0,0,C98/C83)</f>
        <v>10.886210189822583</v>
      </c>
      <c r="D101" s="453">
        <f>IF(LN_IC1=0,0,LN_IC14/LN_IC1)</f>
        <v>9.8518640727427282</v>
      </c>
      <c r="E101" s="454">
        <f t="shared" si="10"/>
        <v>-1.0343461170798545</v>
      </c>
      <c r="F101" s="449">
        <f t="shared" si="11"/>
        <v>-9.5014343747179805E-2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652</v>
      </c>
      <c r="C102" s="463">
        <f>C101*C86</f>
        <v>751.14850309775818</v>
      </c>
      <c r="D102" s="463">
        <f>LN_IC17*LN_IC4</f>
        <v>660.07489287376279</v>
      </c>
      <c r="E102" s="463">
        <f t="shared" si="10"/>
        <v>-91.073610223995388</v>
      </c>
      <c r="F102" s="449">
        <f t="shared" si="11"/>
        <v>-0.12124581204436298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653</v>
      </c>
      <c r="C103" s="465">
        <f>IF(C102=0,0,C99/C102)</f>
        <v>0</v>
      </c>
      <c r="D103" s="465">
        <f>IF(LN_IC18=0,0,LN_IC15/LN_IC18)</f>
        <v>0</v>
      </c>
      <c r="E103" s="465">
        <f t="shared" si="10"/>
        <v>0</v>
      </c>
      <c r="F103" s="449">
        <f t="shared" si="11"/>
        <v>0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678</v>
      </c>
      <c r="C104" s="465">
        <f>C61-C103</f>
        <v>10115.82375819661</v>
      </c>
      <c r="D104" s="465">
        <f>LN_IB18-LN_IC19</f>
        <v>9713.4694695859253</v>
      </c>
      <c r="E104" s="465">
        <f t="shared" si="10"/>
        <v>-402.35428861068431</v>
      </c>
      <c r="F104" s="449">
        <f t="shared" si="11"/>
        <v>-3.9774742841349554E-2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679</v>
      </c>
      <c r="C105" s="465">
        <f>C32-C103</f>
        <v>6190.034362934206</v>
      </c>
      <c r="D105" s="465">
        <f>LN_IA16-LN_IC19</f>
        <v>5689.5946824045759</v>
      </c>
      <c r="E105" s="465">
        <f t="shared" si="10"/>
        <v>-500.4396805296301</v>
      </c>
      <c r="F105" s="449">
        <f t="shared" si="11"/>
        <v>-8.0846026239571822E-2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664</v>
      </c>
      <c r="C106" s="448">
        <f>C105*C102</f>
        <v>4649635.0458417144</v>
      </c>
      <c r="D106" s="448">
        <f>LN_IC21*LN_IC18</f>
        <v>3755558.6004833309</v>
      </c>
      <c r="E106" s="448">
        <f t="shared" si="10"/>
        <v>-894076.44535838347</v>
      </c>
      <c r="F106" s="449">
        <f t="shared" si="11"/>
        <v>-0.19228959618195809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680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655</v>
      </c>
      <c r="C109" s="448">
        <f>C83+C98</f>
        <v>11113975</v>
      </c>
      <c r="D109" s="448">
        <f>LN_IC1+LN_IC14</f>
        <v>12102791</v>
      </c>
      <c r="E109" s="448">
        <f>D109-C109</f>
        <v>988816</v>
      </c>
      <c r="F109" s="449">
        <f>IF(C109=0,0,E109/C109)</f>
        <v>8.8970507851601252E-2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656</v>
      </c>
      <c r="C110" s="448">
        <f>C84+C99</f>
        <v>0</v>
      </c>
      <c r="D110" s="448">
        <f>LN_IC2+LN_IC15</f>
        <v>0</v>
      </c>
      <c r="E110" s="448">
        <f>D110-C110</f>
        <v>0</v>
      </c>
      <c r="F110" s="449">
        <f>IF(C110=0,0,E110/C110)</f>
        <v>0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657</v>
      </c>
      <c r="C111" s="448">
        <f>C109-C110</f>
        <v>11113975</v>
      </c>
      <c r="D111" s="448">
        <f>LN_IC23-LN_IC24</f>
        <v>12102791</v>
      </c>
      <c r="E111" s="448">
        <f>D111-C111</f>
        <v>988816</v>
      </c>
      <c r="F111" s="449">
        <f>IF(C111=0,0,E111/C111)</f>
        <v>8.8970507851601252E-2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666</v>
      </c>
      <c r="C113" s="448">
        <f>C92+C106</f>
        <v>5256469.0398292346</v>
      </c>
      <c r="D113" s="448">
        <f>LN_IC10+LN_IC22</f>
        <v>4277614.6944223102</v>
      </c>
      <c r="E113" s="448">
        <f>D113-C113</f>
        <v>-978854.34540692437</v>
      </c>
      <c r="F113" s="449">
        <f>IF(C113=0,0,E113/C113)</f>
        <v>-0.18621898806783882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681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682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639</v>
      </c>
      <c r="C118" s="448">
        <v>47872697</v>
      </c>
      <c r="D118" s="448">
        <v>49696839</v>
      </c>
      <c r="E118" s="448">
        <f t="shared" ref="E118:E130" si="12">D118-C118</f>
        <v>1824142</v>
      </c>
      <c r="F118" s="449">
        <f t="shared" ref="F118:F130" si="13">IF(C118=0,0,E118/C118)</f>
        <v>3.8104015739911207E-2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640</v>
      </c>
      <c r="C119" s="448">
        <v>16110274</v>
      </c>
      <c r="D119" s="448">
        <v>15986391</v>
      </c>
      <c r="E119" s="448">
        <f t="shared" si="12"/>
        <v>-123883</v>
      </c>
      <c r="F119" s="449">
        <f t="shared" si="13"/>
        <v>-7.6896892008168202E-3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641</v>
      </c>
      <c r="C120" s="453">
        <f>IF(C118=0,0,C119/C118)</f>
        <v>0.33652321698106963</v>
      </c>
      <c r="D120" s="453">
        <f>IF(LN_ID1=0,0,LN_1D2/LN_ID1)</f>
        <v>0.32167822585255373</v>
      </c>
      <c r="E120" s="454">
        <f t="shared" si="12"/>
        <v>-1.4844991128515894E-2</v>
      </c>
      <c r="F120" s="449">
        <f t="shared" si="13"/>
        <v>-4.4112829009806377E-2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3028</v>
      </c>
      <c r="D121" s="456">
        <v>3069</v>
      </c>
      <c r="E121" s="456">
        <f t="shared" si="12"/>
        <v>41</v>
      </c>
      <c r="F121" s="449">
        <f t="shared" si="13"/>
        <v>1.3540290620871863E-2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642</v>
      </c>
      <c r="C122" s="459">
        <v>0.99660000000000004</v>
      </c>
      <c r="D122" s="459">
        <v>0.97389999999999999</v>
      </c>
      <c r="E122" s="460">
        <f t="shared" si="12"/>
        <v>-2.2700000000000053E-2</v>
      </c>
      <c r="F122" s="449">
        <f t="shared" si="13"/>
        <v>-2.2777443307244686E-2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643</v>
      </c>
      <c r="C123" s="463">
        <f>C121*C122</f>
        <v>3017.7048</v>
      </c>
      <c r="D123" s="463">
        <f>LN_ID4*LN_ID5</f>
        <v>2988.8991000000001</v>
      </c>
      <c r="E123" s="463">
        <f t="shared" si="12"/>
        <v>-28.805699999999888</v>
      </c>
      <c r="F123" s="449">
        <f t="shared" si="13"/>
        <v>-9.5455658883532579E-3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644</v>
      </c>
      <c r="C124" s="465">
        <f>IF(C123=0,0,C119/C123)</f>
        <v>5338.5851392753857</v>
      </c>
      <c r="D124" s="465">
        <f>IF(LN_ID6=0,0,LN_1D2/LN_ID6)</f>
        <v>5348.5883815883917</v>
      </c>
      <c r="E124" s="465">
        <f t="shared" si="12"/>
        <v>10.003242313006012</v>
      </c>
      <c r="F124" s="449">
        <f t="shared" si="13"/>
        <v>1.8737628139360849E-3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683</v>
      </c>
      <c r="C125" s="465">
        <f>C48-C124</f>
        <v>5737.5446508328432</v>
      </c>
      <c r="D125" s="465">
        <f>LN_IB7-LN_ID7</f>
        <v>6154.8061114294997</v>
      </c>
      <c r="E125" s="465">
        <f t="shared" si="12"/>
        <v>417.26146059665643</v>
      </c>
      <c r="F125" s="449">
        <f t="shared" si="13"/>
        <v>7.2724743072123746E-2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684</v>
      </c>
      <c r="C126" s="465">
        <f>C21-C124</f>
        <v>2317.6310747374328</v>
      </c>
      <c r="D126" s="465">
        <f>LN_IA7-LN_ID7</f>
        <v>2257.7001766791182</v>
      </c>
      <c r="E126" s="465">
        <f t="shared" si="12"/>
        <v>-59.930898058314597</v>
      </c>
      <c r="F126" s="449">
        <f t="shared" si="13"/>
        <v>-2.5858687653773471E-2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661</v>
      </c>
      <c r="C127" s="479">
        <f>C126*C123</f>
        <v>6993926.4188643098</v>
      </c>
      <c r="D127" s="479">
        <f>LN_ID9*LN_ID6</f>
        <v>6748038.0261460571</v>
      </c>
      <c r="E127" s="479">
        <f t="shared" si="12"/>
        <v>-245888.39271825273</v>
      </c>
      <c r="F127" s="449">
        <f t="shared" si="13"/>
        <v>-3.5157417735341381E-2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13730</v>
      </c>
      <c r="D128" s="456">
        <v>13305</v>
      </c>
      <c r="E128" s="456">
        <f t="shared" si="12"/>
        <v>-425</v>
      </c>
      <c r="F128" s="449">
        <f t="shared" si="13"/>
        <v>-3.0954115076474872E-2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645</v>
      </c>
      <c r="C129" s="465">
        <f>IF(C128=0,0,C119/C128)</f>
        <v>1173.3630007283321</v>
      </c>
      <c r="D129" s="465">
        <f>IF(LN_ID11=0,0,LN_1D2/LN_ID11)</f>
        <v>1201.5325817361895</v>
      </c>
      <c r="E129" s="465">
        <f t="shared" si="12"/>
        <v>28.16958100785746</v>
      </c>
      <c r="F129" s="449">
        <f t="shared" si="13"/>
        <v>2.4007558607499969E-2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646</v>
      </c>
      <c r="C130" s="466">
        <f>IF(C121=0,0,C128/C121)</f>
        <v>4.5343461030383088</v>
      </c>
      <c r="D130" s="466">
        <f>IF(LN_ID4=0,0,LN_ID11/LN_ID4)</f>
        <v>4.3352883675464318</v>
      </c>
      <c r="E130" s="466">
        <f t="shared" si="12"/>
        <v>-0.199057735491877</v>
      </c>
      <c r="F130" s="449">
        <f t="shared" si="13"/>
        <v>-4.3899987113576372E-2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685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648</v>
      </c>
      <c r="C133" s="448">
        <v>67648357</v>
      </c>
      <c r="D133" s="448">
        <v>71559253</v>
      </c>
      <c r="E133" s="448">
        <f t="shared" ref="E133:E141" si="14">D133-C133</f>
        <v>3910896</v>
      </c>
      <c r="F133" s="449">
        <f t="shared" ref="F133:F141" si="15">IF(C133=0,0,E133/C133)</f>
        <v>5.7812135777370023E-2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649</v>
      </c>
      <c r="C134" s="448">
        <v>18889853</v>
      </c>
      <c r="D134" s="448">
        <v>19407037</v>
      </c>
      <c r="E134" s="448">
        <f t="shared" si="14"/>
        <v>517184</v>
      </c>
      <c r="F134" s="449">
        <f t="shared" si="15"/>
        <v>2.7378931958867016E-2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650</v>
      </c>
      <c r="C135" s="453">
        <f>IF(C133=0,0,C134/C133)</f>
        <v>0.27923594655816991</v>
      </c>
      <c r="D135" s="453">
        <f>IF(LN_ID14=0,0,LN_ID15/LN_ID14)</f>
        <v>0.27120234192494996</v>
      </c>
      <c r="E135" s="454">
        <f t="shared" si="14"/>
        <v>-8.0336046332199484E-3</v>
      </c>
      <c r="F135" s="449">
        <f t="shared" si="15"/>
        <v>-2.876995147738403E-2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651</v>
      </c>
      <c r="C136" s="453">
        <f>IF(C118=0,0,C133/C118)</f>
        <v>1.413088487577794</v>
      </c>
      <c r="D136" s="453">
        <f>IF(LN_ID1=0,0,LN_ID14/LN_ID1)</f>
        <v>1.4399155849731207</v>
      </c>
      <c r="E136" s="454">
        <f t="shared" si="14"/>
        <v>2.6827097395326627E-2</v>
      </c>
      <c r="F136" s="449">
        <f t="shared" si="15"/>
        <v>1.8984725748711989E-2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652</v>
      </c>
      <c r="C137" s="463">
        <f>C136*C121</f>
        <v>4278.8319403855603</v>
      </c>
      <c r="D137" s="463">
        <f>LN_ID17*LN_ID4</f>
        <v>4419.1009302825078</v>
      </c>
      <c r="E137" s="463">
        <f t="shared" si="14"/>
        <v>140.26898989694746</v>
      </c>
      <c r="F137" s="449">
        <f t="shared" si="15"/>
        <v>3.2782075073579074E-2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653</v>
      </c>
      <c r="C138" s="465">
        <f>IF(C137=0,0,C134/C137)</f>
        <v>4414.7218827897823</v>
      </c>
      <c r="D138" s="465">
        <f>IF(LN_ID18=0,0,LN_ID15/LN_ID18)</f>
        <v>4391.6256510482854</v>
      </c>
      <c r="E138" s="465">
        <f t="shared" si="14"/>
        <v>-23.096231741496922</v>
      </c>
      <c r="F138" s="449">
        <f t="shared" si="15"/>
        <v>-5.2316391280580032E-3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686</v>
      </c>
      <c r="C139" s="465">
        <f>C61-C138</f>
        <v>5701.1018754068273</v>
      </c>
      <c r="D139" s="465">
        <f>LN_IB18-LN_ID19</f>
        <v>5321.8438185376399</v>
      </c>
      <c r="E139" s="465">
        <f t="shared" si="14"/>
        <v>-379.25805686918739</v>
      </c>
      <c r="F139" s="449">
        <f t="shared" si="15"/>
        <v>-6.6523641421882815E-2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687</v>
      </c>
      <c r="C140" s="465">
        <f>C32-C138</f>
        <v>1775.3124801444237</v>
      </c>
      <c r="D140" s="465">
        <f>LN_IA16-LN_ID19</f>
        <v>1297.9690313562905</v>
      </c>
      <c r="E140" s="465">
        <f t="shared" si="14"/>
        <v>-477.34344878813317</v>
      </c>
      <c r="F140" s="449">
        <f t="shared" si="15"/>
        <v>-0.26887855187572429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664</v>
      </c>
      <c r="C141" s="441">
        <f>C140*C137</f>
        <v>7596263.7442070665</v>
      </c>
      <c r="D141" s="441">
        <f>LN_ID21*LN_ID18</f>
        <v>5735856.1539444691</v>
      </c>
      <c r="E141" s="441">
        <f t="shared" si="14"/>
        <v>-1860407.5902625974</v>
      </c>
      <c r="F141" s="449">
        <f t="shared" si="15"/>
        <v>-0.24491087367541048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688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655</v>
      </c>
      <c r="C144" s="448">
        <f>C118+C133</f>
        <v>115521054</v>
      </c>
      <c r="D144" s="448">
        <f>LN_ID1+LN_ID14</f>
        <v>121256092</v>
      </c>
      <c r="E144" s="448">
        <f>D144-C144</f>
        <v>5735038</v>
      </c>
      <c r="F144" s="449">
        <f>IF(C144=0,0,E144/C144)</f>
        <v>4.9644959091180038E-2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656</v>
      </c>
      <c r="C145" s="448">
        <f>C119+C134</f>
        <v>35000127</v>
      </c>
      <c r="D145" s="448">
        <f>LN_1D2+LN_ID15</f>
        <v>35393428</v>
      </c>
      <c r="E145" s="448">
        <f>D145-C145</f>
        <v>393301</v>
      </c>
      <c r="F145" s="449">
        <f>IF(C145=0,0,E145/C145)</f>
        <v>1.1237130653840199E-2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657</v>
      </c>
      <c r="C146" s="448">
        <f>C144-C145</f>
        <v>80520927</v>
      </c>
      <c r="D146" s="448">
        <f>LN_ID23-LN_ID24</f>
        <v>85862664</v>
      </c>
      <c r="E146" s="448">
        <f>D146-C146</f>
        <v>5341737</v>
      </c>
      <c r="F146" s="449">
        <f>IF(C146=0,0,E146/C146)</f>
        <v>6.6339735507515957E-2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666</v>
      </c>
      <c r="C148" s="448">
        <f>C127+C141</f>
        <v>14590190.163071375</v>
      </c>
      <c r="D148" s="448">
        <f>LN_ID10+LN_ID22</f>
        <v>12483894.180090526</v>
      </c>
      <c r="E148" s="448">
        <f>D148-C148</f>
        <v>-2106295.9829808492</v>
      </c>
      <c r="F148" s="503">
        <f>IF(C148=0,0,E148/C148)</f>
        <v>-0.14436384717671519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689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690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639</v>
      </c>
      <c r="C153" s="448">
        <v>481544</v>
      </c>
      <c r="D153" s="448">
        <v>371552</v>
      </c>
      <c r="E153" s="448">
        <f t="shared" ref="E153:E165" si="16">D153-C153</f>
        <v>-109992</v>
      </c>
      <c r="F153" s="449">
        <f t="shared" ref="F153:F165" si="17">IF(C153=0,0,E153/C153)</f>
        <v>-0.22841526423338263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640</v>
      </c>
      <c r="C154" s="448">
        <v>143250</v>
      </c>
      <c r="D154" s="448">
        <v>118145</v>
      </c>
      <c r="E154" s="448">
        <f t="shared" si="16"/>
        <v>-25105</v>
      </c>
      <c r="F154" s="449">
        <f t="shared" si="17"/>
        <v>-0.17525305410122163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641</v>
      </c>
      <c r="C155" s="453">
        <f>IF(C153=0,0,C154/C153)</f>
        <v>0.29748060405695015</v>
      </c>
      <c r="D155" s="453">
        <f>IF(LN_IE1=0,0,LN_IE2/LN_IE1)</f>
        <v>0.31797702609594353</v>
      </c>
      <c r="E155" s="454">
        <f t="shared" si="16"/>
        <v>2.0496422038993378E-2</v>
      </c>
      <c r="F155" s="449">
        <f t="shared" si="17"/>
        <v>6.8900028302583086E-2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31</v>
      </c>
      <c r="D156" s="506">
        <v>27</v>
      </c>
      <c r="E156" s="506">
        <f t="shared" si="16"/>
        <v>-4</v>
      </c>
      <c r="F156" s="449">
        <f t="shared" si="17"/>
        <v>-0.12903225806451613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642</v>
      </c>
      <c r="C157" s="459">
        <v>0.94950000000000001</v>
      </c>
      <c r="D157" s="459">
        <v>0.85899999999999999</v>
      </c>
      <c r="E157" s="460">
        <f t="shared" si="16"/>
        <v>-9.0500000000000025E-2</v>
      </c>
      <c r="F157" s="449">
        <f t="shared" si="17"/>
        <v>-9.531332280147449E-2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643</v>
      </c>
      <c r="C158" s="463">
        <f>C156*C157</f>
        <v>29.4345</v>
      </c>
      <c r="D158" s="463">
        <f>LN_IE4*LN_IE5</f>
        <v>23.192999999999998</v>
      </c>
      <c r="E158" s="463">
        <f t="shared" si="16"/>
        <v>-6.241500000000002</v>
      </c>
      <c r="F158" s="449">
        <f t="shared" si="17"/>
        <v>-0.21204708760128427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644</v>
      </c>
      <c r="C159" s="465">
        <f>IF(C158=0,0,C154/C158)</f>
        <v>4866.7380115170972</v>
      </c>
      <c r="D159" s="465">
        <f>IF(LN_IE6=0,0,LN_IE2/LN_IE6)</f>
        <v>5093.9938774630282</v>
      </c>
      <c r="E159" s="465">
        <f t="shared" si="16"/>
        <v>227.25586594593096</v>
      </c>
      <c r="F159" s="449">
        <f t="shared" si="17"/>
        <v>4.6695726256094278E-2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691</v>
      </c>
      <c r="C160" s="465">
        <f>C48-C159</f>
        <v>6209.3917785911317</v>
      </c>
      <c r="D160" s="465">
        <f>LN_IB7-LN_IE7</f>
        <v>6409.4006155548632</v>
      </c>
      <c r="E160" s="465">
        <f t="shared" si="16"/>
        <v>200.00883696373148</v>
      </c>
      <c r="F160" s="449">
        <f t="shared" si="17"/>
        <v>3.2210696972499953E-2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692</v>
      </c>
      <c r="C161" s="465">
        <f>C21-C159</f>
        <v>2789.4782024957212</v>
      </c>
      <c r="D161" s="465">
        <f>LN_IA7-LN_IE7</f>
        <v>2512.2946808044817</v>
      </c>
      <c r="E161" s="465">
        <f t="shared" si="16"/>
        <v>-277.18352169123955</v>
      </c>
      <c r="F161" s="449">
        <f t="shared" si="17"/>
        <v>-9.9367516635636699E-2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661</v>
      </c>
      <c r="C162" s="479">
        <f>C161*C158</f>
        <v>82106.896151360314</v>
      </c>
      <c r="D162" s="479">
        <f>LN_IE9*LN_IE6</f>
        <v>58267.65053189834</v>
      </c>
      <c r="E162" s="479">
        <f t="shared" si="16"/>
        <v>-23839.245619461974</v>
      </c>
      <c r="F162" s="449">
        <f t="shared" si="17"/>
        <v>-0.29034401173216212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139</v>
      </c>
      <c r="D163" s="456">
        <v>75</v>
      </c>
      <c r="E163" s="506">
        <f t="shared" si="16"/>
        <v>-64</v>
      </c>
      <c r="F163" s="449">
        <f t="shared" si="17"/>
        <v>-0.46043165467625902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645</v>
      </c>
      <c r="C164" s="465">
        <f>IF(C163=0,0,C154/C163)</f>
        <v>1030.5755395683452</v>
      </c>
      <c r="D164" s="465">
        <f>IF(LN_IE11=0,0,LN_IE2/LN_IE11)</f>
        <v>1575.2666666666667</v>
      </c>
      <c r="E164" s="465">
        <f t="shared" si="16"/>
        <v>544.69112709832143</v>
      </c>
      <c r="F164" s="449">
        <f t="shared" si="17"/>
        <v>0.52853100639906936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646</v>
      </c>
      <c r="C165" s="466">
        <f>IF(C156=0,0,C163/C156)</f>
        <v>4.4838709677419351</v>
      </c>
      <c r="D165" s="466">
        <f>IF(LN_IE4=0,0,LN_IE11/LN_IE4)</f>
        <v>2.7777777777777777</v>
      </c>
      <c r="E165" s="466">
        <f t="shared" si="16"/>
        <v>-1.7060931899641574</v>
      </c>
      <c r="F165" s="449">
        <f t="shared" si="17"/>
        <v>-0.3804956035171862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693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648</v>
      </c>
      <c r="C168" s="511">
        <v>1039368</v>
      </c>
      <c r="D168" s="511">
        <v>1706206</v>
      </c>
      <c r="E168" s="511">
        <f t="shared" ref="E168:E176" si="18">D168-C168</f>
        <v>666838</v>
      </c>
      <c r="F168" s="449">
        <f t="shared" ref="F168:F176" si="19">IF(C168=0,0,E168/C168)</f>
        <v>0.6415802680090209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649</v>
      </c>
      <c r="C169" s="511">
        <v>268390</v>
      </c>
      <c r="D169" s="511">
        <v>427749</v>
      </c>
      <c r="E169" s="511">
        <f t="shared" si="18"/>
        <v>159359</v>
      </c>
      <c r="F169" s="449">
        <f t="shared" si="19"/>
        <v>0.59375908193300797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650</v>
      </c>
      <c r="C170" s="453">
        <f>IF(C168=0,0,C169/C168)</f>
        <v>0.25822422856966926</v>
      </c>
      <c r="D170" s="453">
        <f>IF(LN_IE14=0,0,LN_IE15/LN_IE14)</f>
        <v>0.25070184960081021</v>
      </c>
      <c r="E170" s="454">
        <f t="shared" si="18"/>
        <v>-7.5223789688590448E-3</v>
      </c>
      <c r="F170" s="449">
        <f t="shared" si="19"/>
        <v>-2.9131189627426834E-2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651</v>
      </c>
      <c r="C171" s="453">
        <f>IF(C153=0,0,C168/C153)</f>
        <v>2.1584071237519313</v>
      </c>
      <c r="D171" s="453">
        <f>IF(LN_IE1=0,0,LN_IE14/LN_IE1)</f>
        <v>4.592105546464559</v>
      </c>
      <c r="E171" s="454">
        <f t="shared" si="18"/>
        <v>2.4336984227126277</v>
      </c>
      <c r="F171" s="449">
        <f t="shared" si="19"/>
        <v>1.127543731639544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652</v>
      </c>
      <c r="C172" s="463">
        <f>C171*C156</f>
        <v>66.910620836309874</v>
      </c>
      <c r="D172" s="463">
        <f>LN_IE17*LN_IE4</f>
        <v>123.9868497545431</v>
      </c>
      <c r="E172" s="463">
        <f t="shared" si="18"/>
        <v>57.076228918233227</v>
      </c>
      <c r="F172" s="449">
        <f t="shared" si="19"/>
        <v>0.85302195981508677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653</v>
      </c>
      <c r="C173" s="465">
        <f>IF(C172=0,0,C169/C172)</f>
        <v>4011.1718684629936</v>
      </c>
      <c r="D173" s="465">
        <f>IF(LN_IE18=0,0,LN_IE15/LN_IE18)</f>
        <v>3449.9545786251942</v>
      </c>
      <c r="E173" s="465">
        <f t="shared" si="18"/>
        <v>-561.2172898377994</v>
      </c>
      <c r="F173" s="449">
        <f t="shared" si="19"/>
        <v>-0.13991354851938753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694</v>
      </c>
      <c r="C174" s="465">
        <f>C61-C173</f>
        <v>6104.6518897336155</v>
      </c>
      <c r="D174" s="465">
        <f>LN_IB18-LN_IE19</f>
        <v>6263.5148909607306</v>
      </c>
      <c r="E174" s="465">
        <f t="shared" si="18"/>
        <v>158.86300122711509</v>
      </c>
      <c r="F174" s="449">
        <f t="shared" si="19"/>
        <v>2.6023269483110081E-2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695</v>
      </c>
      <c r="C175" s="465">
        <f>C32-C173</f>
        <v>2178.8624944712124</v>
      </c>
      <c r="D175" s="465">
        <f>LN_IA16-LN_IE19</f>
        <v>2239.6401037793817</v>
      </c>
      <c r="E175" s="465">
        <f t="shared" si="18"/>
        <v>60.777609308169303</v>
      </c>
      <c r="F175" s="449">
        <f t="shared" si="19"/>
        <v>2.789419225049326E-2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664</v>
      </c>
      <c r="C176" s="441">
        <f>C175*C172</f>
        <v>145789.04222201961</v>
      </c>
      <c r="D176" s="441">
        <f>LN_IE21*LN_IE18</f>
        <v>277685.9210515435</v>
      </c>
      <c r="E176" s="441">
        <f t="shared" si="18"/>
        <v>131896.87882952389</v>
      </c>
      <c r="F176" s="449">
        <f t="shared" si="19"/>
        <v>0.9047105106065545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696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655</v>
      </c>
      <c r="C179" s="448">
        <f>C153+C168</f>
        <v>1520912</v>
      </c>
      <c r="D179" s="448">
        <f>LN_IE1+LN_IE14</f>
        <v>2077758</v>
      </c>
      <c r="E179" s="448">
        <f>D179-C179</f>
        <v>556846</v>
      </c>
      <c r="F179" s="449">
        <f>IF(C179=0,0,E179/C179)</f>
        <v>0.36612637680549565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656</v>
      </c>
      <c r="C180" s="448">
        <f>C154+C169</f>
        <v>411640</v>
      </c>
      <c r="D180" s="448">
        <f>LN_IE15+LN_IE2</f>
        <v>545894</v>
      </c>
      <c r="E180" s="448">
        <f>D180-C180</f>
        <v>134254</v>
      </c>
      <c r="F180" s="449">
        <f>IF(C180=0,0,E180/C180)</f>
        <v>0.32614420367311242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657</v>
      </c>
      <c r="C181" s="448">
        <f>C179-C180</f>
        <v>1109272</v>
      </c>
      <c r="D181" s="448">
        <f>LN_IE23-LN_IE24</f>
        <v>1531864</v>
      </c>
      <c r="E181" s="448">
        <f>D181-C181</f>
        <v>422592</v>
      </c>
      <c r="F181" s="449">
        <f>IF(C181=0,0,E181/C181)</f>
        <v>0.38096337057096907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697</v>
      </c>
      <c r="C183" s="448">
        <f>C162+C176</f>
        <v>227895.93837337993</v>
      </c>
      <c r="D183" s="448">
        <f>LN_IE10+LN_IE22</f>
        <v>335953.57158344181</v>
      </c>
      <c r="E183" s="441">
        <f>D183-C183</f>
        <v>108057.63321006187</v>
      </c>
      <c r="F183" s="449">
        <f>IF(C183=0,0,E183/C183)</f>
        <v>0.47415339642000337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698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699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639</v>
      </c>
      <c r="C188" s="448">
        <f>C118+C153</f>
        <v>48354241</v>
      </c>
      <c r="D188" s="448">
        <f>LN_ID1+LN_IE1</f>
        <v>50068391</v>
      </c>
      <c r="E188" s="448">
        <f t="shared" ref="E188:E200" si="20">D188-C188</f>
        <v>1714150</v>
      </c>
      <c r="F188" s="449">
        <f t="shared" ref="F188:F200" si="21">IF(C188=0,0,E188/C188)</f>
        <v>3.5449837791890891E-2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640</v>
      </c>
      <c r="C189" s="448">
        <f>C119+C154</f>
        <v>16253524</v>
      </c>
      <c r="D189" s="448">
        <f>LN_1D2+LN_IE2</f>
        <v>16104536</v>
      </c>
      <c r="E189" s="448">
        <f t="shared" si="20"/>
        <v>-148988</v>
      </c>
      <c r="F189" s="449">
        <f t="shared" si="21"/>
        <v>-9.1665044454359561E-3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641</v>
      </c>
      <c r="C190" s="453">
        <f>IF(C188=0,0,C189/C188)</f>
        <v>0.33613440442587034</v>
      </c>
      <c r="D190" s="453">
        <f>IF(LN_IF1=0,0,LN_IF2/LN_IF1)</f>
        <v>0.32165075965792472</v>
      </c>
      <c r="E190" s="454">
        <f t="shared" si="20"/>
        <v>-1.4483644767945614E-2</v>
      </c>
      <c r="F190" s="449">
        <f t="shared" si="21"/>
        <v>-4.3088849511504781E-2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3059</v>
      </c>
      <c r="D191" s="456">
        <f>LN_ID4+LN_IE4</f>
        <v>3096</v>
      </c>
      <c r="E191" s="456">
        <f t="shared" si="20"/>
        <v>37</v>
      </c>
      <c r="F191" s="449">
        <f t="shared" si="21"/>
        <v>1.2095456031382805E-2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642</v>
      </c>
      <c r="C192" s="459">
        <f>IF((C121+C156)=0,0,(C123+C158)/(C121+C156))</f>
        <v>0.99612268715266417</v>
      </c>
      <c r="D192" s="459">
        <f>IF((LN_ID4+LN_IE4)=0,0,(LN_ID6+LN_IE6)/(LN_ID4+LN_IE4))</f>
        <v>0.97289796511627913</v>
      </c>
      <c r="E192" s="460">
        <f t="shared" si="20"/>
        <v>-2.3224722036385037E-2</v>
      </c>
      <c r="F192" s="449">
        <f t="shared" si="21"/>
        <v>-2.331512205868036E-2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643</v>
      </c>
      <c r="C193" s="463">
        <f>C123+C158</f>
        <v>3047.1392999999998</v>
      </c>
      <c r="D193" s="463">
        <f>LN_IF4*LN_IF5</f>
        <v>3012.0921000000003</v>
      </c>
      <c r="E193" s="463">
        <f t="shared" si="20"/>
        <v>-35.047199999999521</v>
      </c>
      <c r="F193" s="449">
        <f t="shared" si="21"/>
        <v>-1.1501673061024655E-2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644</v>
      </c>
      <c r="C194" s="465">
        <f>IF(C193=0,0,C189/C193)</f>
        <v>5334.0272300646056</v>
      </c>
      <c r="D194" s="465">
        <f>IF(LN_IF6=0,0,LN_IF2/LN_IF6)</f>
        <v>5346.6280131341264</v>
      </c>
      <c r="E194" s="465">
        <f t="shared" si="20"/>
        <v>12.60078306952073</v>
      </c>
      <c r="F194" s="449">
        <f t="shared" si="21"/>
        <v>2.3623394718530729E-3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700</v>
      </c>
      <c r="C195" s="465">
        <f>C48-C194</f>
        <v>5742.1025600436233</v>
      </c>
      <c r="D195" s="465">
        <f>LN_IB7-LN_IF7</f>
        <v>6156.766479883765</v>
      </c>
      <c r="E195" s="465">
        <f t="shared" si="20"/>
        <v>414.66391984014172</v>
      </c>
      <c r="F195" s="449">
        <f t="shared" si="21"/>
        <v>7.221464881619799E-2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701</v>
      </c>
      <c r="C196" s="465">
        <f>C21-C194</f>
        <v>2322.1889839482128</v>
      </c>
      <c r="D196" s="465">
        <f>LN_IA7-LN_IF7</f>
        <v>2259.6605451333835</v>
      </c>
      <c r="E196" s="465">
        <f t="shared" si="20"/>
        <v>-62.528438814829315</v>
      </c>
      <c r="F196" s="449">
        <f t="shared" si="21"/>
        <v>-2.6926507380341514E-2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661</v>
      </c>
      <c r="C197" s="479">
        <f>C127+C162</f>
        <v>7076033.3150156699</v>
      </c>
      <c r="D197" s="479">
        <f>LN_IF9*LN_IF6</f>
        <v>6806305.6766779581</v>
      </c>
      <c r="E197" s="479">
        <f t="shared" si="20"/>
        <v>-269727.6383377118</v>
      </c>
      <c r="F197" s="449">
        <f t="shared" si="21"/>
        <v>-3.8118480556802538E-2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13869</v>
      </c>
      <c r="D198" s="456">
        <f>LN_ID11+LN_IE11</f>
        <v>13380</v>
      </c>
      <c r="E198" s="456">
        <f t="shared" si="20"/>
        <v>-489</v>
      </c>
      <c r="F198" s="449">
        <f t="shared" si="21"/>
        <v>-3.5258490157906122E-2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645</v>
      </c>
      <c r="C199" s="519">
        <f>IF(C198=0,0,C189/C198)</f>
        <v>1171.9319345302474</v>
      </c>
      <c r="D199" s="519">
        <f>IF(LN_IF11=0,0,LN_IF2/LN_IF11)</f>
        <v>1203.6275037369207</v>
      </c>
      <c r="E199" s="519">
        <f t="shared" si="20"/>
        <v>31.695569206673326</v>
      </c>
      <c r="F199" s="449">
        <f t="shared" si="21"/>
        <v>2.704557173738768E-2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646</v>
      </c>
      <c r="C200" s="466">
        <f>IF(C191=0,0,C198/C191)</f>
        <v>4.5338345864661651</v>
      </c>
      <c r="D200" s="466">
        <f>IF(LN_IF4=0,0,LN_IF11/LN_IF4)</f>
        <v>4.3217054263565888</v>
      </c>
      <c r="E200" s="466">
        <f t="shared" si="20"/>
        <v>-0.21212916010957628</v>
      </c>
      <c r="F200" s="449">
        <f t="shared" si="21"/>
        <v>-4.6788023705760608E-2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702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648</v>
      </c>
      <c r="C203" s="448">
        <f>C133+C168</f>
        <v>68687725</v>
      </c>
      <c r="D203" s="448">
        <f>LN_ID14+LN_IE14</f>
        <v>73265459</v>
      </c>
      <c r="E203" s="448">
        <f t="shared" ref="E203:E211" si="22">D203-C203</f>
        <v>4577734</v>
      </c>
      <c r="F203" s="449">
        <f t="shared" ref="F203:F211" si="23">IF(C203=0,0,E203/C203)</f>
        <v>6.6645590605890648E-2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649</v>
      </c>
      <c r="C204" s="448">
        <f>C134+C169</f>
        <v>19158243</v>
      </c>
      <c r="D204" s="448">
        <f>LN_ID15+LN_IE15</f>
        <v>19834786</v>
      </c>
      <c r="E204" s="448">
        <f t="shared" si="22"/>
        <v>676543</v>
      </c>
      <c r="F204" s="449">
        <f t="shared" si="23"/>
        <v>3.5313415744857191E-2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650</v>
      </c>
      <c r="C205" s="453">
        <f>IF(C203=0,0,C204/C203)</f>
        <v>0.27891800172447112</v>
      </c>
      <c r="D205" s="453">
        <f>IF(LN_IF14=0,0,LN_IF15/LN_IF14)</f>
        <v>0.27072492646227742</v>
      </c>
      <c r="E205" s="454">
        <f t="shared" si="22"/>
        <v>-8.1930752621937053E-3</v>
      </c>
      <c r="F205" s="449">
        <f t="shared" si="23"/>
        <v>-2.9374494337182391E-2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651</v>
      </c>
      <c r="C206" s="453">
        <f>IF(C188=0,0,C203/C188)</f>
        <v>1.4205108710112935</v>
      </c>
      <c r="D206" s="453">
        <f>IF(LN_IF1=0,0,LN_IF14/LN_IF1)</f>
        <v>1.4633076385458441</v>
      </c>
      <c r="E206" s="454">
        <f t="shared" si="22"/>
        <v>4.2796767534550639E-2</v>
      </c>
      <c r="F206" s="449">
        <f t="shared" si="23"/>
        <v>3.0127729683675466E-2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652</v>
      </c>
      <c r="C207" s="463">
        <f>C137+C172</f>
        <v>4345.7425612218703</v>
      </c>
      <c r="D207" s="463">
        <f>LN_ID18+LN_IE18</f>
        <v>4543.0877800370508</v>
      </c>
      <c r="E207" s="463">
        <f t="shared" si="22"/>
        <v>197.34521881518049</v>
      </c>
      <c r="F207" s="449">
        <f t="shared" si="23"/>
        <v>4.5411161852094144E-2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653</v>
      </c>
      <c r="C208" s="465">
        <f>IF(C207=0,0,C204/C207)</f>
        <v>4408.50849540737</v>
      </c>
      <c r="D208" s="465">
        <f>IF(LN_IF18=0,0,LN_IF15/LN_IF18)</f>
        <v>4365.9262070957029</v>
      </c>
      <c r="E208" s="465">
        <f t="shared" si="22"/>
        <v>-42.582288311667071</v>
      </c>
      <c r="F208" s="449">
        <f t="shared" si="23"/>
        <v>-9.6591144955324032E-3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703</v>
      </c>
      <c r="C209" s="465">
        <f>C61-C208</f>
        <v>5707.3152627892396</v>
      </c>
      <c r="D209" s="465">
        <f>LN_IB18-LN_IF19</f>
        <v>5347.5432624902223</v>
      </c>
      <c r="E209" s="465">
        <f t="shared" si="22"/>
        <v>-359.77200029901724</v>
      </c>
      <c r="F209" s="449">
        <f t="shared" si="23"/>
        <v>-6.3036994406927505E-2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704</v>
      </c>
      <c r="C210" s="465">
        <f>C32-C208</f>
        <v>1781.525867526836</v>
      </c>
      <c r="D210" s="465">
        <f>LN_IA16-LN_IF19</f>
        <v>1323.668475308873</v>
      </c>
      <c r="E210" s="465">
        <f t="shared" si="22"/>
        <v>-457.85739221796302</v>
      </c>
      <c r="F210" s="449">
        <f t="shared" si="23"/>
        <v>-0.25700294369206855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664</v>
      </c>
      <c r="C211" s="479">
        <f>C141+C176</f>
        <v>7742052.7864290858</v>
      </c>
      <c r="D211" s="441">
        <f>LN_IF21*LN_IF18</f>
        <v>6013542.074996016</v>
      </c>
      <c r="E211" s="441">
        <f t="shared" si="22"/>
        <v>-1728510.7114330698</v>
      </c>
      <c r="F211" s="449">
        <f t="shared" si="23"/>
        <v>-0.22326258411243943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705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655</v>
      </c>
      <c r="C214" s="448">
        <f>C188+C203</f>
        <v>117041966</v>
      </c>
      <c r="D214" s="448">
        <f>LN_IF1+LN_IF14</f>
        <v>123333850</v>
      </c>
      <c r="E214" s="448">
        <f>D214-C214</f>
        <v>6291884</v>
      </c>
      <c r="F214" s="449">
        <f>IF(C214=0,0,E214/C214)</f>
        <v>5.3757504380949991E-2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656</v>
      </c>
      <c r="C215" s="448">
        <f>C189+C204</f>
        <v>35411767</v>
      </c>
      <c r="D215" s="448">
        <f>LN_IF2+LN_IF15</f>
        <v>35939322</v>
      </c>
      <c r="E215" s="448">
        <f>D215-C215</f>
        <v>527555</v>
      </c>
      <c r="F215" s="449">
        <f>IF(C215=0,0,E215/C215)</f>
        <v>1.48977315930041E-2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657</v>
      </c>
      <c r="C216" s="448">
        <f>C214-C215</f>
        <v>81630199</v>
      </c>
      <c r="D216" s="448">
        <f>LN_IF23-LN_IF24</f>
        <v>87394528</v>
      </c>
      <c r="E216" s="448">
        <f>D216-C216</f>
        <v>5764329</v>
      </c>
      <c r="F216" s="449">
        <f>IF(C216=0,0,E216/C216)</f>
        <v>7.0615153100386296E-2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706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707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639</v>
      </c>
      <c r="C221" s="448">
        <v>12748626</v>
      </c>
      <c r="D221" s="448">
        <v>11605898</v>
      </c>
      <c r="E221" s="448">
        <f t="shared" ref="E221:E230" si="24">D221-C221</f>
        <v>-1142728</v>
      </c>
      <c r="F221" s="449">
        <f t="shared" ref="F221:F230" si="25">IF(C221=0,0,E221/C221)</f>
        <v>-8.9635385021099523E-2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640</v>
      </c>
      <c r="C222" s="448">
        <v>5510106</v>
      </c>
      <c r="D222" s="448">
        <v>4936371</v>
      </c>
      <c r="E222" s="448">
        <f t="shared" si="24"/>
        <v>-573735</v>
      </c>
      <c r="F222" s="449">
        <f t="shared" si="25"/>
        <v>-0.10412413118731291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641</v>
      </c>
      <c r="C223" s="453">
        <f>IF(C221=0,0,C222/C221)</f>
        <v>0.4322117536430985</v>
      </c>
      <c r="D223" s="453">
        <f>IF(LN_IG1=0,0,LN_IG2/LN_IG1)</f>
        <v>0.4253329643255524</v>
      </c>
      <c r="E223" s="454">
        <f t="shared" si="24"/>
        <v>-6.8787893175460968E-3</v>
      </c>
      <c r="F223" s="449">
        <f t="shared" si="25"/>
        <v>-1.5915322199280817E-2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969</v>
      </c>
      <c r="D224" s="456">
        <v>943</v>
      </c>
      <c r="E224" s="456">
        <f t="shared" si="24"/>
        <v>-26</v>
      </c>
      <c r="F224" s="449">
        <f t="shared" si="25"/>
        <v>-2.6831785345717233E-2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642</v>
      </c>
      <c r="C225" s="459">
        <v>0.89590000000000003</v>
      </c>
      <c r="D225" s="459">
        <v>0.88970000000000005</v>
      </c>
      <c r="E225" s="460">
        <f t="shared" si="24"/>
        <v>-6.1999999999999833E-3</v>
      </c>
      <c r="F225" s="449">
        <f t="shared" si="25"/>
        <v>-6.9204152249134759E-3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643</v>
      </c>
      <c r="C226" s="463">
        <f>C224*C225</f>
        <v>868.12710000000004</v>
      </c>
      <c r="D226" s="463">
        <f>LN_IG3*LN_IG4</f>
        <v>838.98710000000005</v>
      </c>
      <c r="E226" s="463">
        <f t="shared" si="24"/>
        <v>-29.139999999999986</v>
      </c>
      <c r="F226" s="449">
        <f t="shared" si="25"/>
        <v>-3.3566513474812598E-2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644</v>
      </c>
      <c r="C227" s="465">
        <f>IF(C226=0,0,C222/C226)</f>
        <v>6347.1189875307427</v>
      </c>
      <c r="D227" s="465">
        <f>IF(LN_IG5=0,0,LN_IG2/LN_IG5)</f>
        <v>5883.7269369219139</v>
      </c>
      <c r="E227" s="465">
        <f t="shared" si="24"/>
        <v>-463.39205060882887</v>
      </c>
      <c r="F227" s="449">
        <f t="shared" si="25"/>
        <v>-7.3008250124062202E-2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3191</v>
      </c>
      <c r="D228" s="456">
        <v>2851</v>
      </c>
      <c r="E228" s="456">
        <f t="shared" si="24"/>
        <v>-340</v>
      </c>
      <c r="F228" s="449">
        <f t="shared" si="25"/>
        <v>-0.10654967094954559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645</v>
      </c>
      <c r="C229" s="465">
        <f>IF(C228=0,0,C222/C228)</f>
        <v>1726.7646505797557</v>
      </c>
      <c r="D229" s="465">
        <f>IF(LN_IG6=0,0,LN_IG2/LN_IG6)</f>
        <v>1731.4524728165557</v>
      </c>
      <c r="E229" s="465">
        <f t="shared" si="24"/>
        <v>4.6878222368000024</v>
      </c>
      <c r="F229" s="449">
        <f t="shared" si="25"/>
        <v>2.7148009053961589E-3</v>
      </c>
      <c r="Q229" s="421"/>
      <c r="U229" s="462"/>
    </row>
    <row r="230" spans="1:21" ht="15.75" customHeight="1" x14ac:dyDescent="0.2">
      <c r="A230" s="451">
        <v>10</v>
      </c>
      <c r="B230" s="447" t="s">
        <v>646</v>
      </c>
      <c r="C230" s="466">
        <f>IF(C224=0,0,C228/C224)</f>
        <v>3.2930856553147576</v>
      </c>
      <c r="D230" s="466">
        <f>IF(LN_IG3=0,0,LN_IG6/LN_IG3)</f>
        <v>3.0233297985153764</v>
      </c>
      <c r="E230" s="466">
        <f t="shared" si="24"/>
        <v>-0.26975585679938119</v>
      </c>
      <c r="F230" s="449">
        <f t="shared" si="25"/>
        <v>-8.1915833669257393E-2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708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648</v>
      </c>
      <c r="C233" s="448">
        <v>23215651</v>
      </c>
      <c r="D233" s="448">
        <v>23612888</v>
      </c>
      <c r="E233" s="448">
        <f>D233-C233</f>
        <v>397237</v>
      </c>
      <c r="F233" s="449">
        <f>IF(C233=0,0,E233/C233)</f>
        <v>1.7110741370121391E-2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649</v>
      </c>
      <c r="C234" s="448">
        <v>7041745</v>
      </c>
      <c r="D234" s="448">
        <v>6217879</v>
      </c>
      <c r="E234" s="448">
        <f>D234-C234</f>
        <v>-823866</v>
      </c>
      <c r="F234" s="449">
        <f>IF(C234=0,0,E234/C234)</f>
        <v>-0.1169974203837259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709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655</v>
      </c>
      <c r="C237" s="448">
        <f>C221+C233</f>
        <v>35964277</v>
      </c>
      <c r="D237" s="448">
        <f>LN_IG1+LN_IG9</f>
        <v>35218786</v>
      </c>
      <c r="E237" s="448">
        <f>D237-C237</f>
        <v>-745491</v>
      </c>
      <c r="F237" s="449">
        <f>IF(C237=0,0,E237/C237)</f>
        <v>-2.0728652490358698E-2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656</v>
      </c>
      <c r="C238" s="448">
        <f>C222+C234</f>
        <v>12551851</v>
      </c>
      <c r="D238" s="448">
        <f>LN_IG2+LN_IG10</f>
        <v>11154250</v>
      </c>
      <c r="E238" s="448">
        <f>D238-C238</f>
        <v>-1397601</v>
      </c>
      <c r="F238" s="449">
        <f>IF(C238=0,0,E238/C238)</f>
        <v>-0.1113462070255614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657</v>
      </c>
      <c r="C239" s="448">
        <f>C237-C238</f>
        <v>23412426</v>
      </c>
      <c r="D239" s="448">
        <f>LN_IG13-LN_IG14</f>
        <v>24064536</v>
      </c>
      <c r="E239" s="448">
        <f>D239-C239</f>
        <v>652110</v>
      </c>
      <c r="F239" s="449">
        <f>IF(C239=0,0,E239/C239)</f>
        <v>2.7853157976879456E-2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710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711</v>
      </c>
      <c r="C243" s="448">
        <v>15433709</v>
      </c>
      <c r="D243" s="448">
        <v>22653789</v>
      </c>
      <c r="E243" s="441">
        <f>D243-C243</f>
        <v>7220080</v>
      </c>
      <c r="F243" s="503">
        <f>IF(C243=0,0,E243/C243)</f>
        <v>0.46781237096021444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712</v>
      </c>
      <c r="C244" s="448">
        <v>318194716</v>
      </c>
      <c r="D244" s="448">
        <v>312019235</v>
      </c>
      <c r="E244" s="441">
        <f>D244-C244</f>
        <v>-6175481</v>
      </c>
      <c r="F244" s="503">
        <f>IF(C244=0,0,E244/C244)</f>
        <v>-1.9407867854097236E-2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713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714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715</v>
      </c>
      <c r="C248" s="441">
        <v>2828618</v>
      </c>
      <c r="D248" s="441">
        <v>3684045</v>
      </c>
      <c r="E248" s="441">
        <f>D248-C248</f>
        <v>855427</v>
      </c>
      <c r="F248" s="449">
        <f>IF(C248=0,0,E248/C248)</f>
        <v>0.30241870765158108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716</v>
      </c>
      <c r="C249" s="441">
        <v>11930618</v>
      </c>
      <c r="D249" s="441">
        <v>12037777</v>
      </c>
      <c r="E249" s="441">
        <f>D249-C249</f>
        <v>107159</v>
      </c>
      <c r="F249" s="449">
        <f>IF(C249=0,0,E249/C249)</f>
        <v>8.9818482160773233E-3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717</v>
      </c>
      <c r="C250" s="441">
        <f>C248+C249</f>
        <v>14759236</v>
      </c>
      <c r="D250" s="441">
        <f>LN_IH4+LN_IH5</f>
        <v>15721822</v>
      </c>
      <c r="E250" s="441">
        <f>D250-C250</f>
        <v>962586</v>
      </c>
      <c r="F250" s="449">
        <f>IF(C250=0,0,E250/C250)</f>
        <v>6.5219229504833443E-2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718</v>
      </c>
      <c r="C251" s="441">
        <f>C250*C313</f>
        <v>6655446.6438571177</v>
      </c>
      <c r="D251" s="441">
        <f>LN_IH6*LN_III10</f>
        <v>6723841.5667843157</v>
      </c>
      <c r="E251" s="441">
        <f>D251-C251</f>
        <v>68394.922927198</v>
      </c>
      <c r="F251" s="449">
        <f>IF(C251=0,0,E251/C251)</f>
        <v>1.0276533880761487E-2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719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655</v>
      </c>
      <c r="C254" s="441">
        <f>C188+C203</f>
        <v>117041966</v>
      </c>
      <c r="D254" s="441">
        <f>LN_IF23</f>
        <v>123333850</v>
      </c>
      <c r="E254" s="441">
        <f>D254-C254</f>
        <v>6291884</v>
      </c>
      <c r="F254" s="449">
        <f>IF(C254=0,0,E254/C254)</f>
        <v>5.3757504380949991E-2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656</v>
      </c>
      <c r="C255" s="441">
        <f>C189+C204</f>
        <v>35411767</v>
      </c>
      <c r="D255" s="441">
        <f>LN_IF24</f>
        <v>35939322</v>
      </c>
      <c r="E255" s="441">
        <f>D255-C255</f>
        <v>527555</v>
      </c>
      <c r="F255" s="449">
        <f>IF(C255=0,0,E255/C255)</f>
        <v>1.48977315930041E-2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720</v>
      </c>
      <c r="C256" s="441">
        <f>C254*C313</f>
        <v>52778244.063929789</v>
      </c>
      <c r="D256" s="441">
        <f>LN_IH8*LN_III10</f>
        <v>52746893.281296648</v>
      </c>
      <c r="E256" s="441">
        <f>D256-C256</f>
        <v>-31350.782633140683</v>
      </c>
      <c r="F256" s="449">
        <f>IF(C256=0,0,E256/C256)</f>
        <v>-5.940095808258754E-4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721</v>
      </c>
      <c r="C257" s="441">
        <f>C256-C255</f>
        <v>17366477.063929789</v>
      </c>
      <c r="D257" s="441">
        <f>LN_IH10-LN_IH9</f>
        <v>16807571.281296648</v>
      </c>
      <c r="E257" s="441">
        <f>D257-C257</f>
        <v>-558905.78263314068</v>
      </c>
      <c r="F257" s="449">
        <f>IF(C257=0,0,E257/C257)</f>
        <v>-3.2183025985966333E-2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722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723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290545603</v>
      </c>
      <c r="D261" s="448">
        <f>LN_IA1+LN_IB1+LN_IF1+LN_IG1</f>
        <v>293047902</v>
      </c>
      <c r="E261" s="448">
        <f t="shared" ref="E261:E274" si="26">D261-C261</f>
        <v>2502299</v>
      </c>
      <c r="F261" s="503">
        <f t="shared" ref="F261:F274" si="27">IF(C261=0,0,E261/C261)</f>
        <v>8.6124139348961338E-3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147250760</v>
      </c>
      <c r="D262" s="448">
        <f>+LN_IA2+LN_IB2+LN_IF2+LN_IG2</f>
        <v>144238152</v>
      </c>
      <c r="E262" s="448">
        <f t="shared" si="26"/>
        <v>-3012608</v>
      </c>
      <c r="F262" s="503">
        <f t="shared" si="27"/>
        <v>-2.045903192621892E-2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724</v>
      </c>
      <c r="C263" s="453">
        <f>IF(C261=0,0,C262/C261)</f>
        <v>0.50680773854285455</v>
      </c>
      <c r="D263" s="453">
        <f>IF(LN_IIA1=0,0,LN_IIA2/LN_IIA1)</f>
        <v>0.49219991344623243</v>
      </c>
      <c r="E263" s="454">
        <f t="shared" si="26"/>
        <v>-1.4607825096622118E-2</v>
      </c>
      <c r="F263" s="458">
        <f t="shared" si="27"/>
        <v>-2.882320845893499E-2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14932</v>
      </c>
      <c r="D264" s="456">
        <f>LN_IA4+LN_IB4+LN_IF4+LN_IG3</f>
        <v>14649</v>
      </c>
      <c r="E264" s="456">
        <f t="shared" si="26"/>
        <v>-283</v>
      </c>
      <c r="F264" s="503">
        <f t="shared" si="27"/>
        <v>-1.8952585052236806E-2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725</v>
      </c>
      <c r="C265" s="525">
        <f>IF(C264=0,0,C266/C264)</f>
        <v>1.2197990356281809</v>
      </c>
      <c r="D265" s="525">
        <f>IF(LN_IIA4=0,0,LN_IIA6/LN_IIA4)</f>
        <v>1.2109870434841967</v>
      </c>
      <c r="E265" s="525">
        <f t="shared" si="26"/>
        <v>-8.8119921439842042E-3</v>
      </c>
      <c r="F265" s="503">
        <f t="shared" si="27"/>
        <v>-7.2241343750908448E-3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726</v>
      </c>
      <c r="C266" s="463">
        <f>C20+C47+C193+C226</f>
        <v>18214.039199999999</v>
      </c>
      <c r="D266" s="463">
        <f>LN_IA6+LN_IB6+LN_IF6+LN_IG5</f>
        <v>17739.749199999998</v>
      </c>
      <c r="E266" s="463">
        <f t="shared" si="26"/>
        <v>-474.29000000000087</v>
      </c>
      <c r="F266" s="503">
        <f t="shared" si="27"/>
        <v>-2.6039803406155013E-2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401441594</v>
      </c>
      <c r="D267" s="448">
        <f>LN_IA11+LN_IB13+LN_IF14+LN_IG9</f>
        <v>416279962</v>
      </c>
      <c r="E267" s="448">
        <f t="shared" si="26"/>
        <v>14838368</v>
      </c>
      <c r="F267" s="503">
        <f t="shared" si="27"/>
        <v>3.696270695856195E-2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651</v>
      </c>
      <c r="C268" s="453">
        <f>IF(C261=0,0,C267/C261)</f>
        <v>1.3816818766312564</v>
      </c>
      <c r="D268" s="453">
        <f>IF(LN_IIA1=0,0,LN_IIA7/LN_IIA1)</f>
        <v>1.4205184857457194</v>
      </c>
      <c r="E268" s="454">
        <f t="shared" si="26"/>
        <v>3.8836609114462961E-2</v>
      </c>
      <c r="F268" s="458">
        <f t="shared" si="27"/>
        <v>2.8108213454425792E-2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164790043</v>
      </c>
      <c r="D269" s="448">
        <f>LN_IA12+LN_IB14+LN_IF15+LN_IG10</f>
        <v>159124153</v>
      </c>
      <c r="E269" s="448">
        <f t="shared" si="26"/>
        <v>-5665890</v>
      </c>
      <c r="F269" s="503">
        <f t="shared" si="27"/>
        <v>-3.4382477829682949E-2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650</v>
      </c>
      <c r="C270" s="453">
        <f>IF(C267=0,0,C269/C267)</f>
        <v>0.41049568720076374</v>
      </c>
      <c r="D270" s="453">
        <f>IF(LN_IIA7=0,0,LN_IIA9/LN_IIA7)</f>
        <v>0.38225273259729953</v>
      </c>
      <c r="E270" s="454">
        <f t="shared" si="26"/>
        <v>-2.824295460346421E-2</v>
      </c>
      <c r="F270" s="458">
        <f t="shared" si="27"/>
        <v>-6.8802073892803767E-2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727</v>
      </c>
      <c r="C271" s="441">
        <f>C261+C267</f>
        <v>691987197</v>
      </c>
      <c r="D271" s="441">
        <f>LN_IIA1+LN_IIA7</f>
        <v>709327864</v>
      </c>
      <c r="E271" s="441">
        <f t="shared" si="26"/>
        <v>17340667</v>
      </c>
      <c r="F271" s="503">
        <f t="shared" si="27"/>
        <v>2.5059230973026224E-2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728</v>
      </c>
      <c r="C272" s="441">
        <f>C262+C269</f>
        <v>312040803</v>
      </c>
      <c r="D272" s="441">
        <f>LN_IIA2+LN_IIA9</f>
        <v>303362305</v>
      </c>
      <c r="E272" s="441">
        <f t="shared" si="26"/>
        <v>-8678498</v>
      </c>
      <c r="F272" s="503">
        <f t="shared" si="27"/>
        <v>-2.7812061488638073E-2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729</v>
      </c>
      <c r="C273" s="453">
        <f>IF(C271=0,0,C272/C271)</f>
        <v>0.45093435883323141</v>
      </c>
      <c r="D273" s="453">
        <f>IF(LN_IIA11=0,0,LN_IIA12/LN_IIA11)</f>
        <v>0.4276757200673002</v>
      </c>
      <c r="E273" s="454">
        <f t="shared" si="26"/>
        <v>-2.3258638765931205E-2</v>
      </c>
      <c r="F273" s="458">
        <f t="shared" si="27"/>
        <v>-5.1578768196133232E-2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70558</v>
      </c>
      <c r="D274" s="508">
        <f>LN_IA8+LN_IB10+LN_IF11+LN_IG6</f>
        <v>67153</v>
      </c>
      <c r="E274" s="528">
        <f t="shared" si="26"/>
        <v>-3405</v>
      </c>
      <c r="F274" s="458">
        <f t="shared" si="27"/>
        <v>-4.8258170583066411E-2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730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731</v>
      </c>
      <c r="C277" s="448">
        <f>C15+C188+C221</f>
        <v>217786696</v>
      </c>
      <c r="D277" s="448">
        <f>LN_IA1+LN_IF1+LN_IG1</f>
        <v>222650860</v>
      </c>
      <c r="E277" s="448">
        <f t="shared" ref="E277:E291" si="28">D277-C277</f>
        <v>4864164</v>
      </c>
      <c r="F277" s="503">
        <f t="shared" ref="F277:F291" si="29">IF(C277=0,0,E277/C277)</f>
        <v>2.2334532316886795E-2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732</v>
      </c>
      <c r="C278" s="448">
        <f>C16+C189+C222</f>
        <v>95390382</v>
      </c>
      <c r="D278" s="448">
        <f>LN_IA2+LN_IF2+LN_IG2</f>
        <v>92416685</v>
      </c>
      <c r="E278" s="448">
        <f t="shared" si="28"/>
        <v>-2973697</v>
      </c>
      <c r="F278" s="503">
        <f t="shared" si="29"/>
        <v>-3.1173970977493307E-2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733</v>
      </c>
      <c r="C279" s="453">
        <f>IF(C277=0,0,C278/C277)</f>
        <v>0.43799912369302851</v>
      </c>
      <c r="D279" s="453">
        <f>IF(D277=0,0,LN_IIB2/D277)</f>
        <v>0.41507445783052443</v>
      </c>
      <c r="E279" s="454">
        <f t="shared" si="28"/>
        <v>-2.2924665862504079E-2</v>
      </c>
      <c r="F279" s="458">
        <f t="shared" si="29"/>
        <v>-5.2339524493137619E-2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734</v>
      </c>
      <c r="C280" s="456">
        <f>C18+C191+C224</f>
        <v>10857</v>
      </c>
      <c r="D280" s="456">
        <f>LN_IA4+LN_IF4+LN_IG3</f>
        <v>10697</v>
      </c>
      <c r="E280" s="456">
        <f t="shared" si="28"/>
        <v>-160</v>
      </c>
      <c r="F280" s="503">
        <f t="shared" si="29"/>
        <v>-1.4737036013631759E-2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735</v>
      </c>
      <c r="C281" s="525">
        <f>IF(C280=0,0,C282/C280)</f>
        <v>1.2463723127935893</v>
      </c>
      <c r="D281" s="525">
        <f>IF(LN_IIB4=0,0,LN_IIB6/LN_IIB4)</f>
        <v>1.2372501075067777</v>
      </c>
      <c r="E281" s="525">
        <f t="shared" si="28"/>
        <v>-9.1222052868116243E-3</v>
      </c>
      <c r="F281" s="503">
        <f t="shared" si="29"/>
        <v>-7.3190050783183162E-3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736</v>
      </c>
      <c r="C282" s="463">
        <f>C20+C193+C226</f>
        <v>13531.864199999998</v>
      </c>
      <c r="D282" s="463">
        <f>LN_IA6+LN_IF6+LN_IG5</f>
        <v>13234.8644</v>
      </c>
      <c r="E282" s="463">
        <f t="shared" si="28"/>
        <v>-296.99979999999778</v>
      </c>
      <c r="F282" s="503">
        <f t="shared" si="29"/>
        <v>-2.1948180650526911E-2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737</v>
      </c>
      <c r="C283" s="448">
        <f>C27+C203+C233</f>
        <v>215841619</v>
      </c>
      <c r="D283" s="448">
        <f>LN_IA11+LN_IF14+LN_IG9</f>
        <v>229463681</v>
      </c>
      <c r="E283" s="448">
        <f t="shared" si="28"/>
        <v>13622062</v>
      </c>
      <c r="F283" s="503">
        <f t="shared" si="29"/>
        <v>6.3111377977571603E-2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738</v>
      </c>
      <c r="C284" s="453">
        <f>IF(C277=0,0,C283/C277)</f>
        <v>0.99106888971767126</v>
      </c>
      <c r="D284" s="453">
        <f>IF(D277=0,0,LN_IIB7/D277)</f>
        <v>1.030598673636383</v>
      </c>
      <c r="E284" s="454">
        <f t="shared" si="28"/>
        <v>3.9529783918711758E-2</v>
      </c>
      <c r="F284" s="458">
        <f t="shared" si="29"/>
        <v>3.988601027520168E-2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739</v>
      </c>
      <c r="C285" s="448">
        <f>C28+C204+C234</f>
        <v>59637298</v>
      </c>
      <c r="D285" s="448">
        <f>LN_IA12+LN_IF15+LN_IG10</f>
        <v>57252905</v>
      </c>
      <c r="E285" s="448">
        <f t="shared" si="28"/>
        <v>-2384393</v>
      </c>
      <c r="F285" s="503">
        <f t="shared" si="29"/>
        <v>-3.998157327650894E-2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740</v>
      </c>
      <c r="C286" s="453">
        <f>IF(C283=0,0,C285/C283)</f>
        <v>0.27630119842642581</v>
      </c>
      <c r="D286" s="453">
        <f>IF(LN_IIB7=0,0,LN_IIB9/LN_IIB7)</f>
        <v>0.24950748088103755</v>
      </c>
      <c r="E286" s="454">
        <f t="shared" si="28"/>
        <v>-2.6793717545388257E-2</v>
      </c>
      <c r="F286" s="458">
        <f t="shared" si="29"/>
        <v>-9.6972860407346206E-2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741</v>
      </c>
      <c r="C287" s="441">
        <f>C277+C283</f>
        <v>433628315</v>
      </c>
      <c r="D287" s="441">
        <f>D277+LN_IIB7</f>
        <v>452114541</v>
      </c>
      <c r="E287" s="441">
        <f t="shared" si="28"/>
        <v>18486226</v>
      </c>
      <c r="F287" s="503">
        <f t="shared" si="29"/>
        <v>4.2631501127872611E-2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742</v>
      </c>
      <c r="C288" s="441">
        <f>C278+C285</f>
        <v>155027680</v>
      </c>
      <c r="D288" s="441">
        <f>LN_IIB2+LN_IIB9</f>
        <v>149669590</v>
      </c>
      <c r="E288" s="441">
        <f t="shared" si="28"/>
        <v>-5358090</v>
      </c>
      <c r="F288" s="503">
        <f t="shared" si="29"/>
        <v>-3.4562150449519727E-2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743</v>
      </c>
      <c r="C289" s="453">
        <f>IF(C287=0,0,C288/C287)</f>
        <v>0.35751281601617735</v>
      </c>
      <c r="D289" s="453">
        <f>IF(LN_IIB11=0,0,LN_IIB12/LN_IIB11)</f>
        <v>0.33104352199988191</v>
      </c>
      <c r="E289" s="454">
        <f t="shared" si="28"/>
        <v>-2.6469294016295442E-2</v>
      </c>
      <c r="F289" s="458">
        <f t="shared" si="29"/>
        <v>-7.4037329098427945E-2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55079</v>
      </c>
      <c r="D290" s="508">
        <f>LN_IA8+LN_IF11+LN_IG6</f>
        <v>52460</v>
      </c>
      <c r="E290" s="528">
        <f t="shared" si="28"/>
        <v>-2619</v>
      </c>
      <c r="F290" s="458">
        <f t="shared" si="29"/>
        <v>-4.7549882895477402E-2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744</v>
      </c>
      <c r="C291" s="448">
        <f>C287-C288</f>
        <v>278600635</v>
      </c>
      <c r="D291" s="516">
        <f>LN_IIB11-LN_IIB12</f>
        <v>302444951</v>
      </c>
      <c r="E291" s="441">
        <f t="shared" si="28"/>
        <v>23844316</v>
      </c>
      <c r="F291" s="503">
        <f t="shared" si="29"/>
        <v>8.5586007368576175E-2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646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637</v>
      </c>
      <c r="C294" s="466">
        <f>IF(C18=0,0,C22/C18)</f>
        <v>5.5672865719724705</v>
      </c>
      <c r="D294" s="466">
        <f>IF(LN_IA4=0,0,LN_IA8/LN_IA4)</f>
        <v>5.4414238510063084</v>
      </c>
      <c r="E294" s="466">
        <f t="shared" ref="E294:E300" si="30">D294-C294</f>
        <v>-0.12586272096616202</v>
      </c>
      <c r="F294" s="503">
        <f t="shared" ref="F294:F300" si="31">IF(C294=0,0,E294/C294)</f>
        <v>-2.2607552052340156E-2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658</v>
      </c>
      <c r="C295" s="466">
        <f>IF(C45=0,0,C51/C45)</f>
        <v>3.7985276073619634</v>
      </c>
      <c r="D295" s="466">
        <f>IF(LN_IB4=0,0,(LN_IB10)/(LN_IB4))</f>
        <v>3.7178643724696356</v>
      </c>
      <c r="E295" s="466">
        <f t="shared" si="30"/>
        <v>-8.066323489232774E-2</v>
      </c>
      <c r="F295" s="503">
        <f t="shared" si="31"/>
        <v>-2.1235395192598715E-2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673</v>
      </c>
      <c r="C296" s="466">
        <f>IF(C86=0,0,C93/C86)</f>
        <v>3.1304347826086958</v>
      </c>
      <c r="D296" s="466">
        <f>IF(LN_IC4=0,0,LN_IC11/LN_IC4)</f>
        <v>2.8507462686567164</v>
      </c>
      <c r="E296" s="466">
        <f t="shared" si="30"/>
        <v>-0.27968851395197936</v>
      </c>
      <c r="F296" s="503">
        <f t="shared" si="31"/>
        <v>-8.9344941956882293E-2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4.5343461030383088</v>
      </c>
      <c r="D297" s="466">
        <f>IF(LN_ID4=0,0,LN_ID11/LN_ID4)</f>
        <v>4.3352883675464318</v>
      </c>
      <c r="E297" s="466">
        <f t="shared" si="30"/>
        <v>-0.199057735491877</v>
      </c>
      <c r="F297" s="503">
        <f t="shared" si="31"/>
        <v>-4.3899987113576372E-2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745</v>
      </c>
      <c r="C298" s="466">
        <f>IF(C156=0,0,C163/C156)</f>
        <v>4.4838709677419351</v>
      </c>
      <c r="D298" s="466">
        <f>IF(LN_IE4=0,0,LN_IE11/LN_IE4)</f>
        <v>2.7777777777777777</v>
      </c>
      <c r="E298" s="466">
        <f t="shared" si="30"/>
        <v>-1.7060931899641574</v>
      </c>
      <c r="F298" s="503">
        <f t="shared" si="31"/>
        <v>-0.3804956035171862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3.2930856553147576</v>
      </c>
      <c r="D299" s="466">
        <f>IF(LN_IG3=0,0,LN_IG6/LN_IG3)</f>
        <v>3.0233297985153764</v>
      </c>
      <c r="E299" s="466">
        <f t="shared" si="30"/>
        <v>-0.26975585679938119</v>
      </c>
      <c r="F299" s="503">
        <f t="shared" si="31"/>
        <v>-8.1915833669257393E-2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746</v>
      </c>
      <c r="C300" s="466">
        <f>IF(C264=0,0,C274/C264)</f>
        <v>4.7252879721403698</v>
      </c>
      <c r="D300" s="466">
        <f>IF(LN_IIA4=0,0,LN_IIA14/LN_IIA4)</f>
        <v>4.584135435865929</v>
      </c>
      <c r="E300" s="466">
        <f t="shared" si="30"/>
        <v>-0.1411525362744408</v>
      </c>
      <c r="F300" s="503">
        <f t="shared" si="31"/>
        <v>-2.9871732073612489E-2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747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741</v>
      </c>
      <c r="C304" s="441">
        <f>C35+C66+C214+C221+C233</f>
        <v>691987197</v>
      </c>
      <c r="D304" s="441">
        <f>LN_IIA11</f>
        <v>709327864</v>
      </c>
      <c r="E304" s="441">
        <f t="shared" ref="E304:E316" si="32">D304-C304</f>
        <v>17340667</v>
      </c>
      <c r="F304" s="449">
        <f>IF(C304=0,0,E304/C304)</f>
        <v>2.5059230973026224E-2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744</v>
      </c>
      <c r="C305" s="441">
        <f>C291</f>
        <v>278600635</v>
      </c>
      <c r="D305" s="441">
        <f>LN_IIB14</f>
        <v>302444951</v>
      </c>
      <c r="E305" s="441">
        <f t="shared" si="32"/>
        <v>23844316</v>
      </c>
      <c r="F305" s="449">
        <f>IF(C305=0,0,E305/C305)</f>
        <v>8.5586007368576175E-2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748</v>
      </c>
      <c r="C306" s="441">
        <f>C250</f>
        <v>14759236</v>
      </c>
      <c r="D306" s="441">
        <f>LN_IH6</f>
        <v>15721822</v>
      </c>
      <c r="E306" s="441">
        <f t="shared" si="32"/>
        <v>962586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749</v>
      </c>
      <c r="C307" s="441">
        <f>C73-C74</f>
        <v>79022077</v>
      </c>
      <c r="D307" s="441">
        <f>LN_IB32-LN_IB33</f>
        <v>81545288</v>
      </c>
      <c r="E307" s="441">
        <f t="shared" si="32"/>
        <v>2523211</v>
      </c>
      <c r="F307" s="449">
        <f t="shared" ref="F307:F316" si="33">IF(C307=0,0,E307/C307)</f>
        <v>3.1930456598856544E-2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750</v>
      </c>
      <c r="C308" s="441">
        <v>7564445</v>
      </c>
      <c r="D308" s="441">
        <v>6253497</v>
      </c>
      <c r="E308" s="441">
        <f t="shared" si="32"/>
        <v>-1310948</v>
      </c>
      <c r="F308" s="449">
        <f t="shared" si="33"/>
        <v>-0.17330392381727938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751</v>
      </c>
      <c r="C309" s="441">
        <f>C305+C307+C308+C306</f>
        <v>379946393</v>
      </c>
      <c r="D309" s="441">
        <f>LN_III2+LN_III3+LN_III4+LN_III5</f>
        <v>405965558</v>
      </c>
      <c r="E309" s="441">
        <f t="shared" si="32"/>
        <v>26019165</v>
      </c>
      <c r="F309" s="449">
        <f t="shared" si="33"/>
        <v>6.848114754967552E-2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752</v>
      </c>
      <c r="C310" s="441">
        <f>C304-C309</f>
        <v>312040804</v>
      </c>
      <c r="D310" s="441">
        <f>LN_III1-LN_III6</f>
        <v>303362306</v>
      </c>
      <c r="E310" s="441">
        <f t="shared" si="32"/>
        <v>-8678498</v>
      </c>
      <c r="F310" s="449">
        <f t="shared" si="33"/>
        <v>-2.7812061399508509E-2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753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754</v>
      </c>
      <c r="C312" s="441">
        <f>C310+C311</f>
        <v>312040804</v>
      </c>
      <c r="D312" s="441">
        <f>LN_III7+LN_III8</f>
        <v>303362306</v>
      </c>
      <c r="E312" s="441">
        <f t="shared" si="32"/>
        <v>-8678498</v>
      </c>
      <c r="F312" s="449">
        <f t="shared" si="33"/>
        <v>-2.7812061399508509E-2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755</v>
      </c>
      <c r="C313" s="532">
        <f>IF(C304=0,0,C312/C304)</f>
        <v>0.45093436027834488</v>
      </c>
      <c r="D313" s="532">
        <f>IF(LN_III1=0,0,LN_III9/LN_III1)</f>
        <v>0.42767572147708555</v>
      </c>
      <c r="E313" s="532">
        <f t="shared" si="32"/>
        <v>-2.3258638801259335E-2</v>
      </c>
      <c r="F313" s="449">
        <f t="shared" si="33"/>
        <v>-5.1578768109182563E-2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718</v>
      </c>
      <c r="C314" s="441">
        <f>C306*C313</f>
        <v>6655446.6438571177</v>
      </c>
      <c r="D314" s="441">
        <f>D313*LN_III5</f>
        <v>6723841.5667843157</v>
      </c>
      <c r="E314" s="441">
        <f t="shared" si="32"/>
        <v>68394.922927198</v>
      </c>
      <c r="F314" s="449">
        <f t="shared" si="33"/>
        <v>1.0276533880761487E-2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721</v>
      </c>
      <c r="C315" s="441">
        <f>(C214*C313)-C215</f>
        <v>17366477.063929789</v>
      </c>
      <c r="D315" s="441">
        <f>D313*LN_IH8-LN_IH9</f>
        <v>16807571.281296648</v>
      </c>
      <c r="E315" s="441">
        <f t="shared" si="32"/>
        <v>-558905.78263314068</v>
      </c>
      <c r="F315" s="449">
        <f t="shared" si="33"/>
        <v>-3.2183025985966333E-2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756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757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758</v>
      </c>
      <c r="C318" s="441">
        <f>C314+C315+C316</f>
        <v>24021923.707786907</v>
      </c>
      <c r="D318" s="441">
        <f>D314+D315+D316</f>
        <v>23531412.848080963</v>
      </c>
      <c r="E318" s="441">
        <f>D318-C318</f>
        <v>-490510.85970594361</v>
      </c>
      <c r="F318" s="449">
        <f>IF(C318=0,0,E318/C318)</f>
        <v>-2.0419299706082257E-2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759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7596263.7442070665</v>
      </c>
      <c r="D322" s="441">
        <f>LN_ID22</f>
        <v>5735856.1539444691</v>
      </c>
      <c r="E322" s="441">
        <f>LN_IV2-C322</f>
        <v>-1860407.5902625974</v>
      </c>
      <c r="F322" s="449">
        <f>IF(C322=0,0,E322/C322)</f>
        <v>-0.24491087367541048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745</v>
      </c>
      <c r="C323" s="441">
        <f>C162+C176</f>
        <v>227895.93837337993</v>
      </c>
      <c r="D323" s="441">
        <f>LN_IE10+LN_IE22</f>
        <v>335953.57158344181</v>
      </c>
      <c r="E323" s="441">
        <f>LN_IV3-C323</f>
        <v>108057.63321006187</v>
      </c>
      <c r="F323" s="449">
        <f>IF(C323=0,0,E323/C323)</f>
        <v>0.47415339642000337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760</v>
      </c>
      <c r="C324" s="441">
        <f>C92+C106</f>
        <v>5256469.0398292346</v>
      </c>
      <c r="D324" s="441">
        <f>LN_IC10+LN_IC22</f>
        <v>4277614.6944223102</v>
      </c>
      <c r="E324" s="441">
        <f>LN_IV1-C324</f>
        <v>-978854.34540692437</v>
      </c>
      <c r="F324" s="449">
        <f>IF(C324=0,0,E324/C324)</f>
        <v>-0.18621898806783882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761</v>
      </c>
      <c r="C325" s="516">
        <f>C324+C322+C323</f>
        <v>13080628.72240968</v>
      </c>
      <c r="D325" s="516">
        <f>LN_IV1+LN_IV2+LN_IV3</f>
        <v>10349424.419950221</v>
      </c>
      <c r="E325" s="441">
        <f>LN_IV4-C325</f>
        <v>-2731204.3024594598</v>
      </c>
      <c r="F325" s="449">
        <f>IF(C325=0,0,E325/C325)</f>
        <v>-0.20879763201140106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762</v>
      </c>
      <c r="B327" s="530" t="s">
        <v>763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764</v>
      </c>
      <c r="C329" s="518">
        <v>14779838</v>
      </c>
      <c r="D329" s="518">
        <v>13293414</v>
      </c>
      <c r="E329" s="518">
        <f t="shared" ref="E329:E335" si="34">D329-C329</f>
        <v>-1486424</v>
      </c>
      <c r="F329" s="542">
        <f t="shared" ref="F329:F335" si="35">IF(C329=0,0,E329/C329)</f>
        <v>-0.10057106173964829</v>
      </c>
    </row>
    <row r="330" spans="1:22" s="420" customFormat="1" ht="15.75" customHeight="1" x14ac:dyDescent="0.2">
      <c r="A330" s="451">
        <v>2</v>
      </c>
      <c r="B330" s="447" t="s">
        <v>765</v>
      </c>
      <c r="C330" s="516">
        <v>11602393</v>
      </c>
      <c r="D330" s="516">
        <v>-4432141</v>
      </c>
      <c r="E330" s="518">
        <f t="shared" si="34"/>
        <v>-16034534</v>
      </c>
      <c r="F330" s="543">
        <f t="shared" si="35"/>
        <v>-1.3820023162463122</v>
      </c>
    </row>
    <row r="331" spans="1:22" s="420" customFormat="1" ht="15.75" customHeight="1" x14ac:dyDescent="0.2">
      <c r="A331" s="427">
        <v>3</v>
      </c>
      <c r="B331" s="447" t="s">
        <v>766</v>
      </c>
      <c r="C331" s="516">
        <v>323643197</v>
      </c>
      <c r="D331" s="516">
        <v>298930165</v>
      </c>
      <c r="E331" s="518">
        <f t="shared" si="34"/>
        <v>-24713032</v>
      </c>
      <c r="F331" s="542">
        <f t="shared" si="35"/>
        <v>-7.6358879868560936E-2</v>
      </c>
    </row>
    <row r="332" spans="1:22" s="420" customFormat="1" ht="27" customHeight="1" x14ac:dyDescent="0.2">
      <c r="A332" s="451">
        <v>4</v>
      </c>
      <c r="B332" s="447" t="s">
        <v>767</v>
      </c>
      <c r="C332" s="516">
        <v>0</v>
      </c>
      <c r="D332" s="516">
        <v>9026355</v>
      </c>
      <c r="E332" s="518">
        <f t="shared" si="34"/>
        <v>9026355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768</v>
      </c>
      <c r="C333" s="516">
        <v>691987197</v>
      </c>
      <c r="D333" s="516">
        <v>718354285</v>
      </c>
      <c r="E333" s="518">
        <f t="shared" si="34"/>
        <v>26367088</v>
      </c>
      <c r="F333" s="542">
        <f t="shared" si="35"/>
        <v>3.8103433292278097E-2</v>
      </c>
    </row>
    <row r="334" spans="1:22" s="420" customFormat="1" ht="15.75" customHeight="1" x14ac:dyDescent="0.2">
      <c r="A334" s="427">
        <v>6</v>
      </c>
      <c r="B334" s="447" t="s">
        <v>769</v>
      </c>
      <c r="C334" s="516">
        <v>2907353</v>
      </c>
      <c r="D334" s="516">
        <v>3531183</v>
      </c>
      <c r="E334" s="516">
        <f t="shared" si="34"/>
        <v>623830</v>
      </c>
      <c r="F334" s="543">
        <f t="shared" si="35"/>
        <v>0.21456974780840166</v>
      </c>
    </row>
    <row r="335" spans="1:22" s="420" customFormat="1" ht="15.75" customHeight="1" x14ac:dyDescent="0.2">
      <c r="A335" s="451">
        <v>7</v>
      </c>
      <c r="B335" s="447" t="s">
        <v>770</v>
      </c>
      <c r="C335" s="516">
        <v>17666590</v>
      </c>
      <c r="D335" s="516">
        <v>19253005</v>
      </c>
      <c r="E335" s="516">
        <f t="shared" si="34"/>
        <v>1586415</v>
      </c>
      <c r="F335" s="542">
        <f t="shared" si="35"/>
        <v>8.9797465158811068E-2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E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631</v>
      </c>
      <c r="B3" s="820"/>
      <c r="C3" s="820"/>
      <c r="D3" s="820"/>
      <c r="E3" s="820"/>
    </row>
    <row r="4" spans="1:5" s="428" customFormat="1" ht="15.75" customHeight="1" x14ac:dyDescent="0.25">
      <c r="A4" s="820" t="s">
        <v>771</v>
      </c>
      <c r="B4" s="820"/>
      <c r="C4" s="820"/>
      <c r="D4" s="820"/>
      <c r="E4" s="820"/>
    </row>
    <row r="5" spans="1:5" s="428" customFormat="1" ht="15.75" customHeight="1" x14ac:dyDescent="0.25">
      <c r="A5" s="820" t="s">
        <v>772</v>
      </c>
      <c r="B5" s="820"/>
      <c r="C5" s="820"/>
      <c r="D5" s="820"/>
      <c r="E5" s="820"/>
    </row>
    <row r="6" spans="1:5" s="428" customFormat="1" ht="15.75" customHeight="1" x14ac:dyDescent="0.25">
      <c r="A6" s="820" t="s">
        <v>773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774</v>
      </c>
      <c r="D9" s="573" t="s">
        <v>775</v>
      </c>
      <c r="E9" s="573" t="s">
        <v>776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777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778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658</v>
      </c>
      <c r="C14" s="589">
        <v>72758907</v>
      </c>
      <c r="D14" s="589">
        <v>70397042</v>
      </c>
      <c r="E14" s="590">
        <f t="shared" ref="E14:E22" si="0">D14-C14</f>
        <v>-2361865</v>
      </c>
    </row>
    <row r="15" spans="1:5" s="421" customFormat="1" x14ac:dyDescent="0.2">
      <c r="A15" s="588">
        <v>2</v>
      </c>
      <c r="B15" s="587" t="s">
        <v>637</v>
      </c>
      <c r="C15" s="589">
        <v>156683829</v>
      </c>
      <c r="D15" s="591">
        <v>160976571</v>
      </c>
      <c r="E15" s="590">
        <f t="shared" si="0"/>
        <v>4292742</v>
      </c>
    </row>
    <row r="16" spans="1:5" s="421" customFormat="1" x14ac:dyDescent="0.2">
      <c r="A16" s="588">
        <v>3</v>
      </c>
      <c r="B16" s="587" t="s">
        <v>779</v>
      </c>
      <c r="C16" s="589">
        <v>48354241</v>
      </c>
      <c r="D16" s="591">
        <v>50068391</v>
      </c>
      <c r="E16" s="590">
        <f t="shared" si="0"/>
        <v>1714150</v>
      </c>
    </row>
    <row r="17" spans="1:5" s="421" customFormat="1" x14ac:dyDescent="0.2">
      <c r="A17" s="588">
        <v>4</v>
      </c>
      <c r="B17" s="587" t="s">
        <v>115</v>
      </c>
      <c r="C17" s="589">
        <v>47872697</v>
      </c>
      <c r="D17" s="591">
        <v>49696839</v>
      </c>
      <c r="E17" s="590">
        <f t="shared" si="0"/>
        <v>1824142</v>
      </c>
    </row>
    <row r="18" spans="1:5" s="421" customFormat="1" x14ac:dyDescent="0.2">
      <c r="A18" s="588">
        <v>5</v>
      </c>
      <c r="B18" s="587" t="s">
        <v>745</v>
      </c>
      <c r="C18" s="589">
        <v>481544</v>
      </c>
      <c r="D18" s="591">
        <v>371552</v>
      </c>
      <c r="E18" s="590">
        <f t="shared" si="0"/>
        <v>-109992</v>
      </c>
    </row>
    <row r="19" spans="1:5" s="421" customFormat="1" x14ac:dyDescent="0.2">
      <c r="A19" s="588">
        <v>6</v>
      </c>
      <c r="B19" s="587" t="s">
        <v>424</v>
      </c>
      <c r="C19" s="589">
        <v>12748626</v>
      </c>
      <c r="D19" s="591">
        <v>11605898</v>
      </c>
      <c r="E19" s="590">
        <f t="shared" si="0"/>
        <v>-1142728</v>
      </c>
    </row>
    <row r="20" spans="1:5" s="421" customFormat="1" x14ac:dyDescent="0.2">
      <c r="A20" s="588">
        <v>7</v>
      </c>
      <c r="B20" s="587" t="s">
        <v>760</v>
      </c>
      <c r="C20" s="589">
        <v>935031</v>
      </c>
      <c r="D20" s="591">
        <v>1115273</v>
      </c>
      <c r="E20" s="590">
        <f t="shared" si="0"/>
        <v>180242</v>
      </c>
    </row>
    <row r="21" spans="1:5" s="421" customFormat="1" x14ac:dyDescent="0.2">
      <c r="A21" s="588"/>
      <c r="B21" s="592" t="s">
        <v>780</v>
      </c>
      <c r="C21" s="593">
        <f>SUM(C15+C16+C19)</f>
        <v>217786696</v>
      </c>
      <c r="D21" s="593">
        <f>SUM(D15+D16+D19)</f>
        <v>222650860</v>
      </c>
      <c r="E21" s="593">
        <f t="shared" si="0"/>
        <v>4864164</v>
      </c>
    </row>
    <row r="22" spans="1:5" s="421" customFormat="1" x14ac:dyDescent="0.2">
      <c r="A22" s="588"/>
      <c r="B22" s="592" t="s">
        <v>465</v>
      </c>
      <c r="C22" s="593">
        <f>SUM(C14+C21)</f>
        <v>290545603</v>
      </c>
      <c r="D22" s="593">
        <f>SUM(D14+D21)</f>
        <v>293047902</v>
      </c>
      <c r="E22" s="593">
        <f t="shared" si="0"/>
        <v>2502299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781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658</v>
      </c>
      <c r="C25" s="589">
        <v>185599975</v>
      </c>
      <c r="D25" s="589">
        <v>186816281</v>
      </c>
      <c r="E25" s="590">
        <f t="shared" ref="E25:E33" si="1">D25-C25</f>
        <v>1216306</v>
      </c>
    </row>
    <row r="26" spans="1:5" s="421" customFormat="1" x14ac:dyDescent="0.2">
      <c r="A26" s="588">
        <v>2</v>
      </c>
      <c r="B26" s="587" t="s">
        <v>637</v>
      </c>
      <c r="C26" s="589">
        <v>123938243</v>
      </c>
      <c r="D26" s="591">
        <v>132585334</v>
      </c>
      <c r="E26" s="590">
        <f t="shared" si="1"/>
        <v>8647091</v>
      </c>
    </row>
    <row r="27" spans="1:5" s="421" customFormat="1" x14ac:dyDescent="0.2">
      <c r="A27" s="588">
        <v>3</v>
      </c>
      <c r="B27" s="587" t="s">
        <v>779</v>
      </c>
      <c r="C27" s="589">
        <v>68687725</v>
      </c>
      <c r="D27" s="591">
        <v>73265459</v>
      </c>
      <c r="E27" s="590">
        <f t="shared" si="1"/>
        <v>4577734</v>
      </c>
    </row>
    <row r="28" spans="1:5" s="421" customFormat="1" x14ac:dyDescent="0.2">
      <c r="A28" s="588">
        <v>4</v>
      </c>
      <c r="B28" s="587" t="s">
        <v>115</v>
      </c>
      <c r="C28" s="589">
        <v>67648357</v>
      </c>
      <c r="D28" s="591">
        <v>71559253</v>
      </c>
      <c r="E28" s="590">
        <f t="shared" si="1"/>
        <v>3910896</v>
      </c>
    </row>
    <row r="29" spans="1:5" s="421" customFormat="1" x14ac:dyDescent="0.2">
      <c r="A29" s="588">
        <v>5</v>
      </c>
      <c r="B29" s="587" t="s">
        <v>745</v>
      </c>
      <c r="C29" s="589">
        <v>1039368</v>
      </c>
      <c r="D29" s="591">
        <v>1706206</v>
      </c>
      <c r="E29" s="590">
        <f t="shared" si="1"/>
        <v>666838</v>
      </c>
    </row>
    <row r="30" spans="1:5" s="421" customFormat="1" x14ac:dyDescent="0.2">
      <c r="A30" s="588">
        <v>6</v>
      </c>
      <c r="B30" s="587" t="s">
        <v>424</v>
      </c>
      <c r="C30" s="589">
        <v>23215651</v>
      </c>
      <c r="D30" s="591">
        <v>23612888</v>
      </c>
      <c r="E30" s="590">
        <f t="shared" si="1"/>
        <v>397237</v>
      </c>
    </row>
    <row r="31" spans="1:5" s="421" customFormat="1" x14ac:dyDescent="0.2">
      <c r="A31" s="588">
        <v>7</v>
      </c>
      <c r="B31" s="587" t="s">
        <v>760</v>
      </c>
      <c r="C31" s="590">
        <v>10178944</v>
      </c>
      <c r="D31" s="594">
        <v>10987518</v>
      </c>
      <c r="E31" s="590">
        <f t="shared" si="1"/>
        <v>808574</v>
      </c>
    </row>
    <row r="32" spans="1:5" s="421" customFormat="1" x14ac:dyDescent="0.2">
      <c r="A32" s="588"/>
      <c r="B32" s="592" t="s">
        <v>782</v>
      </c>
      <c r="C32" s="593">
        <f>SUM(C26+C27+C30)</f>
        <v>215841619</v>
      </c>
      <c r="D32" s="593">
        <f>SUM(D26+D27+D30)</f>
        <v>229463681</v>
      </c>
      <c r="E32" s="593">
        <f t="shared" si="1"/>
        <v>13622062</v>
      </c>
    </row>
    <row r="33" spans="1:5" s="421" customFormat="1" x14ac:dyDescent="0.2">
      <c r="A33" s="588"/>
      <c r="B33" s="592" t="s">
        <v>467</v>
      </c>
      <c r="C33" s="593">
        <f>SUM(C25+C32)</f>
        <v>401441594</v>
      </c>
      <c r="D33" s="593">
        <f>SUM(D25+D32)</f>
        <v>416279962</v>
      </c>
      <c r="E33" s="593">
        <f t="shared" si="1"/>
        <v>14838368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655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783</v>
      </c>
      <c r="C36" s="590">
        <f t="shared" ref="C36:D42" si="2">C14+C25</f>
        <v>258358882</v>
      </c>
      <c r="D36" s="590">
        <f t="shared" si="2"/>
        <v>257213323</v>
      </c>
      <c r="E36" s="590">
        <f t="shared" ref="E36:E44" si="3">D36-C36</f>
        <v>-1145559</v>
      </c>
    </row>
    <row r="37" spans="1:5" s="421" customFormat="1" x14ac:dyDescent="0.2">
      <c r="A37" s="588">
        <v>2</v>
      </c>
      <c r="B37" s="587" t="s">
        <v>784</v>
      </c>
      <c r="C37" s="590">
        <f t="shared" si="2"/>
        <v>280622072</v>
      </c>
      <c r="D37" s="590">
        <f t="shared" si="2"/>
        <v>293561905</v>
      </c>
      <c r="E37" s="590">
        <f t="shared" si="3"/>
        <v>12939833</v>
      </c>
    </row>
    <row r="38" spans="1:5" s="421" customFormat="1" x14ac:dyDescent="0.2">
      <c r="A38" s="588">
        <v>3</v>
      </c>
      <c r="B38" s="587" t="s">
        <v>785</v>
      </c>
      <c r="C38" s="590">
        <f t="shared" si="2"/>
        <v>117041966</v>
      </c>
      <c r="D38" s="590">
        <f t="shared" si="2"/>
        <v>123333850</v>
      </c>
      <c r="E38" s="590">
        <f t="shared" si="3"/>
        <v>6291884</v>
      </c>
    </row>
    <row r="39" spans="1:5" s="421" customFormat="1" x14ac:dyDescent="0.2">
      <c r="A39" s="588">
        <v>4</v>
      </c>
      <c r="B39" s="587" t="s">
        <v>786</v>
      </c>
      <c r="C39" s="590">
        <f t="shared" si="2"/>
        <v>115521054</v>
      </c>
      <c r="D39" s="590">
        <f t="shared" si="2"/>
        <v>121256092</v>
      </c>
      <c r="E39" s="590">
        <f t="shared" si="3"/>
        <v>5735038</v>
      </c>
    </row>
    <row r="40" spans="1:5" s="421" customFormat="1" x14ac:dyDescent="0.2">
      <c r="A40" s="588">
        <v>5</v>
      </c>
      <c r="B40" s="587" t="s">
        <v>787</v>
      </c>
      <c r="C40" s="590">
        <f t="shared" si="2"/>
        <v>1520912</v>
      </c>
      <c r="D40" s="590">
        <f t="shared" si="2"/>
        <v>2077758</v>
      </c>
      <c r="E40" s="590">
        <f t="shared" si="3"/>
        <v>556846</v>
      </c>
    </row>
    <row r="41" spans="1:5" s="421" customFormat="1" x14ac:dyDescent="0.2">
      <c r="A41" s="588">
        <v>6</v>
      </c>
      <c r="B41" s="587" t="s">
        <v>788</v>
      </c>
      <c r="C41" s="590">
        <f t="shared" si="2"/>
        <v>35964277</v>
      </c>
      <c r="D41" s="590">
        <f t="shared" si="2"/>
        <v>35218786</v>
      </c>
      <c r="E41" s="590">
        <f t="shared" si="3"/>
        <v>-745491</v>
      </c>
    </row>
    <row r="42" spans="1:5" s="421" customFormat="1" x14ac:dyDescent="0.2">
      <c r="A42" s="588">
        <v>7</v>
      </c>
      <c r="B42" s="587" t="s">
        <v>789</v>
      </c>
      <c r="C42" s="590">
        <f t="shared" si="2"/>
        <v>11113975</v>
      </c>
      <c r="D42" s="590">
        <f t="shared" si="2"/>
        <v>12102791</v>
      </c>
      <c r="E42" s="590">
        <f t="shared" si="3"/>
        <v>988816</v>
      </c>
    </row>
    <row r="43" spans="1:5" s="421" customFormat="1" x14ac:dyDescent="0.2">
      <c r="A43" s="588"/>
      <c r="B43" s="592" t="s">
        <v>790</v>
      </c>
      <c r="C43" s="593">
        <f>SUM(C37+C38+C41)</f>
        <v>433628315</v>
      </c>
      <c r="D43" s="593">
        <f>SUM(D37+D38+D41)</f>
        <v>452114541</v>
      </c>
      <c r="E43" s="593">
        <f t="shared" si="3"/>
        <v>18486226</v>
      </c>
    </row>
    <row r="44" spans="1:5" s="421" customFormat="1" x14ac:dyDescent="0.2">
      <c r="A44" s="588"/>
      <c r="B44" s="592" t="s">
        <v>727</v>
      </c>
      <c r="C44" s="593">
        <f>SUM(C36+C43)</f>
        <v>691987197</v>
      </c>
      <c r="D44" s="593">
        <f>SUM(D36+D43)</f>
        <v>709327864</v>
      </c>
      <c r="E44" s="593">
        <f t="shared" si="3"/>
        <v>17340667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791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658</v>
      </c>
      <c r="C47" s="589">
        <v>51860378</v>
      </c>
      <c r="D47" s="589">
        <v>51821467</v>
      </c>
      <c r="E47" s="590">
        <f t="shared" ref="E47:E55" si="4">D47-C47</f>
        <v>-38911</v>
      </c>
    </row>
    <row r="48" spans="1:5" s="421" customFormat="1" x14ac:dyDescent="0.2">
      <c r="A48" s="588">
        <v>2</v>
      </c>
      <c r="B48" s="587" t="s">
        <v>637</v>
      </c>
      <c r="C48" s="589">
        <v>73626752</v>
      </c>
      <c r="D48" s="591">
        <v>71375778</v>
      </c>
      <c r="E48" s="590">
        <f t="shared" si="4"/>
        <v>-2250974</v>
      </c>
    </row>
    <row r="49" spans="1:5" s="421" customFormat="1" x14ac:dyDescent="0.2">
      <c r="A49" s="588">
        <v>3</v>
      </c>
      <c r="B49" s="587" t="s">
        <v>779</v>
      </c>
      <c r="C49" s="589">
        <v>16253524</v>
      </c>
      <c r="D49" s="591">
        <v>16104536</v>
      </c>
      <c r="E49" s="590">
        <f t="shared" si="4"/>
        <v>-148988</v>
      </c>
    </row>
    <row r="50" spans="1:5" s="421" customFormat="1" x14ac:dyDescent="0.2">
      <c r="A50" s="588">
        <v>4</v>
      </c>
      <c r="B50" s="587" t="s">
        <v>115</v>
      </c>
      <c r="C50" s="589">
        <v>16110274</v>
      </c>
      <c r="D50" s="591">
        <v>15986391</v>
      </c>
      <c r="E50" s="590">
        <f t="shared" si="4"/>
        <v>-123883</v>
      </c>
    </row>
    <row r="51" spans="1:5" s="421" customFormat="1" x14ac:dyDescent="0.2">
      <c r="A51" s="588">
        <v>5</v>
      </c>
      <c r="B51" s="587" t="s">
        <v>745</v>
      </c>
      <c r="C51" s="589">
        <v>143250</v>
      </c>
      <c r="D51" s="591">
        <v>118145</v>
      </c>
      <c r="E51" s="590">
        <f t="shared" si="4"/>
        <v>-25105</v>
      </c>
    </row>
    <row r="52" spans="1:5" s="421" customFormat="1" x14ac:dyDescent="0.2">
      <c r="A52" s="588">
        <v>6</v>
      </c>
      <c r="B52" s="587" t="s">
        <v>424</v>
      </c>
      <c r="C52" s="589">
        <v>5510106</v>
      </c>
      <c r="D52" s="591">
        <v>4936371</v>
      </c>
      <c r="E52" s="590">
        <f t="shared" si="4"/>
        <v>-573735</v>
      </c>
    </row>
    <row r="53" spans="1:5" s="421" customFormat="1" x14ac:dyDescent="0.2">
      <c r="A53" s="588">
        <v>7</v>
      </c>
      <c r="B53" s="587" t="s">
        <v>760</v>
      </c>
      <c r="C53" s="589">
        <v>0</v>
      </c>
      <c r="D53" s="591">
        <v>0</v>
      </c>
      <c r="E53" s="590">
        <f t="shared" si="4"/>
        <v>0</v>
      </c>
    </row>
    <row r="54" spans="1:5" s="421" customFormat="1" x14ac:dyDescent="0.2">
      <c r="A54" s="588"/>
      <c r="B54" s="592" t="s">
        <v>792</v>
      </c>
      <c r="C54" s="593">
        <f>SUM(C48+C49+C52)</f>
        <v>95390382</v>
      </c>
      <c r="D54" s="593">
        <f>SUM(D48+D49+D52)</f>
        <v>92416685</v>
      </c>
      <c r="E54" s="593">
        <f t="shared" si="4"/>
        <v>-2973697</v>
      </c>
    </row>
    <row r="55" spans="1:5" s="421" customFormat="1" x14ac:dyDescent="0.2">
      <c r="A55" s="588"/>
      <c r="B55" s="592" t="s">
        <v>466</v>
      </c>
      <c r="C55" s="593">
        <f>SUM(C47+C54)</f>
        <v>147250760</v>
      </c>
      <c r="D55" s="593">
        <f>SUM(D47+D54)</f>
        <v>144238152</v>
      </c>
      <c r="E55" s="593">
        <f t="shared" si="4"/>
        <v>-3012608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793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658</v>
      </c>
      <c r="C58" s="589">
        <v>105152745</v>
      </c>
      <c r="D58" s="589">
        <v>101871248</v>
      </c>
      <c r="E58" s="590">
        <f t="shared" ref="E58:E66" si="5">D58-C58</f>
        <v>-3281497</v>
      </c>
    </row>
    <row r="59" spans="1:5" s="421" customFormat="1" x14ac:dyDescent="0.2">
      <c r="A59" s="588">
        <v>2</v>
      </c>
      <c r="B59" s="587" t="s">
        <v>637</v>
      </c>
      <c r="C59" s="589">
        <v>33437310</v>
      </c>
      <c r="D59" s="591">
        <v>31200240</v>
      </c>
      <c r="E59" s="590">
        <f t="shared" si="5"/>
        <v>-2237070</v>
      </c>
    </row>
    <row r="60" spans="1:5" s="421" customFormat="1" x14ac:dyDescent="0.2">
      <c r="A60" s="588">
        <v>3</v>
      </c>
      <c r="B60" s="587" t="s">
        <v>779</v>
      </c>
      <c r="C60" s="589">
        <f>C61+C62</f>
        <v>19158243</v>
      </c>
      <c r="D60" s="591">
        <f>D61+D62</f>
        <v>19834786</v>
      </c>
      <c r="E60" s="590">
        <f t="shared" si="5"/>
        <v>676543</v>
      </c>
    </row>
    <row r="61" spans="1:5" s="421" customFormat="1" x14ac:dyDescent="0.2">
      <c r="A61" s="588">
        <v>4</v>
      </c>
      <c r="B61" s="587" t="s">
        <v>115</v>
      </c>
      <c r="C61" s="589">
        <v>18889853</v>
      </c>
      <c r="D61" s="591">
        <v>19407037</v>
      </c>
      <c r="E61" s="590">
        <f t="shared" si="5"/>
        <v>517184</v>
      </c>
    </row>
    <row r="62" spans="1:5" s="421" customFormat="1" x14ac:dyDescent="0.2">
      <c r="A62" s="588">
        <v>5</v>
      </c>
      <c r="B62" s="587" t="s">
        <v>745</v>
      </c>
      <c r="C62" s="589">
        <v>268390</v>
      </c>
      <c r="D62" s="591">
        <v>427749</v>
      </c>
      <c r="E62" s="590">
        <f t="shared" si="5"/>
        <v>159359</v>
      </c>
    </row>
    <row r="63" spans="1:5" s="421" customFormat="1" x14ac:dyDescent="0.2">
      <c r="A63" s="588">
        <v>6</v>
      </c>
      <c r="B63" s="587" t="s">
        <v>424</v>
      </c>
      <c r="C63" s="589">
        <v>7041745</v>
      </c>
      <c r="D63" s="591">
        <v>6217879</v>
      </c>
      <c r="E63" s="590">
        <f t="shared" si="5"/>
        <v>-823866</v>
      </c>
    </row>
    <row r="64" spans="1:5" s="421" customFormat="1" x14ac:dyDescent="0.2">
      <c r="A64" s="588">
        <v>7</v>
      </c>
      <c r="B64" s="587" t="s">
        <v>760</v>
      </c>
      <c r="C64" s="589">
        <v>0</v>
      </c>
      <c r="D64" s="591">
        <v>0</v>
      </c>
      <c r="E64" s="590">
        <f t="shared" si="5"/>
        <v>0</v>
      </c>
    </row>
    <row r="65" spans="1:5" s="421" customFormat="1" x14ac:dyDescent="0.2">
      <c r="A65" s="588"/>
      <c r="B65" s="592" t="s">
        <v>794</v>
      </c>
      <c r="C65" s="593">
        <f>SUM(C59+C60+C63)</f>
        <v>59637298</v>
      </c>
      <c r="D65" s="593">
        <f>SUM(D59+D60+D63)</f>
        <v>57252905</v>
      </c>
      <c r="E65" s="593">
        <f t="shared" si="5"/>
        <v>-2384393</v>
      </c>
    </row>
    <row r="66" spans="1:5" s="421" customFormat="1" x14ac:dyDescent="0.2">
      <c r="A66" s="588"/>
      <c r="B66" s="592" t="s">
        <v>468</v>
      </c>
      <c r="C66" s="593">
        <f>SUM(C58+C65)</f>
        <v>164790043</v>
      </c>
      <c r="D66" s="593">
        <f>SUM(D58+D65)</f>
        <v>159124153</v>
      </c>
      <c r="E66" s="593">
        <f t="shared" si="5"/>
        <v>-5665890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656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783</v>
      </c>
      <c r="C69" s="590">
        <f t="shared" ref="C69:D75" si="6">C47+C58</f>
        <v>157013123</v>
      </c>
      <c r="D69" s="590">
        <f t="shared" si="6"/>
        <v>153692715</v>
      </c>
      <c r="E69" s="590">
        <f t="shared" ref="E69:E77" si="7">D69-C69</f>
        <v>-3320408</v>
      </c>
    </row>
    <row r="70" spans="1:5" s="421" customFormat="1" x14ac:dyDescent="0.2">
      <c r="A70" s="588">
        <v>2</v>
      </c>
      <c r="B70" s="587" t="s">
        <v>784</v>
      </c>
      <c r="C70" s="590">
        <f t="shared" si="6"/>
        <v>107064062</v>
      </c>
      <c r="D70" s="590">
        <f t="shared" si="6"/>
        <v>102576018</v>
      </c>
      <c r="E70" s="590">
        <f t="shared" si="7"/>
        <v>-4488044</v>
      </c>
    </row>
    <row r="71" spans="1:5" s="421" customFormat="1" x14ac:dyDescent="0.2">
      <c r="A71" s="588">
        <v>3</v>
      </c>
      <c r="B71" s="587" t="s">
        <v>785</v>
      </c>
      <c r="C71" s="590">
        <f t="shared" si="6"/>
        <v>35411767</v>
      </c>
      <c r="D71" s="590">
        <f t="shared" si="6"/>
        <v>35939322</v>
      </c>
      <c r="E71" s="590">
        <f t="shared" si="7"/>
        <v>527555</v>
      </c>
    </row>
    <row r="72" spans="1:5" s="421" customFormat="1" x14ac:dyDescent="0.2">
      <c r="A72" s="588">
        <v>4</v>
      </c>
      <c r="B72" s="587" t="s">
        <v>786</v>
      </c>
      <c r="C72" s="590">
        <f t="shared" si="6"/>
        <v>35000127</v>
      </c>
      <c r="D72" s="590">
        <f t="shared" si="6"/>
        <v>35393428</v>
      </c>
      <c r="E72" s="590">
        <f t="shared" si="7"/>
        <v>393301</v>
      </c>
    </row>
    <row r="73" spans="1:5" s="421" customFormat="1" x14ac:dyDescent="0.2">
      <c r="A73" s="588">
        <v>5</v>
      </c>
      <c r="B73" s="587" t="s">
        <v>787</v>
      </c>
      <c r="C73" s="590">
        <f t="shared" si="6"/>
        <v>411640</v>
      </c>
      <c r="D73" s="590">
        <f t="shared" si="6"/>
        <v>545894</v>
      </c>
      <c r="E73" s="590">
        <f t="shared" si="7"/>
        <v>134254</v>
      </c>
    </row>
    <row r="74" spans="1:5" s="421" customFormat="1" x14ac:dyDescent="0.2">
      <c r="A74" s="588">
        <v>6</v>
      </c>
      <c r="B74" s="587" t="s">
        <v>788</v>
      </c>
      <c r="C74" s="590">
        <f t="shared" si="6"/>
        <v>12551851</v>
      </c>
      <c r="D74" s="590">
        <f t="shared" si="6"/>
        <v>11154250</v>
      </c>
      <c r="E74" s="590">
        <f t="shared" si="7"/>
        <v>-1397601</v>
      </c>
    </row>
    <row r="75" spans="1:5" s="421" customFormat="1" x14ac:dyDescent="0.2">
      <c r="A75" s="588">
        <v>7</v>
      </c>
      <c r="B75" s="587" t="s">
        <v>789</v>
      </c>
      <c r="C75" s="590">
        <f t="shared" si="6"/>
        <v>0</v>
      </c>
      <c r="D75" s="590">
        <f t="shared" si="6"/>
        <v>0</v>
      </c>
      <c r="E75" s="590">
        <f t="shared" si="7"/>
        <v>0</v>
      </c>
    </row>
    <row r="76" spans="1:5" s="421" customFormat="1" x14ac:dyDescent="0.2">
      <c r="A76" s="588"/>
      <c r="B76" s="592" t="s">
        <v>795</v>
      </c>
      <c r="C76" s="593">
        <f>SUM(C70+C71+C74)</f>
        <v>155027680</v>
      </c>
      <c r="D76" s="593">
        <f>SUM(D70+D71+D74)</f>
        <v>149669590</v>
      </c>
      <c r="E76" s="593">
        <f t="shared" si="7"/>
        <v>-5358090</v>
      </c>
    </row>
    <row r="77" spans="1:5" s="421" customFormat="1" x14ac:dyDescent="0.2">
      <c r="A77" s="588"/>
      <c r="B77" s="592" t="s">
        <v>728</v>
      </c>
      <c r="C77" s="593">
        <f>SUM(C69+C76)</f>
        <v>312040803</v>
      </c>
      <c r="D77" s="593">
        <f>SUM(D69+D76)</f>
        <v>303362305</v>
      </c>
      <c r="E77" s="593">
        <f t="shared" si="7"/>
        <v>-8678498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796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797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658</v>
      </c>
      <c r="C83" s="599">
        <f t="shared" ref="C83:D89" si="8">IF(C$44=0,0,C14/C$44)</f>
        <v>0.10514487452287358</v>
      </c>
      <c r="D83" s="599">
        <f t="shared" si="8"/>
        <v>9.9244715416959853E-2</v>
      </c>
      <c r="E83" s="599">
        <f t="shared" ref="E83:E91" si="9">D83-C83</f>
        <v>-5.9001591059137243E-3</v>
      </c>
    </row>
    <row r="84" spans="1:5" s="421" customFormat="1" x14ac:dyDescent="0.2">
      <c r="A84" s="588">
        <v>2</v>
      </c>
      <c r="B84" s="587" t="s">
        <v>637</v>
      </c>
      <c r="C84" s="599">
        <f t="shared" si="8"/>
        <v>0.22642590741458474</v>
      </c>
      <c r="D84" s="599">
        <f t="shared" si="8"/>
        <v>0.22694240445064484</v>
      </c>
      <c r="E84" s="599">
        <f t="shared" si="9"/>
        <v>5.16497036060104E-4</v>
      </c>
    </row>
    <row r="85" spans="1:5" s="421" customFormat="1" x14ac:dyDescent="0.2">
      <c r="A85" s="588">
        <v>3</v>
      </c>
      <c r="B85" s="587" t="s">
        <v>779</v>
      </c>
      <c r="C85" s="599">
        <f t="shared" si="8"/>
        <v>6.9877363641454776E-2</v>
      </c>
      <c r="D85" s="599">
        <f t="shared" si="8"/>
        <v>7.0585681940728048E-2</v>
      </c>
      <c r="E85" s="599">
        <f t="shared" si="9"/>
        <v>7.0831829927327228E-4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6.918147793419363E-2</v>
      </c>
      <c r="D86" s="599">
        <f t="shared" si="8"/>
        <v>7.0061873390610235E-2</v>
      </c>
      <c r="E86" s="599">
        <f t="shared" si="9"/>
        <v>8.8039545641660499E-4</v>
      </c>
    </row>
    <row r="87" spans="1:5" s="421" customFormat="1" x14ac:dyDescent="0.2">
      <c r="A87" s="588">
        <v>5</v>
      </c>
      <c r="B87" s="587" t="s">
        <v>745</v>
      </c>
      <c r="C87" s="599">
        <f t="shared" si="8"/>
        <v>6.9588570726114172E-4</v>
      </c>
      <c r="D87" s="599">
        <f t="shared" si="8"/>
        <v>5.2380855011780565E-4</v>
      </c>
      <c r="E87" s="599">
        <f t="shared" si="9"/>
        <v>-1.7207715714333608E-4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1.8423210798219437E-2</v>
      </c>
      <c r="D88" s="599">
        <f t="shared" si="8"/>
        <v>1.63618244665488E-2</v>
      </c>
      <c r="E88" s="599">
        <f t="shared" si="9"/>
        <v>-2.0613863316706373E-3</v>
      </c>
    </row>
    <row r="89" spans="1:5" s="421" customFormat="1" x14ac:dyDescent="0.2">
      <c r="A89" s="588">
        <v>7</v>
      </c>
      <c r="B89" s="587" t="s">
        <v>760</v>
      </c>
      <c r="C89" s="599">
        <f t="shared" si="8"/>
        <v>1.3512258666831952E-3</v>
      </c>
      <c r="D89" s="599">
        <f t="shared" si="8"/>
        <v>1.5722954878873896E-3</v>
      </c>
      <c r="E89" s="599">
        <f t="shared" si="9"/>
        <v>2.2106962120419437E-4</v>
      </c>
    </row>
    <row r="90" spans="1:5" s="421" customFormat="1" x14ac:dyDescent="0.2">
      <c r="A90" s="588"/>
      <c r="B90" s="592" t="s">
        <v>798</v>
      </c>
      <c r="C90" s="600">
        <f>SUM(C84+C85+C88)</f>
        <v>0.31472648185425894</v>
      </c>
      <c r="D90" s="600">
        <f>SUM(D84+D85+D88)</f>
        <v>0.31388991085792173</v>
      </c>
      <c r="E90" s="601">
        <f t="shared" si="9"/>
        <v>-8.3657099633721588E-4</v>
      </c>
    </row>
    <row r="91" spans="1:5" s="421" customFormat="1" x14ac:dyDescent="0.2">
      <c r="A91" s="588"/>
      <c r="B91" s="592" t="s">
        <v>799</v>
      </c>
      <c r="C91" s="600">
        <f>SUM(C83+C90)</f>
        <v>0.41987135637713252</v>
      </c>
      <c r="D91" s="600">
        <f>SUM(D83+D90)</f>
        <v>0.41313462627488157</v>
      </c>
      <c r="E91" s="601">
        <f t="shared" si="9"/>
        <v>-6.736730102250954E-3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800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658</v>
      </c>
      <c r="C95" s="599">
        <f t="shared" ref="C95:D101" si="10">IF(C$44=0,0,C25/C$44)</f>
        <v>0.26821301868681829</v>
      </c>
      <c r="D95" s="599">
        <f t="shared" si="10"/>
        <v>0.26337084792710186</v>
      </c>
      <c r="E95" s="599">
        <f t="shared" ref="E95:E103" si="11">D95-C95</f>
        <v>-4.8421707597164354E-3</v>
      </c>
    </row>
    <row r="96" spans="1:5" s="421" customFormat="1" x14ac:dyDescent="0.2">
      <c r="A96" s="588">
        <v>2</v>
      </c>
      <c r="B96" s="587" t="s">
        <v>637</v>
      </c>
      <c r="C96" s="599">
        <f t="shared" si="10"/>
        <v>0.1791048209234426</v>
      </c>
      <c r="D96" s="599">
        <f t="shared" si="10"/>
        <v>0.18691685570101896</v>
      </c>
      <c r="E96" s="599">
        <f t="shared" si="11"/>
        <v>7.8120347775763599E-3</v>
      </c>
    </row>
    <row r="97" spans="1:5" s="421" customFormat="1" x14ac:dyDescent="0.2">
      <c r="A97" s="588">
        <v>3</v>
      </c>
      <c r="B97" s="587" t="s">
        <v>779</v>
      </c>
      <c r="C97" s="599">
        <f t="shared" si="10"/>
        <v>9.9261554690295808E-2</v>
      </c>
      <c r="D97" s="599">
        <f t="shared" si="10"/>
        <v>0.10328856755583481</v>
      </c>
      <c r="E97" s="599">
        <f t="shared" si="11"/>
        <v>4.0270128655389981E-3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9.7759550022426214E-2</v>
      </c>
      <c r="D98" s="599">
        <f t="shared" si="10"/>
        <v>0.10088318340755327</v>
      </c>
      <c r="E98" s="599">
        <f t="shared" si="11"/>
        <v>3.1236333851270559E-3</v>
      </c>
    </row>
    <row r="99" spans="1:5" s="421" customFormat="1" x14ac:dyDescent="0.2">
      <c r="A99" s="588">
        <v>5</v>
      </c>
      <c r="B99" s="587" t="s">
        <v>745</v>
      </c>
      <c r="C99" s="599">
        <f t="shared" si="10"/>
        <v>1.5020046678695994E-3</v>
      </c>
      <c r="D99" s="599">
        <f t="shared" si="10"/>
        <v>2.4053841482815342E-3</v>
      </c>
      <c r="E99" s="599">
        <f t="shared" si="11"/>
        <v>9.0337948041193479E-4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3.3549249322310799E-2</v>
      </c>
      <c r="D100" s="599">
        <f t="shared" si="10"/>
        <v>3.3289102541162824E-2</v>
      </c>
      <c r="E100" s="599">
        <f t="shared" si="11"/>
        <v>-2.6014678114797546E-4</v>
      </c>
    </row>
    <row r="101" spans="1:5" s="421" customFormat="1" x14ac:dyDescent="0.2">
      <c r="A101" s="588">
        <v>7</v>
      </c>
      <c r="B101" s="587" t="s">
        <v>760</v>
      </c>
      <c r="C101" s="599">
        <f t="shared" si="10"/>
        <v>1.4709728798638452E-2</v>
      </c>
      <c r="D101" s="599">
        <f t="shared" si="10"/>
        <v>1.5490041428853274E-2</v>
      </c>
      <c r="E101" s="599">
        <f t="shared" si="11"/>
        <v>7.8031263021482132E-4</v>
      </c>
    </row>
    <row r="102" spans="1:5" s="421" customFormat="1" x14ac:dyDescent="0.2">
      <c r="A102" s="588"/>
      <c r="B102" s="592" t="s">
        <v>801</v>
      </c>
      <c r="C102" s="600">
        <f>SUM(C96+C97+C100)</f>
        <v>0.31191562493604919</v>
      </c>
      <c r="D102" s="600">
        <f>SUM(D96+D97+D100)</f>
        <v>0.32349452579801663</v>
      </c>
      <c r="E102" s="601">
        <f t="shared" si="11"/>
        <v>1.1578900861967445E-2</v>
      </c>
    </row>
    <row r="103" spans="1:5" s="421" customFormat="1" x14ac:dyDescent="0.2">
      <c r="A103" s="588"/>
      <c r="B103" s="592" t="s">
        <v>802</v>
      </c>
      <c r="C103" s="600">
        <f>SUM(C95+C102)</f>
        <v>0.58012864362286742</v>
      </c>
      <c r="D103" s="600">
        <f>SUM(D95+D102)</f>
        <v>0.58686537372511849</v>
      </c>
      <c r="E103" s="601">
        <f t="shared" si="11"/>
        <v>6.7367301022510651E-3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803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804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658</v>
      </c>
      <c r="C109" s="599">
        <f t="shared" ref="C109:D115" si="12">IF(C$77=0,0,C47/C$77)</f>
        <v>0.16619742514891553</v>
      </c>
      <c r="D109" s="599">
        <f t="shared" si="12"/>
        <v>0.17082368555974678</v>
      </c>
      <c r="E109" s="599">
        <f t="shared" ref="E109:E117" si="13">D109-C109</f>
        <v>4.6262604108312511E-3</v>
      </c>
    </row>
    <row r="110" spans="1:5" s="421" customFormat="1" x14ac:dyDescent="0.2">
      <c r="A110" s="588">
        <v>2</v>
      </c>
      <c r="B110" s="587" t="s">
        <v>637</v>
      </c>
      <c r="C110" s="599">
        <f t="shared" si="12"/>
        <v>0.23595232191477214</v>
      </c>
      <c r="D110" s="599">
        <f t="shared" si="12"/>
        <v>0.23528229059309133</v>
      </c>
      <c r="E110" s="599">
        <f t="shared" si="13"/>
        <v>-6.7003132168080848E-4</v>
      </c>
    </row>
    <row r="111" spans="1:5" s="421" customFormat="1" x14ac:dyDescent="0.2">
      <c r="A111" s="588">
        <v>3</v>
      </c>
      <c r="B111" s="587" t="s">
        <v>779</v>
      </c>
      <c r="C111" s="599">
        <f t="shared" si="12"/>
        <v>5.2087816220624202E-2</v>
      </c>
      <c r="D111" s="599">
        <f t="shared" si="12"/>
        <v>5.3086806549679927E-2</v>
      </c>
      <c r="E111" s="599">
        <f t="shared" si="13"/>
        <v>9.9899032905572532E-4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5.1628741642483211E-2</v>
      </c>
      <c r="D112" s="599">
        <f t="shared" si="12"/>
        <v>5.2697354735618852E-2</v>
      </c>
      <c r="E112" s="599">
        <f t="shared" si="13"/>
        <v>1.0686130931356411E-3</v>
      </c>
    </row>
    <row r="113" spans="1:5" s="421" customFormat="1" x14ac:dyDescent="0.2">
      <c r="A113" s="588">
        <v>5</v>
      </c>
      <c r="B113" s="587" t="s">
        <v>745</v>
      </c>
      <c r="C113" s="599">
        <f t="shared" si="12"/>
        <v>4.5907457814098752E-4</v>
      </c>
      <c r="D113" s="599">
        <f t="shared" si="12"/>
        <v>3.894518140610779E-4</v>
      </c>
      <c r="E113" s="599">
        <f t="shared" si="13"/>
        <v>-6.9622764079909619E-5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1.7658286823470325E-2</v>
      </c>
      <c r="D114" s="599">
        <f t="shared" si="12"/>
        <v>1.6272196375881308E-2</v>
      </c>
      <c r="E114" s="599">
        <f t="shared" si="13"/>
        <v>-1.3860904475890175E-3</v>
      </c>
    </row>
    <row r="115" spans="1:5" s="421" customFormat="1" x14ac:dyDescent="0.2">
      <c r="A115" s="588">
        <v>7</v>
      </c>
      <c r="B115" s="587" t="s">
        <v>760</v>
      </c>
      <c r="C115" s="599">
        <f t="shared" si="12"/>
        <v>0</v>
      </c>
      <c r="D115" s="599">
        <f t="shared" si="12"/>
        <v>0</v>
      </c>
      <c r="E115" s="599">
        <f t="shared" si="13"/>
        <v>0</v>
      </c>
    </row>
    <row r="116" spans="1:5" s="421" customFormat="1" x14ac:dyDescent="0.2">
      <c r="A116" s="588"/>
      <c r="B116" s="592" t="s">
        <v>798</v>
      </c>
      <c r="C116" s="600">
        <f>SUM(C110+C111+C114)</f>
        <v>0.30569842495886668</v>
      </c>
      <c r="D116" s="600">
        <f>SUM(D110+D111+D114)</f>
        <v>0.30464129351865255</v>
      </c>
      <c r="E116" s="601">
        <f t="shared" si="13"/>
        <v>-1.0571314402141319E-3</v>
      </c>
    </row>
    <row r="117" spans="1:5" s="421" customFormat="1" x14ac:dyDescent="0.2">
      <c r="A117" s="588"/>
      <c r="B117" s="592" t="s">
        <v>799</v>
      </c>
      <c r="C117" s="600">
        <f>SUM(C109+C116)</f>
        <v>0.47189585010778223</v>
      </c>
      <c r="D117" s="600">
        <f>SUM(D109+D116)</f>
        <v>0.47546497907839935</v>
      </c>
      <c r="E117" s="601">
        <f t="shared" si="13"/>
        <v>3.5691289706171192E-3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805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658</v>
      </c>
      <c r="C121" s="599">
        <f t="shared" ref="C121:D127" si="14">IF(C$77=0,0,C58/C$77)</f>
        <v>0.33698395847289242</v>
      </c>
      <c r="D121" s="599">
        <f t="shared" si="14"/>
        <v>0.3358072058425321</v>
      </c>
      <c r="E121" s="599">
        <f t="shared" ref="E121:E129" si="15">D121-C121</f>
        <v>-1.1767526303603226E-3</v>
      </c>
    </row>
    <row r="122" spans="1:5" s="421" customFormat="1" x14ac:dyDescent="0.2">
      <c r="A122" s="588">
        <v>2</v>
      </c>
      <c r="B122" s="587" t="s">
        <v>637</v>
      </c>
      <c r="C122" s="599">
        <f t="shared" si="14"/>
        <v>0.10715685153521413</v>
      </c>
      <c r="D122" s="599">
        <f t="shared" si="14"/>
        <v>0.10284811094114017</v>
      </c>
      <c r="E122" s="599">
        <f t="shared" si="15"/>
        <v>-4.308740594073962E-3</v>
      </c>
    </row>
    <row r="123" spans="1:5" s="421" customFormat="1" x14ac:dyDescent="0.2">
      <c r="A123" s="588">
        <v>3</v>
      </c>
      <c r="B123" s="587" t="s">
        <v>779</v>
      </c>
      <c r="C123" s="599">
        <f t="shared" si="14"/>
        <v>6.1396595624066512E-2</v>
      </c>
      <c r="D123" s="599">
        <f t="shared" si="14"/>
        <v>6.5383159585367737E-2</v>
      </c>
      <c r="E123" s="599">
        <f t="shared" si="15"/>
        <v>3.9865639613012246E-3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6.0536483749530669E-2</v>
      </c>
      <c r="D124" s="599">
        <f t="shared" si="14"/>
        <v>6.3973132719966644E-2</v>
      </c>
      <c r="E124" s="599">
        <f t="shared" si="15"/>
        <v>3.4366489704359751E-3</v>
      </c>
    </row>
    <row r="125" spans="1:5" s="421" customFormat="1" x14ac:dyDescent="0.2">
      <c r="A125" s="588">
        <v>5</v>
      </c>
      <c r="B125" s="587" t="s">
        <v>745</v>
      </c>
      <c r="C125" s="599">
        <f t="shared" si="14"/>
        <v>8.6011187453584391E-4</v>
      </c>
      <c r="D125" s="599">
        <f t="shared" si="14"/>
        <v>1.4100268654010919E-3</v>
      </c>
      <c r="E125" s="599">
        <f t="shared" si="15"/>
        <v>5.4991499086524801E-4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2.2566744260044735E-2</v>
      </c>
      <c r="D126" s="599">
        <f t="shared" si="14"/>
        <v>2.0496544552560676E-2</v>
      </c>
      <c r="E126" s="599">
        <f t="shared" si="15"/>
        <v>-2.0701997074840592E-3</v>
      </c>
    </row>
    <row r="127" spans="1:5" s="421" customFormat="1" x14ac:dyDescent="0.2">
      <c r="A127" s="588">
        <v>7</v>
      </c>
      <c r="B127" s="587" t="s">
        <v>760</v>
      </c>
      <c r="C127" s="599">
        <f t="shared" si="14"/>
        <v>0</v>
      </c>
      <c r="D127" s="599">
        <f t="shared" si="14"/>
        <v>0</v>
      </c>
      <c r="E127" s="599">
        <f t="shared" si="15"/>
        <v>0</v>
      </c>
    </row>
    <row r="128" spans="1:5" s="421" customFormat="1" x14ac:dyDescent="0.2">
      <c r="A128" s="588"/>
      <c r="B128" s="592" t="s">
        <v>801</v>
      </c>
      <c r="C128" s="600">
        <f>SUM(C122+C123+C126)</f>
        <v>0.19112019141932537</v>
      </c>
      <c r="D128" s="600">
        <f>SUM(D122+D123+D126)</f>
        <v>0.18872781507906858</v>
      </c>
      <c r="E128" s="601">
        <f t="shared" si="15"/>
        <v>-2.3923763402567966E-3</v>
      </c>
    </row>
    <row r="129" spans="1:5" s="421" customFormat="1" x14ac:dyDescent="0.2">
      <c r="A129" s="588"/>
      <c r="B129" s="592" t="s">
        <v>802</v>
      </c>
      <c r="C129" s="600">
        <f>SUM(C121+C128)</f>
        <v>0.52810414989221777</v>
      </c>
      <c r="D129" s="600">
        <f>SUM(D121+D128)</f>
        <v>0.52453502092160065</v>
      </c>
      <c r="E129" s="601">
        <f t="shared" si="15"/>
        <v>-3.5691289706171192E-3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806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807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808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658</v>
      </c>
      <c r="C137" s="606">
        <v>4075</v>
      </c>
      <c r="D137" s="606">
        <v>3952</v>
      </c>
      <c r="E137" s="607">
        <f t="shared" ref="E137:E145" si="16">D137-C137</f>
        <v>-123</v>
      </c>
    </row>
    <row r="138" spans="1:5" s="421" customFormat="1" x14ac:dyDescent="0.2">
      <c r="A138" s="588">
        <v>2</v>
      </c>
      <c r="B138" s="587" t="s">
        <v>637</v>
      </c>
      <c r="C138" s="606">
        <v>6829</v>
      </c>
      <c r="D138" s="606">
        <v>6658</v>
      </c>
      <c r="E138" s="607">
        <f t="shared" si="16"/>
        <v>-171</v>
      </c>
    </row>
    <row r="139" spans="1:5" s="421" customFormat="1" x14ac:dyDescent="0.2">
      <c r="A139" s="588">
        <v>3</v>
      </c>
      <c r="B139" s="587" t="s">
        <v>779</v>
      </c>
      <c r="C139" s="606">
        <f>C140+C141</f>
        <v>3059</v>
      </c>
      <c r="D139" s="606">
        <f>D140+D141</f>
        <v>3096</v>
      </c>
      <c r="E139" s="607">
        <f t="shared" si="16"/>
        <v>37</v>
      </c>
    </row>
    <row r="140" spans="1:5" s="421" customFormat="1" x14ac:dyDescent="0.2">
      <c r="A140" s="588">
        <v>4</v>
      </c>
      <c r="B140" s="587" t="s">
        <v>115</v>
      </c>
      <c r="C140" s="606">
        <v>3028</v>
      </c>
      <c r="D140" s="606">
        <v>3069</v>
      </c>
      <c r="E140" s="607">
        <f t="shared" si="16"/>
        <v>41</v>
      </c>
    </row>
    <row r="141" spans="1:5" s="421" customFormat="1" x14ac:dyDescent="0.2">
      <c r="A141" s="588">
        <v>5</v>
      </c>
      <c r="B141" s="587" t="s">
        <v>745</v>
      </c>
      <c r="C141" s="606">
        <v>31</v>
      </c>
      <c r="D141" s="606">
        <v>27</v>
      </c>
      <c r="E141" s="607">
        <f t="shared" si="16"/>
        <v>-4</v>
      </c>
    </row>
    <row r="142" spans="1:5" s="421" customFormat="1" x14ac:dyDescent="0.2">
      <c r="A142" s="588">
        <v>6</v>
      </c>
      <c r="B142" s="587" t="s">
        <v>424</v>
      </c>
      <c r="C142" s="606">
        <v>969</v>
      </c>
      <c r="D142" s="606">
        <v>943</v>
      </c>
      <c r="E142" s="607">
        <f t="shared" si="16"/>
        <v>-26</v>
      </c>
    </row>
    <row r="143" spans="1:5" s="421" customFormat="1" x14ac:dyDescent="0.2">
      <c r="A143" s="588">
        <v>7</v>
      </c>
      <c r="B143" s="587" t="s">
        <v>760</v>
      </c>
      <c r="C143" s="606">
        <v>69</v>
      </c>
      <c r="D143" s="606">
        <v>67</v>
      </c>
      <c r="E143" s="607">
        <f t="shared" si="16"/>
        <v>-2</v>
      </c>
    </row>
    <row r="144" spans="1:5" s="421" customFormat="1" x14ac:dyDescent="0.2">
      <c r="A144" s="588"/>
      <c r="B144" s="592" t="s">
        <v>809</v>
      </c>
      <c r="C144" s="608">
        <f>SUM(C138+C139+C142)</f>
        <v>10857</v>
      </c>
      <c r="D144" s="608">
        <f>SUM(D138+D139+D142)</f>
        <v>10697</v>
      </c>
      <c r="E144" s="609">
        <f t="shared" si="16"/>
        <v>-160</v>
      </c>
    </row>
    <row r="145" spans="1:5" s="421" customFormat="1" x14ac:dyDescent="0.2">
      <c r="A145" s="588"/>
      <c r="B145" s="592" t="s">
        <v>138</v>
      </c>
      <c r="C145" s="608">
        <f>SUM(C137+C144)</f>
        <v>14932</v>
      </c>
      <c r="D145" s="608">
        <f>SUM(D137+D144)</f>
        <v>14649</v>
      </c>
      <c r="E145" s="609">
        <f t="shared" si="16"/>
        <v>-283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658</v>
      </c>
      <c r="C149" s="610">
        <v>15479</v>
      </c>
      <c r="D149" s="610">
        <v>14693</v>
      </c>
      <c r="E149" s="607">
        <f t="shared" ref="E149:E157" si="17">D149-C149</f>
        <v>-786</v>
      </c>
    </row>
    <row r="150" spans="1:5" s="421" customFormat="1" x14ac:dyDescent="0.2">
      <c r="A150" s="588">
        <v>2</v>
      </c>
      <c r="B150" s="587" t="s">
        <v>637</v>
      </c>
      <c r="C150" s="610">
        <v>38019</v>
      </c>
      <c r="D150" s="610">
        <v>36229</v>
      </c>
      <c r="E150" s="607">
        <f t="shared" si="17"/>
        <v>-1790</v>
      </c>
    </row>
    <row r="151" spans="1:5" s="421" customFormat="1" x14ac:dyDescent="0.2">
      <c r="A151" s="588">
        <v>3</v>
      </c>
      <c r="B151" s="587" t="s">
        <v>779</v>
      </c>
      <c r="C151" s="610">
        <f>C152+C153</f>
        <v>13869</v>
      </c>
      <c r="D151" s="610">
        <f>D152+D153</f>
        <v>13380</v>
      </c>
      <c r="E151" s="607">
        <f t="shared" si="17"/>
        <v>-489</v>
      </c>
    </row>
    <row r="152" spans="1:5" s="421" customFormat="1" x14ac:dyDescent="0.2">
      <c r="A152" s="588">
        <v>4</v>
      </c>
      <c r="B152" s="587" t="s">
        <v>115</v>
      </c>
      <c r="C152" s="610">
        <v>13730</v>
      </c>
      <c r="D152" s="610">
        <v>13305</v>
      </c>
      <c r="E152" s="607">
        <f t="shared" si="17"/>
        <v>-425</v>
      </c>
    </row>
    <row r="153" spans="1:5" s="421" customFormat="1" x14ac:dyDescent="0.2">
      <c r="A153" s="588">
        <v>5</v>
      </c>
      <c r="B153" s="587" t="s">
        <v>745</v>
      </c>
      <c r="C153" s="611">
        <v>139</v>
      </c>
      <c r="D153" s="610">
        <v>75</v>
      </c>
      <c r="E153" s="607">
        <f t="shared" si="17"/>
        <v>-64</v>
      </c>
    </row>
    <row r="154" spans="1:5" s="421" customFormat="1" x14ac:dyDescent="0.2">
      <c r="A154" s="588">
        <v>6</v>
      </c>
      <c r="B154" s="587" t="s">
        <v>424</v>
      </c>
      <c r="C154" s="610">
        <v>3191</v>
      </c>
      <c r="D154" s="610">
        <v>2851</v>
      </c>
      <c r="E154" s="607">
        <f t="shared" si="17"/>
        <v>-340</v>
      </c>
    </row>
    <row r="155" spans="1:5" s="421" customFormat="1" x14ac:dyDescent="0.2">
      <c r="A155" s="588">
        <v>7</v>
      </c>
      <c r="B155" s="587" t="s">
        <v>760</v>
      </c>
      <c r="C155" s="610">
        <v>216</v>
      </c>
      <c r="D155" s="610">
        <v>191</v>
      </c>
      <c r="E155" s="607">
        <f t="shared" si="17"/>
        <v>-25</v>
      </c>
    </row>
    <row r="156" spans="1:5" s="421" customFormat="1" x14ac:dyDescent="0.2">
      <c r="A156" s="588"/>
      <c r="B156" s="592" t="s">
        <v>810</v>
      </c>
      <c r="C156" s="608">
        <f>SUM(C150+C151+C154)</f>
        <v>55079</v>
      </c>
      <c r="D156" s="608">
        <f>SUM(D150+D151+D154)</f>
        <v>52460</v>
      </c>
      <c r="E156" s="609">
        <f t="shared" si="17"/>
        <v>-2619</v>
      </c>
    </row>
    <row r="157" spans="1:5" s="421" customFormat="1" x14ac:dyDescent="0.2">
      <c r="A157" s="588"/>
      <c r="B157" s="592" t="s">
        <v>140</v>
      </c>
      <c r="C157" s="608">
        <f>SUM(C149+C156)</f>
        <v>70558</v>
      </c>
      <c r="D157" s="608">
        <f>SUM(D149+D156)</f>
        <v>67153</v>
      </c>
      <c r="E157" s="609">
        <f t="shared" si="17"/>
        <v>-3405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811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658</v>
      </c>
      <c r="C161" s="612">
        <f t="shared" ref="C161:D169" si="18">IF(C137=0,0,C149/C137)</f>
        <v>3.7985276073619634</v>
      </c>
      <c r="D161" s="612">
        <f t="shared" si="18"/>
        <v>3.7178643724696356</v>
      </c>
      <c r="E161" s="613">
        <f t="shared" ref="E161:E169" si="19">D161-C161</f>
        <v>-8.066323489232774E-2</v>
      </c>
    </row>
    <row r="162" spans="1:5" s="421" customFormat="1" x14ac:dyDescent="0.2">
      <c r="A162" s="588">
        <v>2</v>
      </c>
      <c r="B162" s="587" t="s">
        <v>637</v>
      </c>
      <c r="C162" s="612">
        <f t="shared" si="18"/>
        <v>5.5672865719724705</v>
      </c>
      <c r="D162" s="612">
        <f t="shared" si="18"/>
        <v>5.4414238510063084</v>
      </c>
      <c r="E162" s="613">
        <f t="shared" si="19"/>
        <v>-0.12586272096616202</v>
      </c>
    </row>
    <row r="163" spans="1:5" s="421" customFormat="1" x14ac:dyDescent="0.2">
      <c r="A163" s="588">
        <v>3</v>
      </c>
      <c r="B163" s="587" t="s">
        <v>779</v>
      </c>
      <c r="C163" s="612">
        <f t="shared" si="18"/>
        <v>4.5338345864661651</v>
      </c>
      <c r="D163" s="612">
        <f t="shared" si="18"/>
        <v>4.3217054263565888</v>
      </c>
      <c r="E163" s="613">
        <f t="shared" si="19"/>
        <v>-0.21212916010957628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4.5343461030383088</v>
      </c>
      <c r="D164" s="612">
        <f t="shared" si="18"/>
        <v>4.3352883675464318</v>
      </c>
      <c r="E164" s="613">
        <f t="shared" si="19"/>
        <v>-0.199057735491877</v>
      </c>
    </row>
    <row r="165" spans="1:5" s="421" customFormat="1" x14ac:dyDescent="0.2">
      <c r="A165" s="588">
        <v>5</v>
      </c>
      <c r="B165" s="587" t="s">
        <v>745</v>
      </c>
      <c r="C165" s="612">
        <f t="shared" si="18"/>
        <v>4.4838709677419351</v>
      </c>
      <c r="D165" s="612">
        <f t="shared" si="18"/>
        <v>2.7777777777777777</v>
      </c>
      <c r="E165" s="613">
        <f t="shared" si="19"/>
        <v>-1.7060931899641574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3.2930856553147576</v>
      </c>
      <c r="D166" s="612">
        <f t="shared" si="18"/>
        <v>3.0233297985153764</v>
      </c>
      <c r="E166" s="613">
        <f t="shared" si="19"/>
        <v>-0.26975585679938119</v>
      </c>
    </row>
    <row r="167" spans="1:5" s="421" customFormat="1" x14ac:dyDescent="0.2">
      <c r="A167" s="588">
        <v>7</v>
      </c>
      <c r="B167" s="587" t="s">
        <v>760</v>
      </c>
      <c r="C167" s="612">
        <f t="shared" si="18"/>
        <v>3.1304347826086958</v>
      </c>
      <c r="D167" s="612">
        <f t="shared" si="18"/>
        <v>2.8507462686567164</v>
      </c>
      <c r="E167" s="613">
        <f t="shared" si="19"/>
        <v>-0.27968851395197936</v>
      </c>
    </row>
    <row r="168" spans="1:5" s="421" customFormat="1" x14ac:dyDescent="0.2">
      <c r="A168" s="588"/>
      <c r="B168" s="592" t="s">
        <v>812</v>
      </c>
      <c r="C168" s="614">
        <f t="shared" si="18"/>
        <v>5.0731325412176478</v>
      </c>
      <c r="D168" s="614">
        <f t="shared" si="18"/>
        <v>4.9041787417032809</v>
      </c>
      <c r="E168" s="615">
        <f t="shared" si="19"/>
        <v>-0.16895379951436684</v>
      </c>
    </row>
    <row r="169" spans="1:5" s="421" customFormat="1" x14ac:dyDescent="0.2">
      <c r="A169" s="588"/>
      <c r="B169" s="592" t="s">
        <v>746</v>
      </c>
      <c r="C169" s="614">
        <f t="shared" si="18"/>
        <v>4.7252879721403698</v>
      </c>
      <c r="D169" s="614">
        <f t="shared" si="18"/>
        <v>4.584135435865929</v>
      </c>
      <c r="E169" s="615">
        <f t="shared" si="19"/>
        <v>-0.1411525362744408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813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658</v>
      </c>
      <c r="C173" s="617">
        <f t="shared" ref="C173:D181" si="20">IF(C137=0,0,C203/C137)</f>
        <v>1.149</v>
      </c>
      <c r="D173" s="617">
        <f t="shared" si="20"/>
        <v>1.1398999999999999</v>
      </c>
      <c r="E173" s="618">
        <f t="shared" ref="E173:E181" si="21">D173-C173</f>
        <v>-9.100000000000108E-3</v>
      </c>
    </row>
    <row r="174" spans="1:5" s="421" customFormat="1" x14ac:dyDescent="0.2">
      <c r="A174" s="588">
        <v>2</v>
      </c>
      <c r="B174" s="587" t="s">
        <v>637</v>
      </c>
      <c r="C174" s="617">
        <f t="shared" si="20"/>
        <v>1.4081999999999999</v>
      </c>
      <c r="D174" s="617">
        <f t="shared" si="20"/>
        <v>1.4094</v>
      </c>
      <c r="E174" s="618">
        <f t="shared" si="21"/>
        <v>1.2000000000000899E-3</v>
      </c>
    </row>
    <row r="175" spans="1:5" s="421" customFormat="1" x14ac:dyDescent="0.2">
      <c r="A175" s="588">
        <v>3</v>
      </c>
      <c r="B175" s="587" t="s">
        <v>779</v>
      </c>
      <c r="C175" s="617">
        <f t="shared" si="20"/>
        <v>0.99612268715266417</v>
      </c>
      <c r="D175" s="617">
        <f t="shared" si="20"/>
        <v>0.97289796511627913</v>
      </c>
      <c r="E175" s="618">
        <f t="shared" si="21"/>
        <v>-2.3224722036385037E-2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0.99660000000000004</v>
      </c>
      <c r="D176" s="617">
        <f t="shared" si="20"/>
        <v>0.97389999999999999</v>
      </c>
      <c r="E176" s="618">
        <f t="shared" si="21"/>
        <v>-2.2700000000000053E-2</v>
      </c>
    </row>
    <row r="177" spans="1:5" s="421" customFormat="1" x14ac:dyDescent="0.2">
      <c r="A177" s="588">
        <v>5</v>
      </c>
      <c r="B177" s="587" t="s">
        <v>745</v>
      </c>
      <c r="C177" s="617">
        <f t="shared" si="20"/>
        <v>0.94950000000000001</v>
      </c>
      <c r="D177" s="617">
        <f t="shared" si="20"/>
        <v>0.85899999999999987</v>
      </c>
      <c r="E177" s="618">
        <f t="shared" si="21"/>
        <v>-9.0500000000000136E-2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0.89590000000000003</v>
      </c>
      <c r="D178" s="617">
        <f t="shared" si="20"/>
        <v>0.88970000000000005</v>
      </c>
      <c r="E178" s="618">
        <f t="shared" si="21"/>
        <v>-6.1999999999999833E-3</v>
      </c>
    </row>
    <row r="179" spans="1:5" s="421" customFormat="1" x14ac:dyDescent="0.2">
      <c r="A179" s="588">
        <v>7</v>
      </c>
      <c r="B179" s="587" t="s">
        <v>760</v>
      </c>
      <c r="C179" s="617">
        <f t="shared" si="20"/>
        <v>1.1487000000000001</v>
      </c>
      <c r="D179" s="617">
        <f t="shared" si="20"/>
        <v>1.0244</v>
      </c>
      <c r="E179" s="618">
        <f t="shared" si="21"/>
        <v>-0.12430000000000008</v>
      </c>
    </row>
    <row r="180" spans="1:5" s="421" customFormat="1" x14ac:dyDescent="0.2">
      <c r="A180" s="588"/>
      <c r="B180" s="592" t="s">
        <v>814</v>
      </c>
      <c r="C180" s="619">
        <f t="shared" si="20"/>
        <v>1.2463723127935893</v>
      </c>
      <c r="D180" s="619">
        <f t="shared" si="20"/>
        <v>1.2372501075067777</v>
      </c>
      <c r="E180" s="620">
        <f t="shared" si="21"/>
        <v>-9.1222052868116243E-3</v>
      </c>
    </row>
    <row r="181" spans="1:5" s="421" customFormat="1" x14ac:dyDescent="0.2">
      <c r="A181" s="588"/>
      <c r="B181" s="592" t="s">
        <v>725</v>
      </c>
      <c r="C181" s="619">
        <f t="shared" si="20"/>
        <v>1.2197990356281809</v>
      </c>
      <c r="D181" s="619">
        <f t="shared" si="20"/>
        <v>1.2109870434841967</v>
      </c>
      <c r="E181" s="620">
        <f t="shared" si="21"/>
        <v>-8.8119921439842042E-3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815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816</v>
      </c>
      <c r="C185" s="589">
        <v>232465068</v>
      </c>
      <c r="D185" s="589">
        <v>231817118</v>
      </c>
      <c r="E185" s="590">
        <f>D185-C185</f>
        <v>-647950</v>
      </c>
    </row>
    <row r="186" spans="1:5" s="421" customFormat="1" ht="25.5" x14ac:dyDescent="0.2">
      <c r="A186" s="588">
        <v>2</v>
      </c>
      <c r="B186" s="587" t="s">
        <v>817</v>
      </c>
      <c r="C186" s="589">
        <v>153442991</v>
      </c>
      <c r="D186" s="589">
        <v>150271830</v>
      </c>
      <c r="E186" s="590">
        <f>D186-C186</f>
        <v>-3171161</v>
      </c>
    </row>
    <row r="187" spans="1:5" s="421" customFormat="1" x14ac:dyDescent="0.2">
      <c r="A187" s="588"/>
      <c r="B187" s="587" t="s">
        <v>670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749</v>
      </c>
      <c r="C188" s="622">
        <f>+C185-C186</f>
        <v>79022077</v>
      </c>
      <c r="D188" s="622">
        <f>+D185-D186</f>
        <v>81545288</v>
      </c>
      <c r="E188" s="590">
        <f t="shared" ref="E188:E197" si="22">D188-C188</f>
        <v>2523211</v>
      </c>
    </row>
    <row r="189" spans="1:5" s="421" customFormat="1" x14ac:dyDescent="0.2">
      <c r="A189" s="588">
        <v>4</v>
      </c>
      <c r="B189" s="587" t="s">
        <v>672</v>
      </c>
      <c r="C189" s="623">
        <f>IF(C185=0,0,+C188/C185)</f>
        <v>0.33993097405929396</v>
      </c>
      <c r="D189" s="623">
        <f>IF(D185=0,0,+D188/D185)</f>
        <v>0.35176560171022403</v>
      </c>
      <c r="E189" s="599">
        <f t="shared" si="22"/>
        <v>1.1834627650930074E-2</v>
      </c>
    </row>
    <row r="190" spans="1:5" s="421" customFormat="1" x14ac:dyDescent="0.2">
      <c r="A190" s="588">
        <v>5</v>
      </c>
      <c r="B190" s="587" t="s">
        <v>764</v>
      </c>
      <c r="C190" s="589">
        <v>14779838</v>
      </c>
      <c r="D190" s="589">
        <v>13293414</v>
      </c>
      <c r="E190" s="622">
        <f t="shared" si="22"/>
        <v>-1486424</v>
      </c>
    </row>
    <row r="191" spans="1:5" s="421" customFormat="1" x14ac:dyDescent="0.2">
      <c r="A191" s="588">
        <v>6</v>
      </c>
      <c r="B191" s="587" t="s">
        <v>750</v>
      </c>
      <c r="C191" s="589">
        <v>7564445</v>
      </c>
      <c r="D191" s="589">
        <v>6253497</v>
      </c>
      <c r="E191" s="622">
        <f t="shared" si="22"/>
        <v>-1310948</v>
      </c>
    </row>
    <row r="192" spans="1:5" ht="29.25" x14ac:dyDescent="0.2">
      <c r="A192" s="588">
        <v>7</v>
      </c>
      <c r="B192" s="624" t="s">
        <v>818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819</v>
      </c>
      <c r="C193" s="589">
        <v>2828618</v>
      </c>
      <c r="D193" s="589">
        <v>3684045</v>
      </c>
      <c r="E193" s="622">
        <f t="shared" si="22"/>
        <v>855427</v>
      </c>
    </row>
    <row r="194" spans="1:5" s="421" customFormat="1" x14ac:dyDescent="0.2">
      <c r="A194" s="588">
        <v>9</v>
      </c>
      <c r="B194" s="587" t="s">
        <v>820</v>
      </c>
      <c r="C194" s="589">
        <v>11930618</v>
      </c>
      <c r="D194" s="589">
        <v>12037777</v>
      </c>
      <c r="E194" s="622">
        <f t="shared" si="22"/>
        <v>107159</v>
      </c>
    </row>
    <row r="195" spans="1:5" s="421" customFormat="1" x14ac:dyDescent="0.2">
      <c r="A195" s="588">
        <v>10</v>
      </c>
      <c r="B195" s="587" t="s">
        <v>821</v>
      </c>
      <c r="C195" s="589">
        <f>+C193+C194</f>
        <v>14759236</v>
      </c>
      <c r="D195" s="589">
        <f>+D193+D194</f>
        <v>15721822</v>
      </c>
      <c r="E195" s="625">
        <f t="shared" si="22"/>
        <v>962586</v>
      </c>
    </row>
    <row r="196" spans="1:5" s="421" customFormat="1" x14ac:dyDescent="0.2">
      <c r="A196" s="588">
        <v>11</v>
      </c>
      <c r="B196" s="587" t="s">
        <v>822</v>
      </c>
      <c r="C196" s="589">
        <v>15433709</v>
      </c>
      <c r="D196" s="589">
        <v>22653789</v>
      </c>
      <c r="E196" s="622">
        <f t="shared" si="22"/>
        <v>7220080</v>
      </c>
    </row>
    <row r="197" spans="1:5" s="421" customFormat="1" x14ac:dyDescent="0.2">
      <c r="A197" s="588">
        <v>12</v>
      </c>
      <c r="B197" s="587" t="s">
        <v>712</v>
      </c>
      <c r="C197" s="589">
        <v>318194716</v>
      </c>
      <c r="D197" s="589">
        <v>312019235</v>
      </c>
      <c r="E197" s="622">
        <f t="shared" si="22"/>
        <v>-6175481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823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824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658</v>
      </c>
      <c r="C203" s="629">
        <v>4682.1750000000002</v>
      </c>
      <c r="D203" s="629">
        <v>4504.8847999999998</v>
      </c>
      <c r="E203" s="630">
        <f t="shared" ref="E203:E211" si="23">D203-C203</f>
        <v>-177.29020000000037</v>
      </c>
    </row>
    <row r="204" spans="1:5" s="421" customFormat="1" x14ac:dyDescent="0.2">
      <c r="A204" s="588">
        <v>2</v>
      </c>
      <c r="B204" s="587" t="s">
        <v>637</v>
      </c>
      <c r="C204" s="629">
        <v>9616.5977999999996</v>
      </c>
      <c r="D204" s="629">
        <v>9383.7852000000003</v>
      </c>
      <c r="E204" s="630">
        <f t="shared" si="23"/>
        <v>-232.81259999999929</v>
      </c>
    </row>
    <row r="205" spans="1:5" s="421" customFormat="1" x14ac:dyDescent="0.2">
      <c r="A205" s="588">
        <v>3</v>
      </c>
      <c r="B205" s="587" t="s">
        <v>779</v>
      </c>
      <c r="C205" s="629">
        <f>C206+C207</f>
        <v>3047.1392999999998</v>
      </c>
      <c r="D205" s="629">
        <f>D206+D207</f>
        <v>3012.0921000000003</v>
      </c>
      <c r="E205" s="630">
        <f t="shared" si="23"/>
        <v>-35.047199999999521</v>
      </c>
    </row>
    <row r="206" spans="1:5" s="421" customFormat="1" x14ac:dyDescent="0.2">
      <c r="A206" s="588">
        <v>4</v>
      </c>
      <c r="B206" s="587" t="s">
        <v>115</v>
      </c>
      <c r="C206" s="629">
        <v>3017.7048</v>
      </c>
      <c r="D206" s="629">
        <v>2988.8991000000001</v>
      </c>
      <c r="E206" s="630">
        <f t="shared" si="23"/>
        <v>-28.805699999999888</v>
      </c>
    </row>
    <row r="207" spans="1:5" s="421" customFormat="1" x14ac:dyDescent="0.2">
      <c r="A207" s="588">
        <v>5</v>
      </c>
      <c r="B207" s="587" t="s">
        <v>745</v>
      </c>
      <c r="C207" s="629">
        <v>29.4345</v>
      </c>
      <c r="D207" s="629">
        <v>23.192999999999998</v>
      </c>
      <c r="E207" s="630">
        <f t="shared" si="23"/>
        <v>-6.241500000000002</v>
      </c>
    </row>
    <row r="208" spans="1:5" s="421" customFormat="1" x14ac:dyDescent="0.2">
      <c r="A208" s="588">
        <v>6</v>
      </c>
      <c r="B208" s="587" t="s">
        <v>424</v>
      </c>
      <c r="C208" s="629">
        <v>868.12710000000004</v>
      </c>
      <c r="D208" s="629">
        <v>838.98710000000005</v>
      </c>
      <c r="E208" s="630">
        <f t="shared" si="23"/>
        <v>-29.139999999999986</v>
      </c>
    </row>
    <row r="209" spans="1:5" s="421" customFormat="1" x14ac:dyDescent="0.2">
      <c r="A209" s="588">
        <v>7</v>
      </c>
      <c r="B209" s="587" t="s">
        <v>760</v>
      </c>
      <c r="C209" s="629">
        <v>79.260300000000001</v>
      </c>
      <c r="D209" s="629">
        <v>68.634799999999998</v>
      </c>
      <c r="E209" s="630">
        <f t="shared" si="23"/>
        <v>-10.625500000000002</v>
      </c>
    </row>
    <row r="210" spans="1:5" s="421" customFormat="1" x14ac:dyDescent="0.2">
      <c r="A210" s="588"/>
      <c r="B210" s="592" t="s">
        <v>825</v>
      </c>
      <c r="C210" s="631">
        <f>C204+C205+C208</f>
        <v>13531.864199999998</v>
      </c>
      <c r="D210" s="631">
        <f>D204+D205+D208</f>
        <v>13234.8644</v>
      </c>
      <c r="E210" s="632">
        <f t="shared" si="23"/>
        <v>-296.99979999999778</v>
      </c>
    </row>
    <row r="211" spans="1:5" s="421" customFormat="1" x14ac:dyDescent="0.2">
      <c r="A211" s="588"/>
      <c r="B211" s="592" t="s">
        <v>726</v>
      </c>
      <c r="C211" s="631">
        <f>C210+C203</f>
        <v>18214.039199999999</v>
      </c>
      <c r="D211" s="631">
        <f>D210+D203</f>
        <v>17739.749199999998</v>
      </c>
      <c r="E211" s="632">
        <f t="shared" si="23"/>
        <v>-474.29000000000087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826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658</v>
      </c>
      <c r="C215" s="633">
        <f>IF(C14*C137=0,0,C25/C14*C137)</f>
        <v>10394.877126521431</v>
      </c>
      <c r="D215" s="633">
        <f>IF(D14*D137=0,0,D25/D14*D137)</f>
        <v>10487.627342523851</v>
      </c>
      <c r="E215" s="633">
        <f t="shared" ref="E215:E223" si="24">D215-C215</f>
        <v>92.75021600241962</v>
      </c>
    </row>
    <row r="216" spans="1:5" s="421" customFormat="1" x14ac:dyDescent="0.2">
      <c r="A216" s="588">
        <v>2</v>
      </c>
      <c r="B216" s="587" t="s">
        <v>637</v>
      </c>
      <c r="C216" s="633">
        <f>IF(C15*C138=0,0,C26/C15*C138)</f>
        <v>5401.7971532148349</v>
      </c>
      <c r="D216" s="633">
        <f>IF(D15*D138=0,0,D26/D15*D138)</f>
        <v>5483.7368462271443</v>
      </c>
      <c r="E216" s="633">
        <f t="shared" si="24"/>
        <v>81.939693012309363</v>
      </c>
    </row>
    <row r="217" spans="1:5" s="421" customFormat="1" x14ac:dyDescent="0.2">
      <c r="A217" s="588">
        <v>3</v>
      </c>
      <c r="B217" s="587" t="s">
        <v>779</v>
      </c>
      <c r="C217" s="633">
        <f>C218+C219</f>
        <v>4345.7425612218703</v>
      </c>
      <c r="D217" s="633">
        <f>D218+D219</f>
        <v>4543.0877800370508</v>
      </c>
      <c r="E217" s="633">
        <f t="shared" si="24"/>
        <v>197.34521881518049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4278.8319403855603</v>
      </c>
      <c r="D218" s="633">
        <f t="shared" si="25"/>
        <v>4419.1009302825078</v>
      </c>
      <c r="E218" s="633">
        <f t="shared" si="24"/>
        <v>140.26898989694746</v>
      </c>
    </row>
    <row r="219" spans="1:5" s="421" customFormat="1" x14ac:dyDescent="0.2">
      <c r="A219" s="588">
        <v>5</v>
      </c>
      <c r="B219" s="587" t="s">
        <v>745</v>
      </c>
      <c r="C219" s="633">
        <f t="shared" si="25"/>
        <v>66.910620836309874</v>
      </c>
      <c r="D219" s="633">
        <f t="shared" si="25"/>
        <v>123.9868497545431</v>
      </c>
      <c r="E219" s="633">
        <f t="shared" si="24"/>
        <v>57.076228918233227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1764.5796354054155</v>
      </c>
      <c r="D220" s="633">
        <f t="shared" si="25"/>
        <v>1918.5894434019667</v>
      </c>
      <c r="E220" s="633">
        <f t="shared" si="24"/>
        <v>154.00980799655122</v>
      </c>
    </row>
    <row r="221" spans="1:5" s="421" customFormat="1" x14ac:dyDescent="0.2">
      <c r="A221" s="588">
        <v>7</v>
      </c>
      <c r="B221" s="587" t="s">
        <v>760</v>
      </c>
      <c r="C221" s="633">
        <f t="shared" si="25"/>
        <v>751.14850309775818</v>
      </c>
      <c r="D221" s="633">
        <f t="shared" si="25"/>
        <v>660.07489287376279</v>
      </c>
      <c r="E221" s="633">
        <f t="shared" si="24"/>
        <v>-91.073610223995388</v>
      </c>
    </row>
    <row r="222" spans="1:5" s="421" customFormat="1" x14ac:dyDescent="0.2">
      <c r="A222" s="588"/>
      <c r="B222" s="592" t="s">
        <v>827</v>
      </c>
      <c r="C222" s="634">
        <f>C216+C218+C219+C220</f>
        <v>11512.11934984212</v>
      </c>
      <c r="D222" s="634">
        <f>D216+D218+D219+D220</f>
        <v>11945.414069666162</v>
      </c>
      <c r="E222" s="634">
        <f t="shared" si="24"/>
        <v>433.29471982404175</v>
      </c>
    </row>
    <row r="223" spans="1:5" s="421" customFormat="1" x14ac:dyDescent="0.2">
      <c r="A223" s="588"/>
      <c r="B223" s="592" t="s">
        <v>828</v>
      </c>
      <c r="C223" s="634">
        <f>C215+C222</f>
        <v>21906.996476363551</v>
      </c>
      <c r="D223" s="634">
        <f>D215+D222</f>
        <v>22433.04141219001</v>
      </c>
      <c r="E223" s="634">
        <f t="shared" si="24"/>
        <v>526.04493582645955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829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658</v>
      </c>
      <c r="C227" s="636">
        <f t="shared" ref="C227:D235" si="26">IF(C203=0,0,C47/C203)</f>
        <v>11076.129790108229</v>
      </c>
      <c r="D227" s="636">
        <f t="shared" si="26"/>
        <v>11503.394493017891</v>
      </c>
      <c r="E227" s="636">
        <f t="shared" ref="E227:E235" si="27">D227-C227</f>
        <v>427.26470290966245</v>
      </c>
    </row>
    <row r="228" spans="1:5" s="421" customFormat="1" x14ac:dyDescent="0.2">
      <c r="A228" s="588">
        <v>2</v>
      </c>
      <c r="B228" s="587" t="s">
        <v>637</v>
      </c>
      <c r="C228" s="636">
        <f t="shared" si="26"/>
        <v>7656.2162140128185</v>
      </c>
      <c r="D228" s="636">
        <f t="shared" si="26"/>
        <v>7606.2885582675099</v>
      </c>
      <c r="E228" s="636">
        <f t="shared" si="27"/>
        <v>-49.927655745308584</v>
      </c>
    </row>
    <row r="229" spans="1:5" s="421" customFormat="1" x14ac:dyDescent="0.2">
      <c r="A229" s="588">
        <v>3</v>
      </c>
      <c r="B229" s="587" t="s">
        <v>779</v>
      </c>
      <c r="C229" s="636">
        <f t="shared" si="26"/>
        <v>5334.0272300646056</v>
      </c>
      <c r="D229" s="636">
        <f t="shared" si="26"/>
        <v>5346.6280131341264</v>
      </c>
      <c r="E229" s="636">
        <f t="shared" si="27"/>
        <v>12.60078306952073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5338.5851392753857</v>
      </c>
      <c r="D230" s="636">
        <f t="shared" si="26"/>
        <v>5348.5883815883917</v>
      </c>
      <c r="E230" s="636">
        <f t="shared" si="27"/>
        <v>10.003242313006012</v>
      </c>
    </row>
    <row r="231" spans="1:5" s="421" customFormat="1" x14ac:dyDescent="0.2">
      <c r="A231" s="588">
        <v>5</v>
      </c>
      <c r="B231" s="587" t="s">
        <v>745</v>
      </c>
      <c r="C231" s="636">
        <f t="shared" si="26"/>
        <v>4866.7380115170972</v>
      </c>
      <c r="D231" s="636">
        <f t="shared" si="26"/>
        <v>5093.9938774630282</v>
      </c>
      <c r="E231" s="636">
        <f t="shared" si="27"/>
        <v>227.25586594593096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6347.1189875307427</v>
      </c>
      <c r="D232" s="636">
        <f t="shared" si="26"/>
        <v>5883.7269369219139</v>
      </c>
      <c r="E232" s="636">
        <f t="shared" si="27"/>
        <v>-463.39205060882887</v>
      </c>
    </row>
    <row r="233" spans="1:5" s="421" customFormat="1" x14ac:dyDescent="0.2">
      <c r="A233" s="588">
        <v>7</v>
      </c>
      <c r="B233" s="587" t="s">
        <v>760</v>
      </c>
      <c r="C233" s="636">
        <f t="shared" si="26"/>
        <v>0</v>
      </c>
      <c r="D233" s="636">
        <f t="shared" si="26"/>
        <v>0</v>
      </c>
      <c r="E233" s="636">
        <f t="shared" si="27"/>
        <v>0</v>
      </c>
    </row>
    <row r="234" spans="1:5" x14ac:dyDescent="0.2">
      <c r="A234" s="588"/>
      <c r="B234" s="592" t="s">
        <v>830</v>
      </c>
      <c r="C234" s="637">
        <f t="shared" si="26"/>
        <v>7049.3156441815318</v>
      </c>
      <c r="D234" s="637">
        <f t="shared" si="26"/>
        <v>6982.8206928965583</v>
      </c>
      <c r="E234" s="637">
        <f t="shared" si="27"/>
        <v>-66.494951284973467</v>
      </c>
    </row>
    <row r="235" spans="1:5" s="421" customFormat="1" x14ac:dyDescent="0.2">
      <c r="A235" s="588"/>
      <c r="B235" s="592" t="s">
        <v>831</v>
      </c>
      <c r="C235" s="637">
        <f t="shared" si="26"/>
        <v>8084.4648670790175</v>
      </c>
      <c r="D235" s="637">
        <f t="shared" si="26"/>
        <v>8130.788681048547</v>
      </c>
      <c r="E235" s="637">
        <f t="shared" si="27"/>
        <v>46.32381396952951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832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658</v>
      </c>
      <c r="C239" s="636">
        <f t="shared" ref="C239:D247" si="28">IF(C215=0,0,C58/C215)</f>
        <v>10115.82375819661</v>
      </c>
      <c r="D239" s="636">
        <f t="shared" si="28"/>
        <v>9713.4694695859253</v>
      </c>
      <c r="E239" s="638">
        <f t="shared" ref="E239:E247" si="29">D239-C239</f>
        <v>-402.35428861068431</v>
      </c>
    </row>
    <row r="240" spans="1:5" s="421" customFormat="1" x14ac:dyDescent="0.2">
      <c r="A240" s="588">
        <v>2</v>
      </c>
      <c r="B240" s="587" t="s">
        <v>637</v>
      </c>
      <c r="C240" s="636">
        <f t="shared" si="28"/>
        <v>6190.034362934206</v>
      </c>
      <c r="D240" s="636">
        <f t="shared" si="28"/>
        <v>5689.5946824045759</v>
      </c>
      <c r="E240" s="638">
        <f t="shared" si="29"/>
        <v>-500.4396805296301</v>
      </c>
    </row>
    <row r="241" spans="1:5" x14ac:dyDescent="0.2">
      <c r="A241" s="588">
        <v>3</v>
      </c>
      <c r="B241" s="587" t="s">
        <v>779</v>
      </c>
      <c r="C241" s="636">
        <f t="shared" si="28"/>
        <v>4408.50849540737</v>
      </c>
      <c r="D241" s="636">
        <f t="shared" si="28"/>
        <v>4365.9262070957029</v>
      </c>
      <c r="E241" s="638">
        <f t="shared" si="29"/>
        <v>-42.582288311667071</v>
      </c>
    </row>
    <row r="242" spans="1:5" x14ac:dyDescent="0.2">
      <c r="A242" s="588">
        <v>4</v>
      </c>
      <c r="B242" s="587" t="s">
        <v>115</v>
      </c>
      <c r="C242" s="636">
        <f t="shared" si="28"/>
        <v>4414.7218827897823</v>
      </c>
      <c r="D242" s="636">
        <f t="shared" si="28"/>
        <v>4391.6256510482854</v>
      </c>
      <c r="E242" s="638">
        <f t="shared" si="29"/>
        <v>-23.096231741496922</v>
      </c>
    </row>
    <row r="243" spans="1:5" x14ac:dyDescent="0.2">
      <c r="A243" s="588">
        <v>5</v>
      </c>
      <c r="B243" s="587" t="s">
        <v>745</v>
      </c>
      <c r="C243" s="636">
        <f t="shared" si="28"/>
        <v>4011.1718684629936</v>
      </c>
      <c r="D243" s="636">
        <f t="shared" si="28"/>
        <v>3449.9545786251942</v>
      </c>
      <c r="E243" s="638">
        <f t="shared" si="29"/>
        <v>-561.2172898377994</v>
      </c>
    </row>
    <row r="244" spans="1:5" x14ac:dyDescent="0.2">
      <c r="A244" s="588">
        <v>6</v>
      </c>
      <c r="B244" s="587" t="s">
        <v>424</v>
      </c>
      <c r="C244" s="636">
        <f t="shared" si="28"/>
        <v>3990.6076544865859</v>
      </c>
      <c r="D244" s="636">
        <f t="shared" si="28"/>
        <v>3240.85959160429</v>
      </c>
      <c r="E244" s="638">
        <f t="shared" si="29"/>
        <v>-749.74806288229593</v>
      </c>
    </row>
    <row r="245" spans="1:5" x14ac:dyDescent="0.2">
      <c r="A245" s="588">
        <v>7</v>
      </c>
      <c r="B245" s="587" t="s">
        <v>760</v>
      </c>
      <c r="C245" s="636">
        <f t="shared" si="28"/>
        <v>0</v>
      </c>
      <c r="D245" s="636">
        <f t="shared" si="28"/>
        <v>0</v>
      </c>
      <c r="E245" s="638">
        <f t="shared" si="29"/>
        <v>0</v>
      </c>
    </row>
    <row r="246" spans="1:5" ht="25.5" x14ac:dyDescent="0.2">
      <c r="A246" s="588"/>
      <c r="B246" s="592" t="s">
        <v>833</v>
      </c>
      <c r="C246" s="637">
        <f t="shared" si="28"/>
        <v>5180.3926095343932</v>
      </c>
      <c r="D246" s="637">
        <f t="shared" si="28"/>
        <v>4792.8773892724548</v>
      </c>
      <c r="E246" s="639">
        <f t="shared" si="29"/>
        <v>-387.51522026193834</v>
      </c>
    </row>
    <row r="247" spans="1:5" x14ac:dyDescent="0.2">
      <c r="A247" s="588"/>
      <c r="B247" s="592" t="s">
        <v>834</v>
      </c>
      <c r="C247" s="637">
        <f t="shared" si="28"/>
        <v>7522.2563338520376</v>
      </c>
      <c r="D247" s="637">
        <f t="shared" si="28"/>
        <v>7093.2937748482327</v>
      </c>
      <c r="E247" s="639">
        <f t="shared" si="29"/>
        <v>-428.96255900380493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762</v>
      </c>
      <c r="B249" s="626" t="s">
        <v>759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7596263.7442070665</v>
      </c>
      <c r="D251" s="622">
        <f>((IF((IF(D15=0,0,D26/D15)*D138)=0,0,D59/(IF(D15=0,0,D26/D15)*D138)))-(IF((IF(D17=0,0,D28/D17)*D140)=0,0,D61/(IF(D17=0,0,D28/D17)*D140))))*(IF(D17=0,0,D28/D17)*D140)</f>
        <v>5735856.1539444691</v>
      </c>
      <c r="E251" s="622">
        <f>D251-C251</f>
        <v>-1860407.5902625974</v>
      </c>
    </row>
    <row r="252" spans="1:5" x14ac:dyDescent="0.2">
      <c r="A252" s="588">
        <v>2</v>
      </c>
      <c r="B252" s="587" t="s">
        <v>745</v>
      </c>
      <c r="C252" s="622">
        <f>IF(C231=0,0,(C228-C231)*C207)+IF(C243=0,0,(C240-C243)*C219)</f>
        <v>227895.93837337993</v>
      </c>
      <c r="D252" s="622">
        <f>IF(D231=0,0,(D228-D231)*D207)+IF(D243=0,0,(D240-D243)*D219)</f>
        <v>335953.57158344181</v>
      </c>
      <c r="E252" s="622">
        <f>D252-C252</f>
        <v>108057.63321006187</v>
      </c>
    </row>
    <row r="253" spans="1:5" x14ac:dyDescent="0.2">
      <c r="A253" s="588">
        <v>3</v>
      </c>
      <c r="B253" s="587" t="s">
        <v>760</v>
      </c>
      <c r="C253" s="622">
        <f>IF(C233=0,0,(C228-C233)*C209+IF(C221=0,0,(C240-C245)*C221))</f>
        <v>0</v>
      </c>
      <c r="D253" s="622">
        <f>IF(D233=0,0,(D228-D233)*D209+IF(D221=0,0,(D240-D245)*D221))</f>
        <v>0</v>
      </c>
      <c r="E253" s="622">
        <f>D253-C253</f>
        <v>0</v>
      </c>
    </row>
    <row r="254" spans="1:5" ht="15" customHeight="1" x14ac:dyDescent="0.2">
      <c r="A254" s="588"/>
      <c r="B254" s="592" t="s">
        <v>761</v>
      </c>
      <c r="C254" s="640">
        <f>+C251+C252+C253</f>
        <v>7824159.6825804468</v>
      </c>
      <c r="D254" s="640">
        <f>+D251+D252+D253</f>
        <v>6071809.7255279105</v>
      </c>
      <c r="E254" s="640">
        <f>D254-C254</f>
        <v>-1752349.9570525363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835</v>
      </c>
      <c r="B256" s="626" t="s">
        <v>836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727</v>
      </c>
      <c r="C258" s="622">
        <f>+C44</f>
        <v>691987197</v>
      </c>
      <c r="D258" s="625">
        <f>+D44</f>
        <v>709327864</v>
      </c>
      <c r="E258" s="622">
        <f t="shared" ref="E258:E271" si="30">D258-C258</f>
        <v>17340667</v>
      </c>
    </row>
    <row r="259" spans="1:5" x14ac:dyDescent="0.2">
      <c r="A259" s="588">
        <v>2</v>
      </c>
      <c r="B259" s="587" t="s">
        <v>744</v>
      </c>
      <c r="C259" s="622">
        <f>+(C43-C76)</f>
        <v>278600635</v>
      </c>
      <c r="D259" s="625">
        <f>+(D43-D76)</f>
        <v>302444951</v>
      </c>
      <c r="E259" s="622">
        <f t="shared" si="30"/>
        <v>23844316</v>
      </c>
    </row>
    <row r="260" spans="1:5" x14ac:dyDescent="0.2">
      <c r="A260" s="588">
        <v>3</v>
      </c>
      <c r="B260" s="587" t="s">
        <v>748</v>
      </c>
      <c r="C260" s="622">
        <f>C195</f>
        <v>14759236</v>
      </c>
      <c r="D260" s="622">
        <f>D195</f>
        <v>15721822</v>
      </c>
      <c r="E260" s="622">
        <f t="shared" si="30"/>
        <v>962586</v>
      </c>
    </row>
    <row r="261" spans="1:5" x14ac:dyDescent="0.2">
      <c r="A261" s="588">
        <v>4</v>
      </c>
      <c r="B261" s="587" t="s">
        <v>749</v>
      </c>
      <c r="C261" s="622">
        <f>C188</f>
        <v>79022077</v>
      </c>
      <c r="D261" s="622">
        <f>D188</f>
        <v>81545288</v>
      </c>
      <c r="E261" s="622">
        <f t="shared" si="30"/>
        <v>2523211</v>
      </c>
    </row>
    <row r="262" spans="1:5" x14ac:dyDescent="0.2">
      <c r="A262" s="588">
        <v>5</v>
      </c>
      <c r="B262" s="587" t="s">
        <v>750</v>
      </c>
      <c r="C262" s="622">
        <f>C191</f>
        <v>7564445</v>
      </c>
      <c r="D262" s="622">
        <f>D191</f>
        <v>6253497</v>
      </c>
      <c r="E262" s="622">
        <f t="shared" si="30"/>
        <v>-1310948</v>
      </c>
    </row>
    <row r="263" spans="1:5" x14ac:dyDescent="0.2">
      <c r="A263" s="588">
        <v>6</v>
      </c>
      <c r="B263" s="587" t="s">
        <v>751</v>
      </c>
      <c r="C263" s="622">
        <f>+C259+C260+C261+C262</f>
        <v>379946393</v>
      </c>
      <c r="D263" s="622">
        <f>+D259+D260+D261+D262</f>
        <v>405965558</v>
      </c>
      <c r="E263" s="622">
        <f t="shared" si="30"/>
        <v>26019165</v>
      </c>
    </row>
    <row r="264" spans="1:5" x14ac:dyDescent="0.2">
      <c r="A264" s="588">
        <v>7</v>
      </c>
      <c r="B264" s="587" t="s">
        <v>656</v>
      </c>
      <c r="C264" s="622">
        <f>+C258-C263</f>
        <v>312040804</v>
      </c>
      <c r="D264" s="622">
        <f>+D258-D263</f>
        <v>303362306</v>
      </c>
      <c r="E264" s="622">
        <f t="shared" si="30"/>
        <v>-8678498</v>
      </c>
    </row>
    <row r="265" spans="1:5" x14ac:dyDescent="0.2">
      <c r="A265" s="588">
        <v>8</v>
      </c>
      <c r="B265" s="587" t="s">
        <v>837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838</v>
      </c>
      <c r="C266" s="622">
        <f>+C264+C265</f>
        <v>312040804</v>
      </c>
      <c r="D266" s="622">
        <f>+D264+D265</f>
        <v>303362306</v>
      </c>
      <c r="E266" s="641">
        <f t="shared" si="30"/>
        <v>-8678498</v>
      </c>
    </row>
    <row r="267" spans="1:5" x14ac:dyDescent="0.2">
      <c r="A267" s="588">
        <v>10</v>
      </c>
      <c r="B267" s="587" t="s">
        <v>839</v>
      </c>
      <c r="C267" s="642">
        <f>IF(C258=0,0,C266/C258)</f>
        <v>0.45093436027834488</v>
      </c>
      <c r="D267" s="642">
        <f>IF(D258=0,0,D266/D258)</f>
        <v>0.42767572147708555</v>
      </c>
      <c r="E267" s="643">
        <f t="shared" si="30"/>
        <v>-2.3258638801259335E-2</v>
      </c>
    </row>
    <row r="268" spans="1:5" x14ac:dyDescent="0.2">
      <c r="A268" s="588">
        <v>11</v>
      </c>
      <c r="B268" s="587" t="s">
        <v>718</v>
      </c>
      <c r="C268" s="622">
        <f>+C260*C267</f>
        <v>6655446.6438571177</v>
      </c>
      <c r="D268" s="644">
        <f>+D260*D267</f>
        <v>6723841.5667843157</v>
      </c>
      <c r="E268" s="622">
        <f t="shared" si="30"/>
        <v>68394.922927198</v>
      </c>
    </row>
    <row r="269" spans="1:5" x14ac:dyDescent="0.2">
      <c r="A269" s="588">
        <v>12</v>
      </c>
      <c r="B269" s="587" t="s">
        <v>840</v>
      </c>
      <c r="C269" s="622">
        <f>((C17+C18+C28+C29)*C267)-(C50+C51+C61+C62)</f>
        <v>17366477.063929789</v>
      </c>
      <c r="D269" s="644">
        <f>((D17+D18+D28+D29)*D267)-(D50+D51+D61+D62)</f>
        <v>16807571.281296648</v>
      </c>
      <c r="E269" s="622">
        <f t="shared" si="30"/>
        <v>-558905.78263314068</v>
      </c>
    </row>
    <row r="270" spans="1:5" s="648" customFormat="1" x14ac:dyDescent="0.2">
      <c r="A270" s="645">
        <v>13</v>
      </c>
      <c r="B270" s="646" t="s">
        <v>841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842</v>
      </c>
      <c r="C271" s="622">
        <f>+C268+C269+C270</f>
        <v>24021923.707786907</v>
      </c>
      <c r="D271" s="622">
        <f>+D268+D269+D270</f>
        <v>23531412.848080963</v>
      </c>
      <c r="E271" s="625">
        <f t="shared" si="30"/>
        <v>-490510.85970594361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843</v>
      </c>
      <c r="B273" s="626" t="s">
        <v>844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845</v>
      </c>
      <c r="C275" s="425"/>
      <c r="D275" s="425"/>
      <c r="E275" s="596"/>
    </row>
    <row r="276" spans="1:5" x14ac:dyDescent="0.2">
      <c r="A276" s="588">
        <v>1</v>
      </c>
      <c r="B276" s="587" t="s">
        <v>658</v>
      </c>
      <c r="C276" s="623">
        <f t="shared" ref="C276:D284" si="31">IF(C14=0,0,+C47/C14)</f>
        <v>0.71277016297124973</v>
      </c>
      <c r="D276" s="623">
        <f t="shared" si="31"/>
        <v>0.7361313135855907</v>
      </c>
      <c r="E276" s="650">
        <f t="shared" ref="E276:E284" si="32">D276-C276</f>
        <v>2.3361150614340964E-2</v>
      </c>
    </row>
    <row r="277" spans="1:5" x14ac:dyDescent="0.2">
      <c r="A277" s="588">
        <v>2</v>
      </c>
      <c r="B277" s="587" t="s">
        <v>637</v>
      </c>
      <c r="C277" s="623">
        <f t="shared" si="31"/>
        <v>0.46990651473037465</v>
      </c>
      <c r="D277" s="623">
        <f t="shared" si="31"/>
        <v>0.44339233688857743</v>
      </c>
      <c r="E277" s="650">
        <f t="shared" si="32"/>
        <v>-2.6514177841797215E-2</v>
      </c>
    </row>
    <row r="278" spans="1:5" x14ac:dyDescent="0.2">
      <c r="A278" s="588">
        <v>3</v>
      </c>
      <c r="B278" s="587" t="s">
        <v>779</v>
      </c>
      <c r="C278" s="623">
        <f t="shared" si="31"/>
        <v>0.33613440442587034</v>
      </c>
      <c r="D278" s="623">
        <f t="shared" si="31"/>
        <v>0.32165075965792472</v>
      </c>
      <c r="E278" s="650">
        <f t="shared" si="32"/>
        <v>-1.4483644767945614E-2</v>
      </c>
    </row>
    <row r="279" spans="1:5" x14ac:dyDescent="0.2">
      <c r="A279" s="588">
        <v>4</v>
      </c>
      <c r="B279" s="587" t="s">
        <v>115</v>
      </c>
      <c r="C279" s="623">
        <f t="shared" si="31"/>
        <v>0.33652321698106963</v>
      </c>
      <c r="D279" s="623">
        <f t="shared" si="31"/>
        <v>0.32167822585255373</v>
      </c>
      <c r="E279" s="650">
        <f t="shared" si="32"/>
        <v>-1.4844991128515894E-2</v>
      </c>
    </row>
    <row r="280" spans="1:5" x14ac:dyDescent="0.2">
      <c r="A280" s="588">
        <v>5</v>
      </c>
      <c r="B280" s="587" t="s">
        <v>745</v>
      </c>
      <c r="C280" s="623">
        <f t="shared" si="31"/>
        <v>0.29748060405695015</v>
      </c>
      <c r="D280" s="623">
        <f t="shared" si="31"/>
        <v>0.31797702609594353</v>
      </c>
      <c r="E280" s="650">
        <f t="shared" si="32"/>
        <v>2.0496422038993378E-2</v>
      </c>
    </row>
    <row r="281" spans="1:5" x14ac:dyDescent="0.2">
      <c r="A281" s="588">
        <v>6</v>
      </c>
      <c r="B281" s="587" t="s">
        <v>424</v>
      </c>
      <c r="C281" s="623">
        <f t="shared" si="31"/>
        <v>0.4322117536430985</v>
      </c>
      <c r="D281" s="623">
        <f t="shared" si="31"/>
        <v>0.4253329643255524</v>
      </c>
      <c r="E281" s="650">
        <f t="shared" si="32"/>
        <v>-6.8787893175460968E-3</v>
      </c>
    </row>
    <row r="282" spans="1:5" x14ac:dyDescent="0.2">
      <c r="A282" s="588">
        <v>7</v>
      </c>
      <c r="B282" s="587" t="s">
        <v>760</v>
      </c>
      <c r="C282" s="623">
        <f t="shared" si="31"/>
        <v>0</v>
      </c>
      <c r="D282" s="623">
        <f t="shared" si="31"/>
        <v>0</v>
      </c>
      <c r="E282" s="650">
        <f t="shared" si="32"/>
        <v>0</v>
      </c>
    </row>
    <row r="283" spans="1:5" ht="29.25" customHeight="1" x14ac:dyDescent="0.2">
      <c r="A283" s="588"/>
      <c r="B283" s="592" t="s">
        <v>846</v>
      </c>
      <c r="C283" s="651">
        <f t="shared" si="31"/>
        <v>0.43799912369302851</v>
      </c>
      <c r="D283" s="651">
        <f t="shared" si="31"/>
        <v>0.41507445783052443</v>
      </c>
      <c r="E283" s="652">
        <f t="shared" si="32"/>
        <v>-2.2924665862504079E-2</v>
      </c>
    </row>
    <row r="284" spans="1:5" x14ac:dyDescent="0.2">
      <c r="A284" s="588"/>
      <c r="B284" s="592" t="s">
        <v>847</v>
      </c>
      <c r="C284" s="651">
        <f t="shared" si="31"/>
        <v>0.50680773854285455</v>
      </c>
      <c r="D284" s="651">
        <f t="shared" si="31"/>
        <v>0.49219991344623243</v>
      </c>
      <c r="E284" s="652">
        <f t="shared" si="32"/>
        <v>-1.4607825096622118E-2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848</v>
      </c>
      <c r="C286" s="596"/>
      <c r="D286" s="596"/>
      <c r="E286" s="596"/>
    </row>
    <row r="287" spans="1:5" x14ac:dyDescent="0.2">
      <c r="A287" s="588">
        <v>1</v>
      </c>
      <c r="B287" s="587" t="s">
        <v>658</v>
      </c>
      <c r="C287" s="623">
        <f t="shared" ref="C287:D295" si="33">IF(C25=0,0,+C58/C25)</f>
        <v>0.56655581446064307</v>
      </c>
      <c r="D287" s="623">
        <f t="shared" si="33"/>
        <v>0.54530176628449212</v>
      </c>
      <c r="E287" s="650">
        <f t="shared" ref="E287:E295" si="34">D287-C287</f>
        <v>-2.1254048176150953E-2</v>
      </c>
    </row>
    <row r="288" spans="1:5" x14ac:dyDescent="0.2">
      <c r="A288" s="588">
        <v>2</v>
      </c>
      <c r="B288" s="587" t="s">
        <v>637</v>
      </c>
      <c r="C288" s="623">
        <f t="shared" si="33"/>
        <v>0.26979009215097555</v>
      </c>
      <c r="D288" s="623">
        <f t="shared" si="33"/>
        <v>0.23532195499088912</v>
      </c>
      <c r="E288" s="650">
        <f t="shared" si="34"/>
        <v>-3.4468137160086426E-2</v>
      </c>
    </row>
    <row r="289" spans="1:5" x14ac:dyDescent="0.2">
      <c r="A289" s="588">
        <v>3</v>
      </c>
      <c r="B289" s="587" t="s">
        <v>779</v>
      </c>
      <c r="C289" s="623">
        <f t="shared" si="33"/>
        <v>0.27891800172447112</v>
      </c>
      <c r="D289" s="623">
        <f t="shared" si="33"/>
        <v>0.27072492646227742</v>
      </c>
      <c r="E289" s="650">
        <f t="shared" si="34"/>
        <v>-8.1930752621937053E-3</v>
      </c>
    </row>
    <row r="290" spans="1:5" x14ac:dyDescent="0.2">
      <c r="A290" s="588">
        <v>4</v>
      </c>
      <c r="B290" s="587" t="s">
        <v>115</v>
      </c>
      <c r="C290" s="623">
        <f t="shared" si="33"/>
        <v>0.27923594655816991</v>
      </c>
      <c r="D290" s="623">
        <f t="shared" si="33"/>
        <v>0.27120234192494996</v>
      </c>
      <c r="E290" s="650">
        <f t="shared" si="34"/>
        <v>-8.0336046332199484E-3</v>
      </c>
    </row>
    <row r="291" spans="1:5" x14ac:dyDescent="0.2">
      <c r="A291" s="588">
        <v>5</v>
      </c>
      <c r="B291" s="587" t="s">
        <v>745</v>
      </c>
      <c r="C291" s="623">
        <f t="shared" si="33"/>
        <v>0.25822422856966926</v>
      </c>
      <c r="D291" s="623">
        <f t="shared" si="33"/>
        <v>0.25070184960081021</v>
      </c>
      <c r="E291" s="650">
        <f t="shared" si="34"/>
        <v>-7.5223789688590448E-3</v>
      </c>
    </row>
    <row r="292" spans="1:5" x14ac:dyDescent="0.2">
      <c r="A292" s="588">
        <v>6</v>
      </c>
      <c r="B292" s="587" t="s">
        <v>424</v>
      </c>
      <c r="C292" s="623">
        <f t="shared" si="33"/>
        <v>0.30331886880966635</v>
      </c>
      <c r="D292" s="623">
        <f t="shared" si="33"/>
        <v>0.26332564657063551</v>
      </c>
      <c r="E292" s="650">
        <f t="shared" si="34"/>
        <v>-3.9993222239030846E-2</v>
      </c>
    </row>
    <row r="293" spans="1:5" x14ac:dyDescent="0.2">
      <c r="A293" s="588">
        <v>7</v>
      </c>
      <c r="B293" s="587" t="s">
        <v>760</v>
      </c>
      <c r="C293" s="623">
        <f t="shared" si="33"/>
        <v>0</v>
      </c>
      <c r="D293" s="623">
        <f t="shared" si="33"/>
        <v>0</v>
      </c>
      <c r="E293" s="650">
        <f t="shared" si="34"/>
        <v>0</v>
      </c>
    </row>
    <row r="294" spans="1:5" ht="29.25" customHeight="1" x14ac:dyDescent="0.2">
      <c r="A294" s="588"/>
      <c r="B294" s="592" t="s">
        <v>849</v>
      </c>
      <c r="C294" s="651">
        <f t="shared" si="33"/>
        <v>0.27630119842642581</v>
      </c>
      <c r="D294" s="651">
        <f t="shared" si="33"/>
        <v>0.24950748088103755</v>
      </c>
      <c r="E294" s="652">
        <f t="shared" si="34"/>
        <v>-2.6793717545388257E-2</v>
      </c>
    </row>
    <row r="295" spans="1:5" x14ac:dyDescent="0.2">
      <c r="A295" s="588"/>
      <c r="B295" s="592" t="s">
        <v>850</v>
      </c>
      <c r="C295" s="651">
        <f t="shared" si="33"/>
        <v>0.41049568720076374</v>
      </c>
      <c r="D295" s="651">
        <f t="shared" si="33"/>
        <v>0.38225273259729953</v>
      </c>
      <c r="E295" s="652">
        <f t="shared" si="34"/>
        <v>-2.824295460346421E-2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851</v>
      </c>
      <c r="B297" s="579" t="s">
        <v>852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853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656</v>
      </c>
      <c r="C301" s="590">
        <f>+C48+C47+C50+C51+C52+C59+C58+C61+C62+C63</f>
        <v>312040803</v>
      </c>
      <c r="D301" s="590">
        <f>+D48+D47+D50+D51+D52+D59+D58+D61+D62+D63</f>
        <v>303362305</v>
      </c>
      <c r="E301" s="590">
        <f>D301-C301</f>
        <v>-8678498</v>
      </c>
    </row>
    <row r="302" spans="1:5" ht="25.5" x14ac:dyDescent="0.2">
      <c r="A302" s="588">
        <v>2</v>
      </c>
      <c r="B302" s="587" t="s">
        <v>854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855</v>
      </c>
      <c r="C303" s="593">
        <f>+C301+C302</f>
        <v>312040803</v>
      </c>
      <c r="D303" s="593">
        <f>+D301+D302</f>
        <v>303362305</v>
      </c>
      <c r="E303" s="593">
        <f>D303-C303</f>
        <v>-8678498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856</v>
      </c>
      <c r="C305" s="589">
        <v>11602393</v>
      </c>
      <c r="D305" s="654">
        <v>-4432141</v>
      </c>
      <c r="E305" s="655">
        <f>D305-C305</f>
        <v>-16034534</v>
      </c>
    </row>
    <row r="306" spans="1:5" x14ac:dyDescent="0.2">
      <c r="A306" s="588">
        <v>4</v>
      </c>
      <c r="B306" s="592" t="s">
        <v>857</v>
      </c>
      <c r="C306" s="593">
        <f>+C303+C305+C194+C190-C191</f>
        <v>342789207</v>
      </c>
      <c r="D306" s="593">
        <f>+D303+D305</f>
        <v>298930164</v>
      </c>
      <c r="E306" s="656">
        <f>D306-C306</f>
        <v>-43859043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858</v>
      </c>
      <c r="C308" s="589">
        <v>323643197</v>
      </c>
      <c r="D308" s="589">
        <v>298930165</v>
      </c>
      <c r="E308" s="590">
        <f>D308-C308</f>
        <v>-24713032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859</v>
      </c>
      <c r="C310" s="657">
        <f>C306-C308</f>
        <v>19146010</v>
      </c>
      <c r="D310" s="658">
        <f>D306-D308</f>
        <v>-1</v>
      </c>
      <c r="E310" s="656">
        <f>D310-C310</f>
        <v>-19146011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860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861</v>
      </c>
      <c r="C314" s="590">
        <f>+C14+C15+C16+C19+C25+C26+C27+C30</f>
        <v>691987197</v>
      </c>
      <c r="D314" s="590">
        <f>+D14+D15+D16+D19+D25+D26+D27+D30</f>
        <v>709327864</v>
      </c>
      <c r="E314" s="590">
        <f>D314-C314</f>
        <v>17340667</v>
      </c>
    </row>
    <row r="315" spans="1:5" x14ac:dyDescent="0.2">
      <c r="A315" s="588">
        <v>2</v>
      </c>
      <c r="B315" s="659" t="s">
        <v>862</v>
      </c>
      <c r="C315" s="589">
        <v>0</v>
      </c>
      <c r="D315" s="589">
        <v>9026355</v>
      </c>
      <c r="E315" s="590">
        <f>D315-C315</f>
        <v>9026355</v>
      </c>
    </row>
    <row r="316" spans="1:5" x14ac:dyDescent="0.2">
      <c r="A316" s="588"/>
      <c r="B316" s="592" t="s">
        <v>863</v>
      </c>
      <c r="C316" s="657">
        <f>C314+C315</f>
        <v>691987197</v>
      </c>
      <c r="D316" s="657">
        <f>D314+D315</f>
        <v>718354219</v>
      </c>
      <c r="E316" s="593">
        <f>D316-C316</f>
        <v>26367022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864</v>
      </c>
      <c r="C318" s="589">
        <v>691987197</v>
      </c>
      <c r="D318" s="589">
        <v>718354285</v>
      </c>
      <c r="E318" s="590">
        <f>D318-C318</f>
        <v>26367088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859</v>
      </c>
      <c r="C320" s="657">
        <f>C316-C318</f>
        <v>0</v>
      </c>
      <c r="D320" s="657">
        <f>D316-D318</f>
        <v>-66</v>
      </c>
      <c r="E320" s="593">
        <f>D320-C320</f>
        <v>-66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865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866</v>
      </c>
      <c r="C324" s="589">
        <f>+C193+C194</f>
        <v>14759236</v>
      </c>
      <c r="D324" s="589">
        <f>+D193+D194</f>
        <v>15721822</v>
      </c>
      <c r="E324" s="590">
        <f>D324-C324</f>
        <v>962586</v>
      </c>
    </row>
    <row r="325" spans="1:5" x14ac:dyDescent="0.2">
      <c r="A325" s="588">
        <v>2</v>
      </c>
      <c r="B325" s="587" t="s">
        <v>867</v>
      </c>
      <c r="C325" s="589">
        <v>2907353</v>
      </c>
      <c r="D325" s="589">
        <v>3531183</v>
      </c>
      <c r="E325" s="590">
        <f>D325-C325</f>
        <v>623830</v>
      </c>
    </row>
    <row r="326" spans="1:5" x14ac:dyDescent="0.2">
      <c r="A326" s="588"/>
      <c r="B326" s="592" t="s">
        <v>868</v>
      </c>
      <c r="C326" s="657">
        <f>C324+C325</f>
        <v>17666589</v>
      </c>
      <c r="D326" s="657">
        <f>D324+D325</f>
        <v>19253005</v>
      </c>
      <c r="E326" s="593">
        <f>D326-C326</f>
        <v>1586416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869</v>
      </c>
      <c r="C328" s="589">
        <v>17666590</v>
      </c>
      <c r="D328" s="589">
        <v>19253005</v>
      </c>
      <c r="E328" s="590">
        <f>D328-C328</f>
        <v>1586415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870</v>
      </c>
      <c r="C330" s="657">
        <f>C326-C328</f>
        <v>-1</v>
      </c>
      <c r="D330" s="657">
        <f>D326-D328</f>
        <v>0</v>
      </c>
      <c r="E330" s="593">
        <f>D330-C330</f>
        <v>1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2" fitToHeight="0" orientation="portrait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631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871</v>
      </c>
      <c r="B5" s="824"/>
      <c r="C5" s="825"/>
      <c r="D5" s="661"/>
    </row>
    <row r="6" spans="1:58" s="662" customFormat="1" ht="15.75" customHeight="1" x14ac:dyDescent="0.25">
      <c r="A6" s="823" t="s">
        <v>872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873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874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778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658</v>
      </c>
      <c r="C14" s="589">
        <v>70397042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637</v>
      </c>
      <c r="C15" s="591">
        <v>160976571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779</v>
      </c>
      <c r="C16" s="591">
        <v>50068391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49696839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745</v>
      </c>
      <c r="C18" s="591">
        <v>371552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11605898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760</v>
      </c>
      <c r="C20" s="591">
        <v>1115273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780</v>
      </c>
      <c r="C21" s="593">
        <f>SUM(C15+C16+C19)</f>
        <v>222650860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293047902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781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658</v>
      </c>
      <c r="C25" s="589">
        <v>186816281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637</v>
      </c>
      <c r="C26" s="591">
        <v>132585334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779</v>
      </c>
      <c r="C27" s="591">
        <v>73265459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71559253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745</v>
      </c>
      <c r="C29" s="591">
        <v>1706206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23612888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760</v>
      </c>
      <c r="C31" s="594">
        <v>10987518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782</v>
      </c>
      <c r="C32" s="593">
        <f>SUM(C26+C27+C30)</f>
        <v>229463681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416279962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655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875</v>
      </c>
      <c r="C36" s="590">
        <f>SUM(C14+C25)</f>
        <v>257213323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876</v>
      </c>
      <c r="C37" s="594">
        <f>SUM(C21+C32)</f>
        <v>452114541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655</v>
      </c>
      <c r="C38" s="593">
        <f>SUM(+C36+C37)</f>
        <v>709327864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791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658</v>
      </c>
      <c r="C41" s="589">
        <v>51821467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637</v>
      </c>
      <c r="C42" s="591">
        <v>71375778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779</v>
      </c>
      <c r="C43" s="591">
        <v>16104536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15986391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745</v>
      </c>
      <c r="C45" s="591">
        <v>118145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4936371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760</v>
      </c>
      <c r="C47" s="591">
        <v>0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792</v>
      </c>
      <c r="C48" s="593">
        <f>SUM(C42+C43+C46)</f>
        <v>92416685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144238152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793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658</v>
      </c>
      <c r="C52" s="589">
        <v>101871248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637</v>
      </c>
      <c r="C53" s="591">
        <v>31200240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779</v>
      </c>
      <c r="C54" s="591">
        <v>19834786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19407037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745</v>
      </c>
      <c r="C56" s="591">
        <v>427749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6217879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760</v>
      </c>
      <c r="C58" s="591">
        <v>0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794</v>
      </c>
      <c r="C59" s="593">
        <f>SUM(C53+C54+C57)</f>
        <v>57252905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159124153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656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877</v>
      </c>
      <c r="C63" s="590">
        <f>SUM(C41+C52)</f>
        <v>153692715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878</v>
      </c>
      <c r="C64" s="594">
        <f>SUM(C48+C59)</f>
        <v>149669590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656</v>
      </c>
      <c r="C65" s="593">
        <f>SUM(+C63+C64)</f>
        <v>303362305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879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880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658</v>
      </c>
      <c r="C70" s="606">
        <v>3952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637</v>
      </c>
      <c r="C71" s="606">
        <v>6658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779</v>
      </c>
      <c r="C72" s="606">
        <v>3096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3069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745</v>
      </c>
      <c r="C74" s="606">
        <v>27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943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760</v>
      </c>
      <c r="C76" s="621">
        <v>67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809</v>
      </c>
      <c r="C77" s="608">
        <f>SUM(C71+C72+C75)</f>
        <v>10697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14649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813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658</v>
      </c>
      <c r="C81" s="617">
        <v>1.1398999999999999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637</v>
      </c>
      <c r="C82" s="617">
        <v>1.4094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779</v>
      </c>
      <c r="C83" s="617">
        <f>((C73*C84)+(C74*C85))/(C73+C74)</f>
        <v>0.97289796511627913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0.97389999999999999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745</v>
      </c>
      <c r="C85" s="617">
        <v>0.85899999999999999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0.88970000000000005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760</v>
      </c>
      <c r="C87" s="617">
        <v>1.0244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814</v>
      </c>
      <c r="C88" s="619">
        <f>((C71*C82)+(C73*C84)+(C74*C85)+(C75*C86))/(C71+C73+C74+C75)</f>
        <v>1.2372501075067777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725</v>
      </c>
      <c r="C89" s="619">
        <f>((C70*C81)+(C71*C82)+(C73*C84)+(C74*C85)+(C75*C86))/(C70+C71+C73+C74+C75)</f>
        <v>1.2109870434841967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815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816</v>
      </c>
      <c r="C92" s="589">
        <v>231817118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817</v>
      </c>
      <c r="C93" s="622">
        <v>150271830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670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749</v>
      </c>
      <c r="C95" s="589">
        <f>+C92-C93</f>
        <v>81545288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672</v>
      </c>
      <c r="C96" s="681">
        <f>(+C92-C93)/C92</f>
        <v>0.35176560171022403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764</v>
      </c>
      <c r="C98" s="589">
        <v>13293414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750</v>
      </c>
      <c r="C99" s="589">
        <v>6253497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881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819</v>
      </c>
      <c r="C103" s="589">
        <v>3684045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820</v>
      </c>
      <c r="C104" s="589">
        <v>12037777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821</v>
      </c>
      <c r="C105" s="654">
        <f>+C103+C104</f>
        <v>15721822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822</v>
      </c>
      <c r="C107" s="589">
        <v>22653789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712</v>
      </c>
      <c r="C108" s="589">
        <v>312019235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852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853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656</v>
      </c>
      <c r="C114" s="590">
        <f>+C65</f>
        <v>303362305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854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855</v>
      </c>
      <c r="C116" s="593">
        <f>+C114+C115</f>
        <v>303362305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856</v>
      </c>
      <c r="C118" s="654">
        <v>-4432141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857</v>
      </c>
      <c r="C119" s="656">
        <f>+C116+C118</f>
        <v>298930164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858</v>
      </c>
      <c r="C121" s="589">
        <v>298930165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859</v>
      </c>
      <c r="C123" s="658">
        <f>C119-C121</f>
        <v>-1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860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861</v>
      </c>
      <c r="C127" s="590">
        <f>C38</f>
        <v>709327864</v>
      </c>
      <c r="D127" s="664"/>
      <c r="AR127" s="485"/>
    </row>
    <row r="128" spans="1:58" s="421" customFormat="1" ht="12.75" x14ac:dyDescent="0.2">
      <c r="A128" s="588">
        <v>2</v>
      </c>
      <c r="B128" s="659" t="s">
        <v>862</v>
      </c>
      <c r="C128" s="589">
        <v>9026355</v>
      </c>
      <c r="D128" s="664"/>
      <c r="AR128" s="485"/>
    </row>
    <row r="129" spans="1:44" s="421" customFormat="1" ht="12.75" x14ac:dyDescent="0.2">
      <c r="A129" s="588"/>
      <c r="B129" s="671" t="s">
        <v>863</v>
      </c>
      <c r="C129" s="657">
        <f>C127+C128</f>
        <v>718354219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864</v>
      </c>
      <c r="C131" s="589">
        <v>718354285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859</v>
      </c>
      <c r="C133" s="657">
        <f>C129-C131</f>
        <v>-66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865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866</v>
      </c>
      <c r="C137" s="589">
        <f>C105</f>
        <v>15721822</v>
      </c>
      <c r="D137" s="664"/>
      <c r="AR137" s="485"/>
    </row>
    <row r="138" spans="1:44" s="421" customFormat="1" ht="12.75" x14ac:dyDescent="0.2">
      <c r="A138" s="588">
        <v>2</v>
      </c>
      <c r="B138" s="669" t="s">
        <v>882</v>
      </c>
      <c r="C138" s="589">
        <v>3531183</v>
      </c>
      <c r="D138" s="664"/>
      <c r="AR138" s="485"/>
    </row>
    <row r="139" spans="1:44" s="421" customFormat="1" ht="12.75" x14ac:dyDescent="0.2">
      <c r="A139" s="588"/>
      <c r="B139" s="671" t="s">
        <v>868</v>
      </c>
      <c r="C139" s="657">
        <f>C137+C138</f>
        <v>19253005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883</v>
      </c>
      <c r="C141" s="589">
        <v>19253005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870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631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884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634</v>
      </c>
      <c r="D8" s="177" t="s">
        <v>634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885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886</v>
      </c>
      <c r="C12" s="185">
        <v>1714</v>
      </c>
      <c r="D12" s="185">
        <v>1665</v>
      </c>
      <c r="E12" s="185">
        <f>+D12-C12</f>
        <v>-49</v>
      </c>
      <c r="F12" s="77">
        <f>IF(C12=0,0,+E12/C12)</f>
        <v>-2.8588098016336057E-2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887</v>
      </c>
      <c r="C13" s="185">
        <v>1364</v>
      </c>
      <c r="D13" s="185">
        <v>1258</v>
      </c>
      <c r="E13" s="185">
        <f>+D13-C13</f>
        <v>-106</v>
      </c>
      <c r="F13" s="77">
        <f>IF(C13=0,0,+E13/C13)</f>
        <v>-7.7712609970674487E-2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888</v>
      </c>
      <c r="C15" s="76">
        <v>2828618</v>
      </c>
      <c r="D15" s="76">
        <v>3684045</v>
      </c>
      <c r="E15" s="76">
        <f>+D15-C15</f>
        <v>855427</v>
      </c>
      <c r="F15" s="77">
        <f>IF(C15=0,0,+E15/C15)</f>
        <v>0.30241870765158108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889</v>
      </c>
      <c r="C16" s="79">
        <f>IF(C13=0,0,+C15/+C13)</f>
        <v>2073.7668621700882</v>
      </c>
      <c r="D16" s="79">
        <f>IF(D13=0,0,+D15/+D13)</f>
        <v>2928.493640699523</v>
      </c>
      <c r="E16" s="79">
        <f>+D16-C16</f>
        <v>854.7267785294348</v>
      </c>
      <c r="F16" s="80">
        <f>IF(C16=0,0,+E16/C16)</f>
        <v>0.41216146044257262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890</v>
      </c>
      <c r="C18" s="704">
        <v>0.46146599999999999</v>
      </c>
      <c r="D18" s="704">
        <v>0.449795</v>
      </c>
      <c r="E18" s="704">
        <f>+D18-C18</f>
        <v>-1.1670999999999987E-2</v>
      </c>
      <c r="F18" s="77">
        <f>IF(C18=0,0,+E18/C18)</f>
        <v>-2.529113737523455E-2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891</v>
      </c>
      <c r="C19" s="79">
        <f>+C15*C18</f>
        <v>1305311.0339879999</v>
      </c>
      <c r="D19" s="79">
        <f>+D15*D18</f>
        <v>1657065.0207750001</v>
      </c>
      <c r="E19" s="79">
        <f>+D19-C19</f>
        <v>351753.98678700021</v>
      </c>
      <c r="F19" s="80">
        <f>IF(C19=0,0,+E19/C19)</f>
        <v>0.26947905719628967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892</v>
      </c>
      <c r="C20" s="79">
        <f>IF(C13=0,0,+C19/C13)</f>
        <v>956.97289881818176</v>
      </c>
      <c r="D20" s="79">
        <f>IF(D13=0,0,+D19/D13)</f>
        <v>1317.2217971184421</v>
      </c>
      <c r="E20" s="79">
        <f>+D20-C20</f>
        <v>360.24889830026029</v>
      </c>
      <c r="F20" s="80">
        <f>IF(C20=0,0,+E20/C20)</f>
        <v>0.37644629095050797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893</v>
      </c>
      <c r="C22" s="76">
        <v>356641</v>
      </c>
      <c r="D22" s="76">
        <v>614852</v>
      </c>
      <c r="E22" s="76">
        <f>+D22-C22</f>
        <v>258211</v>
      </c>
      <c r="F22" s="77">
        <f>IF(C22=0,0,+E22/C22)</f>
        <v>0.72400817628932179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894</v>
      </c>
      <c r="C23" s="185">
        <v>1486688</v>
      </c>
      <c r="D23" s="185">
        <v>2262586</v>
      </c>
      <c r="E23" s="185">
        <f>+D23-C23</f>
        <v>775898</v>
      </c>
      <c r="F23" s="77">
        <f>IF(C23=0,0,+E23/C23)</f>
        <v>0.52189699520006883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895</v>
      </c>
      <c r="C24" s="185">
        <v>985289</v>
      </c>
      <c r="D24" s="185">
        <v>806607</v>
      </c>
      <c r="E24" s="185">
        <f>+D24-C24</f>
        <v>-178682</v>
      </c>
      <c r="F24" s="77">
        <f>IF(C24=0,0,+E24/C24)</f>
        <v>-0.18134983745885724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896</v>
      </c>
      <c r="C25" s="79">
        <f>+C22+C23+C24</f>
        <v>2828618</v>
      </c>
      <c r="D25" s="79">
        <f>+D22+D23+D24</f>
        <v>3684045</v>
      </c>
      <c r="E25" s="79">
        <f>+E22+E23+E24</f>
        <v>855427</v>
      </c>
      <c r="F25" s="80">
        <f>IF(C25=0,0,+E25/C25)</f>
        <v>0.30241870765158108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897</v>
      </c>
      <c r="C27" s="185">
        <v>93</v>
      </c>
      <c r="D27" s="185">
        <v>114</v>
      </c>
      <c r="E27" s="185">
        <f>+D27-C27</f>
        <v>21</v>
      </c>
      <c r="F27" s="77">
        <f>IF(C27=0,0,+E27/C27)</f>
        <v>0.22580645161290322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898</v>
      </c>
      <c r="C28" s="185">
        <v>31</v>
      </c>
      <c r="D28" s="185">
        <v>34</v>
      </c>
      <c r="E28" s="185">
        <f>+D28-C28</f>
        <v>3</v>
      </c>
      <c r="F28" s="77">
        <f>IF(C28=0,0,+E28/C28)</f>
        <v>9.6774193548387094E-2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899</v>
      </c>
      <c r="C29" s="185">
        <v>857</v>
      </c>
      <c r="D29" s="185">
        <v>741</v>
      </c>
      <c r="E29" s="185">
        <f>+D29-C29</f>
        <v>-116</v>
      </c>
      <c r="F29" s="77">
        <f>IF(C29=0,0,+E29/C29)</f>
        <v>-0.13535589264877479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900</v>
      </c>
      <c r="C30" s="185">
        <v>1479</v>
      </c>
      <c r="D30" s="185">
        <v>1552</v>
      </c>
      <c r="E30" s="185">
        <f>+D30-C30</f>
        <v>73</v>
      </c>
      <c r="F30" s="77">
        <f>IF(C30=0,0,+E30/C30)</f>
        <v>4.9357674104124408E-2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901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902</v>
      </c>
      <c r="C33" s="76">
        <v>2955474</v>
      </c>
      <c r="D33" s="76">
        <v>2841664</v>
      </c>
      <c r="E33" s="76">
        <f>+D33-C33</f>
        <v>-113810</v>
      </c>
      <c r="F33" s="77">
        <f>IF(C33=0,0,+E33/C33)</f>
        <v>-3.8508205451985029E-2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903</v>
      </c>
      <c r="C34" s="185">
        <v>3365362</v>
      </c>
      <c r="D34" s="185">
        <v>3342959</v>
      </c>
      <c r="E34" s="185">
        <f>+D34-C34</f>
        <v>-22403</v>
      </c>
      <c r="F34" s="77">
        <f>IF(C34=0,0,+E34/C34)</f>
        <v>-6.6569361631824454E-3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904</v>
      </c>
      <c r="C35" s="185">
        <v>5609782</v>
      </c>
      <c r="D35" s="185">
        <v>5853154</v>
      </c>
      <c r="E35" s="185">
        <f>+D35-C35</f>
        <v>243372</v>
      </c>
      <c r="F35" s="77">
        <f>IF(C35=0,0,+E35/C35)</f>
        <v>4.3383504029211831E-2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905</v>
      </c>
      <c r="C36" s="79">
        <f>+C33+C34+C35</f>
        <v>11930618</v>
      </c>
      <c r="D36" s="79">
        <f>+D33+D34+D35</f>
        <v>12037777</v>
      </c>
      <c r="E36" s="79">
        <f>+E33+E34+E35</f>
        <v>107159</v>
      </c>
      <c r="F36" s="80">
        <f>IF(C36=0,0,+E36/C36)</f>
        <v>8.9818482160773233E-3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906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907</v>
      </c>
      <c r="C39" s="76">
        <f>+C25</f>
        <v>2828618</v>
      </c>
      <c r="D39" s="76">
        <f>+D25</f>
        <v>3684045</v>
      </c>
      <c r="E39" s="76">
        <f>+D39-C39</f>
        <v>855427</v>
      </c>
      <c r="F39" s="77">
        <f>IF(C39=0,0,+E39/C39)</f>
        <v>0.30241870765158108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908</v>
      </c>
      <c r="C40" s="185">
        <f>+C36</f>
        <v>11930618</v>
      </c>
      <c r="D40" s="185">
        <f>+D36</f>
        <v>12037777</v>
      </c>
      <c r="E40" s="185">
        <f>+D40-C40</f>
        <v>107159</v>
      </c>
      <c r="F40" s="77">
        <f>IF(C40=0,0,+E40/C40)</f>
        <v>8.9818482160773233E-3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909</v>
      </c>
      <c r="C41" s="79">
        <f>+C39+C40</f>
        <v>14759236</v>
      </c>
      <c r="D41" s="79">
        <f>+D39+D40</f>
        <v>15721822</v>
      </c>
      <c r="E41" s="79">
        <f>+E39+E40</f>
        <v>962586</v>
      </c>
      <c r="F41" s="80">
        <f>IF(C41=0,0,+E41/C41)</f>
        <v>6.5219229504833443E-2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910</v>
      </c>
      <c r="C43" s="76">
        <f t="shared" ref="C43:D45" si="0">+C22+C33</f>
        <v>3312115</v>
      </c>
      <c r="D43" s="76">
        <f t="shared" si="0"/>
        <v>3456516</v>
      </c>
      <c r="E43" s="76">
        <f>+D43-C43</f>
        <v>144401</v>
      </c>
      <c r="F43" s="77">
        <f>IF(C43=0,0,+E43/C43)</f>
        <v>4.359782193553062E-2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911</v>
      </c>
      <c r="C44" s="185">
        <f t="shared" si="0"/>
        <v>4852050</v>
      </c>
      <c r="D44" s="185">
        <f t="shared" si="0"/>
        <v>5605545</v>
      </c>
      <c r="E44" s="185">
        <f>+D44-C44</f>
        <v>753495</v>
      </c>
      <c r="F44" s="77">
        <f>IF(C44=0,0,+E44/C44)</f>
        <v>0.15529415401737409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912</v>
      </c>
      <c r="C45" s="185">
        <f t="shared" si="0"/>
        <v>6595071</v>
      </c>
      <c r="D45" s="185">
        <f t="shared" si="0"/>
        <v>6659761</v>
      </c>
      <c r="E45" s="185">
        <f>+D45-C45</f>
        <v>64690</v>
      </c>
      <c r="F45" s="77">
        <f>IF(C45=0,0,+E45/C45)</f>
        <v>9.8088405719968744E-3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909</v>
      </c>
      <c r="C46" s="79">
        <f>+C43+C44+C45</f>
        <v>14759236</v>
      </c>
      <c r="D46" s="79">
        <f>+D43+D44+D45</f>
        <v>15721822</v>
      </c>
      <c r="E46" s="79">
        <f>+E43+E44+E45</f>
        <v>962586</v>
      </c>
      <c r="F46" s="80">
        <f>IF(C46=0,0,+E46/C46)</f>
        <v>6.5219229504833443E-2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913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/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631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914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915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916</v>
      </c>
      <c r="D10" s="177" t="s">
        <v>916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917</v>
      </c>
      <c r="D11" s="693" t="s">
        <v>917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918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232465068</v>
      </c>
      <c r="D15" s="76">
        <v>231817118</v>
      </c>
      <c r="E15" s="76">
        <f>+D15-C15</f>
        <v>-647950</v>
      </c>
      <c r="F15" s="77">
        <f>IF(C15=0,0,E15/C15)</f>
        <v>-2.7873004988431208E-3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919</v>
      </c>
      <c r="C17" s="76">
        <v>79022077</v>
      </c>
      <c r="D17" s="76">
        <v>81545288</v>
      </c>
      <c r="E17" s="76">
        <f>+D17-C17</f>
        <v>2523211</v>
      </c>
      <c r="F17" s="77">
        <f>IF(C17=0,0,E17/C17)</f>
        <v>3.1930456598856544E-2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920</v>
      </c>
      <c r="C19" s="79">
        <f>+C15-C17</f>
        <v>153442991</v>
      </c>
      <c r="D19" s="79">
        <f>+D15-D17</f>
        <v>150271830</v>
      </c>
      <c r="E19" s="79">
        <f>+D19-C19</f>
        <v>-3171161</v>
      </c>
      <c r="F19" s="80">
        <f>IF(C19=0,0,E19/C19)</f>
        <v>-2.0666704808954096E-2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921</v>
      </c>
      <c r="C21" s="720">
        <f>IF(C15=0,0,C17/C15)</f>
        <v>0.33993097405929396</v>
      </c>
      <c r="D21" s="720">
        <f>IF(D15=0,0,D17/D15)</f>
        <v>0.35176560171022403</v>
      </c>
      <c r="E21" s="720">
        <f>+D21-C21</f>
        <v>1.1834627650930074E-2</v>
      </c>
      <c r="F21" s="80">
        <f>IF(C21=0,0,E21/C21)</f>
        <v>3.4814796397064328E-2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922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E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923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924</v>
      </c>
      <c r="B6" s="734" t="s">
        <v>925</v>
      </c>
      <c r="C6" s="734" t="s">
        <v>926</v>
      </c>
      <c r="D6" s="734" t="s">
        <v>927</v>
      </c>
      <c r="E6" s="734" t="s">
        <v>928</v>
      </c>
    </row>
    <row r="7" spans="1:6" ht="37.5" customHeight="1" x14ac:dyDescent="0.25">
      <c r="A7" s="735" t="s">
        <v>8</v>
      </c>
      <c r="B7" s="736" t="s">
        <v>9</v>
      </c>
      <c r="C7" s="737" t="s">
        <v>929</v>
      </c>
      <c r="D7" s="737" t="s">
        <v>930</v>
      </c>
      <c r="E7" s="737" t="s">
        <v>931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932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933</v>
      </c>
      <c r="C10" s="744">
        <v>289281822</v>
      </c>
      <c r="D10" s="744">
        <v>290545603</v>
      </c>
      <c r="E10" s="744">
        <v>293047902</v>
      </c>
    </row>
    <row r="11" spans="1:6" ht="26.1" customHeight="1" x14ac:dyDescent="0.25">
      <c r="A11" s="742">
        <v>2</v>
      </c>
      <c r="B11" s="743" t="s">
        <v>934</v>
      </c>
      <c r="C11" s="744">
        <v>371879098</v>
      </c>
      <c r="D11" s="744">
        <v>401441594</v>
      </c>
      <c r="E11" s="744">
        <v>416279962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661160920</v>
      </c>
      <c r="D12" s="744">
        <f>+D11+D10</f>
        <v>691987197</v>
      </c>
      <c r="E12" s="744">
        <f>+E11+E10</f>
        <v>709327864</v>
      </c>
    </row>
    <row r="13" spans="1:6" ht="26.1" customHeight="1" x14ac:dyDescent="0.25">
      <c r="A13" s="742">
        <v>4</v>
      </c>
      <c r="B13" s="743" t="s">
        <v>507</v>
      </c>
      <c r="C13" s="744">
        <v>318813210</v>
      </c>
      <c r="D13" s="744">
        <v>323643197</v>
      </c>
      <c r="E13" s="744">
        <v>298930165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935</v>
      </c>
      <c r="C16" s="744">
        <v>312331109</v>
      </c>
      <c r="D16" s="744">
        <v>318194716</v>
      </c>
      <c r="E16" s="744">
        <v>312019235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936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74082</v>
      </c>
      <c r="D19" s="747">
        <v>70558</v>
      </c>
      <c r="E19" s="747">
        <v>67153</v>
      </c>
    </row>
    <row r="20" spans="1:5" ht="26.1" customHeight="1" x14ac:dyDescent="0.25">
      <c r="A20" s="742">
        <v>2</v>
      </c>
      <c r="B20" s="743" t="s">
        <v>381</v>
      </c>
      <c r="C20" s="748">
        <v>15328</v>
      </c>
      <c r="D20" s="748">
        <v>14932</v>
      </c>
      <c r="E20" s="748">
        <v>14649</v>
      </c>
    </row>
    <row r="21" spans="1:5" ht="26.1" customHeight="1" x14ac:dyDescent="0.25">
      <c r="A21" s="742">
        <v>3</v>
      </c>
      <c r="B21" s="743" t="s">
        <v>937</v>
      </c>
      <c r="C21" s="749">
        <f>IF(C20=0,0,+C19/C20)</f>
        <v>4.8331158663883089</v>
      </c>
      <c r="D21" s="749">
        <f>IF(D20=0,0,+D19/D20)</f>
        <v>4.7252879721403698</v>
      </c>
      <c r="E21" s="749">
        <f>IF(E20=0,0,+E19/E20)</f>
        <v>4.584135435865929</v>
      </c>
    </row>
    <row r="22" spans="1:5" ht="26.1" customHeight="1" x14ac:dyDescent="0.25">
      <c r="A22" s="742">
        <v>4</v>
      </c>
      <c r="B22" s="743" t="s">
        <v>938</v>
      </c>
      <c r="C22" s="748">
        <f>IF(C10=0,0,C19*(C12/C10))</f>
        <v>169316.28450349017</v>
      </c>
      <c r="D22" s="748">
        <f>IF(D10=0,0,D19*(D12/D10))</f>
        <v>168046.70985134819</v>
      </c>
      <c r="E22" s="748">
        <f>IF(E10=0,0,E19*(E12/E10))</f>
        <v>162545.07787328231</v>
      </c>
    </row>
    <row r="23" spans="1:5" ht="26.1" customHeight="1" x14ac:dyDescent="0.25">
      <c r="A23" s="742">
        <v>0</v>
      </c>
      <c r="B23" s="743" t="s">
        <v>939</v>
      </c>
      <c r="C23" s="748">
        <f>IF(C10=0,0,C20*(C12/C10))</f>
        <v>35032.531638852852</v>
      </c>
      <c r="D23" s="748">
        <f>IF(D10=0,0,D20*(D12/D10))</f>
        <v>35563.273781857919</v>
      </c>
      <c r="E23" s="748">
        <f>IF(E10=0,0,E20*(E12/E10))</f>
        <v>35458.175297689049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940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1.2128014483298537</v>
      </c>
      <c r="D26" s="750">
        <v>1.2197990356281809</v>
      </c>
      <c r="E26" s="750">
        <v>1.2109870434841967</v>
      </c>
    </row>
    <row r="27" spans="1:5" ht="26.1" customHeight="1" x14ac:dyDescent="0.25">
      <c r="A27" s="742">
        <v>2</v>
      </c>
      <c r="B27" s="743" t="s">
        <v>941</v>
      </c>
      <c r="C27" s="748">
        <f>C19*C26</f>
        <v>89846.756895172221</v>
      </c>
      <c r="D27" s="748">
        <f>D19*D26</f>
        <v>86066.580355853192</v>
      </c>
      <c r="E27" s="748">
        <f>E19*E26</f>
        <v>81321.412931094266</v>
      </c>
    </row>
    <row r="28" spans="1:5" ht="26.1" customHeight="1" x14ac:dyDescent="0.25">
      <c r="A28" s="742">
        <v>3</v>
      </c>
      <c r="B28" s="743" t="s">
        <v>942</v>
      </c>
      <c r="C28" s="748">
        <f>C20*C26</f>
        <v>18589.820599999999</v>
      </c>
      <c r="D28" s="748">
        <f>D20*D26</f>
        <v>18214.039199999999</v>
      </c>
      <c r="E28" s="748">
        <f>E20*E26</f>
        <v>17739.749199999998</v>
      </c>
    </row>
    <row r="29" spans="1:5" ht="26.1" customHeight="1" x14ac:dyDescent="0.25">
      <c r="A29" s="742">
        <v>4</v>
      </c>
      <c r="B29" s="743" t="s">
        <v>943</v>
      </c>
      <c r="C29" s="748">
        <f>C22*C26</f>
        <v>205347.03507166245</v>
      </c>
      <c r="D29" s="748">
        <f>D22*D26</f>
        <v>204983.21461716326</v>
      </c>
      <c r="E29" s="748">
        <f>E22*E26</f>
        <v>196839.98328667466</v>
      </c>
    </row>
    <row r="30" spans="1:5" ht="26.1" customHeight="1" x14ac:dyDescent="0.25">
      <c r="A30" s="742">
        <v>5</v>
      </c>
      <c r="B30" s="743" t="s">
        <v>944</v>
      </c>
      <c r="C30" s="748">
        <f>C23*C26</f>
        <v>42487.505110262166</v>
      </c>
      <c r="D30" s="748">
        <f>D23*D26</f>
        <v>43380.047062891259</v>
      </c>
      <c r="E30" s="748">
        <f>E23*E26</f>
        <v>42939.390871092837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945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946</v>
      </c>
      <c r="C33" s="744">
        <f>IF(C19=0,0,C12/C19)</f>
        <v>8924.7174752301507</v>
      </c>
      <c r="D33" s="744">
        <f>IF(D19=0,0,D12/D19)</f>
        <v>9807.3527736046944</v>
      </c>
      <c r="E33" s="744">
        <f>IF(E19=0,0,E12/E19)</f>
        <v>10562.861882566676</v>
      </c>
    </row>
    <row r="34" spans="1:5" ht="26.1" customHeight="1" x14ac:dyDescent="0.25">
      <c r="A34" s="742">
        <v>2</v>
      </c>
      <c r="B34" s="743" t="s">
        <v>947</v>
      </c>
      <c r="C34" s="744">
        <f>IF(C20=0,0,C12/C20)</f>
        <v>43134.193632567847</v>
      </c>
      <c r="D34" s="744">
        <f>IF(D20=0,0,D12/D20)</f>
        <v>46342.566099651754</v>
      </c>
      <c r="E34" s="744">
        <f>IF(E20=0,0,E12/E20)</f>
        <v>48421.589460031399</v>
      </c>
    </row>
    <row r="35" spans="1:5" ht="26.1" customHeight="1" x14ac:dyDescent="0.25">
      <c r="A35" s="742">
        <v>3</v>
      </c>
      <c r="B35" s="743" t="s">
        <v>948</v>
      </c>
      <c r="C35" s="744">
        <f>IF(C22=0,0,C12/C22)</f>
        <v>3904.8867741151694</v>
      </c>
      <c r="D35" s="744">
        <f>IF(D22=0,0,D12/D22)</f>
        <v>4117.8265115224358</v>
      </c>
      <c r="E35" s="744">
        <f>IF(E22=0,0,E12/E22)</f>
        <v>4363.8839962473749</v>
      </c>
    </row>
    <row r="36" spans="1:5" ht="26.1" customHeight="1" x14ac:dyDescent="0.25">
      <c r="A36" s="742">
        <v>4</v>
      </c>
      <c r="B36" s="743" t="s">
        <v>949</v>
      </c>
      <c r="C36" s="744">
        <f>IF(C23=0,0,C12/C23)</f>
        <v>18872.770224425891</v>
      </c>
      <c r="D36" s="744">
        <f>IF(D23=0,0,D12/D23)</f>
        <v>19457.916086257701</v>
      </c>
      <c r="E36" s="744">
        <f>IF(E23=0,0,E12/E23)</f>
        <v>20004.635265205812</v>
      </c>
    </row>
    <row r="37" spans="1:5" ht="26.1" customHeight="1" x14ac:dyDescent="0.25">
      <c r="A37" s="742">
        <v>5</v>
      </c>
      <c r="B37" s="743" t="s">
        <v>950</v>
      </c>
      <c r="C37" s="744">
        <f>IF(C29=0,0,C12/C29)</f>
        <v>3219.7246956561444</v>
      </c>
      <c r="D37" s="744">
        <f>IF(D29=0,0,D12/D29)</f>
        <v>3375.8237146021411</v>
      </c>
      <c r="E37" s="744">
        <f>IF(E29=0,0,E12/E29)</f>
        <v>3603.5761238962618</v>
      </c>
    </row>
    <row r="38" spans="1:5" ht="26.1" customHeight="1" x14ac:dyDescent="0.25">
      <c r="A38" s="742">
        <v>6</v>
      </c>
      <c r="B38" s="743" t="s">
        <v>951</v>
      </c>
      <c r="C38" s="744">
        <f>IF(C30=0,0,C12/C30)</f>
        <v>15561.302511977983</v>
      </c>
      <c r="D38" s="744">
        <f>IF(D30=0,0,D12/D30)</f>
        <v>15951.739194675723</v>
      </c>
      <c r="E38" s="744">
        <f>IF(E30=0,0,E12/E30)</f>
        <v>16519.281005393244</v>
      </c>
    </row>
    <row r="39" spans="1:5" ht="26.1" customHeight="1" x14ac:dyDescent="0.25">
      <c r="A39" s="742">
        <v>7</v>
      </c>
      <c r="B39" s="743" t="s">
        <v>952</v>
      </c>
      <c r="C39" s="744">
        <f>IF(C22=0,0,C10/C22)</f>
        <v>1708.5292347886179</v>
      </c>
      <c r="D39" s="744">
        <f>IF(D22=0,0,D10/D22)</f>
        <v>1728.9574027186409</v>
      </c>
      <c r="E39" s="744">
        <f>IF(E22=0,0,E10/E22)</f>
        <v>1802.8715838965959</v>
      </c>
    </row>
    <row r="40" spans="1:5" ht="26.1" customHeight="1" x14ac:dyDescent="0.25">
      <c r="A40" s="742">
        <v>8</v>
      </c>
      <c r="B40" s="743" t="s">
        <v>953</v>
      </c>
      <c r="C40" s="744">
        <f>IF(C23=0,0,C10/C23)</f>
        <v>8257.5197528451481</v>
      </c>
      <c r="D40" s="744">
        <f>IF(D23=0,0,D10/D23)</f>
        <v>8169.8216194094475</v>
      </c>
      <c r="E40" s="744">
        <f>IF(E23=0,0,E10/E23)</f>
        <v>8264.6075140561188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954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955</v>
      </c>
      <c r="C43" s="744">
        <f>IF(C19=0,0,C13/C19)</f>
        <v>4303.5178585891308</v>
      </c>
      <c r="D43" s="744">
        <f>IF(D19=0,0,D13/D19)</f>
        <v>4586.9100172907392</v>
      </c>
      <c r="E43" s="744">
        <f>IF(E19=0,0,E13/E19)</f>
        <v>4451.4789361607072</v>
      </c>
    </row>
    <row r="44" spans="1:5" ht="26.1" customHeight="1" x14ac:dyDescent="0.25">
      <c r="A44" s="742">
        <v>2</v>
      </c>
      <c r="B44" s="743" t="s">
        <v>956</v>
      </c>
      <c r="C44" s="744">
        <f>IF(C20=0,0,C13/C20)</f>
        <v>20799.400443632567</v>
      </c>
      <c r="D44" s="744">
        <f>IF(D20=0,0,D13/D20)</f>
        <v>21674.470733994105</v>
      </c>
      <c r="E44" s="744">
        <f>IF(E20=0,0,E13/E20)</f>
        <v>20406.182333265071</v>
      </c>
    </row>
    <row r="45" spans="1:5" ht="26.1" customHeight="1" x14ac:dyDescent="0.25">
      <c r="A45" s="742">
        <v>3</v>
      </c>
      <c r="B45" s="743" t="s">
        <v>957</v>
      </c>
      <c r="C45" s="744">
        <f>IF(C22=0,0,C13/C22)</f>
        <v>1882.9447559335511</v>
      </c>
      <c r="D45" s="744">
        <f>IF(D22=0,0,D13/D22)</f>
        <v>1925.9121305397191</v>
      </c>
      <c r="E45" s="744">
        <f>IF(E22=0,0,E13/E22)</f>
        <v>1839.060086661261</v>
      </c>
    </row>
    <row r="46" spans="1:5" ht="26.1" customHeight="1" x14ac:dyDescent="0.25">
      <c r="A46" s="742">
        <v>4</v>
      </c>
      <c r="B46" s="743" t="s">
        <v>958</v>
      </c>
      <c r="C46" s="744">
        <f>IF(C23=0,0,C13/C23)</f>
        <v>9100.4901754351085</v>
      </c>
      <c r="D46" s="744">
        <f>IF(D23=0,0,D13/D23)</f>
        <v>9100.4894258385684</v>
      </c>
      <c r="E46" s="744">
        <f>IF(E23=0,0,E13/E23)</f>
        <v>8430.5005119505531</v>
      </c>
    </row>
    <row r="47" spans="1:5" ht="26.1" customHeight="1" x14ac:dyDescent="0.25">
      <c r="A47" s="742">
        <v>5</v>
      </c>
      <c r="B47" s="743" t="s">
        <v>959</v>
      </c>
      <c r="C47" s="744">
        <f>IF(C29=0,0,C13/C29)</f>
        <v>1552.5581359805847</v>
      </c>
      <c r="D47" s="744">
        <f>IF(D29=0,0,D13/D29)</f>
        <v>1578.8765807212651</v>
      </c>
      <c r="E47" s="744">
        <f>IF(E29=0,0,E13/E29)</f>
        <v>1518.6455516237411</v>
      </c>
    </row>
    <row r="48" spans="1:5" ht="26.1" customHeight="1" x14ac:dyDescent="0.25">
      <c r="A48" s="742">
        <v>6</v>
      </c>
      <c r="B48" s="743" t="s">
        <v>960</v>
      </c>
      <c r="C48" s="744">
        <f>IF(C30=0,0,C13/C30)</f>
        <v>7503.6933604980222</v>
      </c>
      <c r="D48" s="744">
        <f>IF(D30=0,0,D13/D30)</f>
        <v>7460.6465163763087</v>
      </c>
      <c r="E48" s="744">
        <f>IF(E30=0,0,E13/E30)</f>
        <v>6961.6768877185523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961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962</v>
      </c>
      <c r="C51" s="744">
        <f>IF(C19=0,0,C16/C19)</f>
        <v>4216.0188574822496</v>
      </c>
      <c r="D51" s="744">
        <f>IF(D19=0,0,D16/D19)</f>
        <v>4509.6901272711812</v>
      </c>
      <c r="E51" s="744">
        <f>IF(E19=0,0,E16/E19)</f>
        <v>4646.3930874272182</v>
      </c>
    </row>
    <row r="52" spans="1:6" ht="26.1" customHeight="1" x14ac:dyDescent="0.25">
      <c r="A52" s="742">
        <v>2</v>
      </c>
      <c r="B52" s="743" t="s">
        <v>963</v>
      </c>
      <c r="C52" s="744">
        <f>IF(C20=0,0,C16/C20)</f>
        <v>20376.507633089772</v>
      </c>
      <c r="D52" s="744">
        <f>IF(D20=0,0,D16/D20)</f>
        <v>21309.584516474686</v>
      </c>
      <c r="E52" s="744">
        <f>IF(E20=0,0,E16/E20)</f>
        <v>21299.695201037612</v>
      </c>
    </row>
    <row r="53" spans="1:6" ht="26.1" customHeight="1" x14ac:dyDescent="0.25">
      <c r="A53" s="742">
        <v>3</v>
      </c>
      <c r="B53" s="743" t="s">
        <v>964</v>
      </c>
      <c r="C53" s="744">
        <f>IF(C22=0,0,C16/C22)</f>
        <v>1844.6607774077504</v>
      </c>
      <c r="D53" s="744">
        <f>IF(D22=0,0,D16/D22)</f>
        <v>1893.4897105779141</v>
      </c>
      <c r="E53" s="744">
        <f>IF(E22=0,0,E16/E22)</f>
        <v>1919.5858717004369</v>
      </c>
    </row>
    <row r="54" spans="1:6" ht="26.1" customHeight="1" x14ac:dyDescent="0.25">
      <c r="A54" s="742">
        <v>4</v>
      </c>
      <c r="B54" s="743" t="s">
        <v>965</v>
      </c>
      <c r="C54" s="744">
        <f>IF(C23=0,0,C16/C23)</f>
        <v>8915.4592713935926</v>
      </c>
      <c r="D54" s="744">
        <f>IF(D23=0,0,D16/D23)</f>
        <v>8947.2841547653679</v>
      </c>
      <c r="E54" s="744">
        <f>IF(E23=0,0,E16/E23)</f>
        <v>8799.6416166495619</v>
      </c>
    </row>
    <row r="55" spans="1:6" ht="26.1" customHeight="1" x14ac:dyDescent="0.25">
      <c r="A55" s="742">
        <v>5</v>
      </c>
      <c r="B55" s="743" t="s">
        <v>966</v>
      </c>
      <c r="C55" s="744">
        <f>IF(C29=0,0,C16/C29)</f>
        <v>1520.9915686924917</v>
      </c>
      <c r="D55" s="744">
        <f>IF(D29=0,0,D16/D29)</f>
        <v>1552.2964482446823</v>
      </c>
      <c r="E55" s="744">
        <f>IF(E29=0,0,E16/E29)</f>
        <v>1585.1415438578863</v>
      </c>
    </row>
    <row r="56" spans="1:6" ht="26.1" customHeight="1" x14ac:dyDescent="0.25">
      <c r="A56" s="742">
        <v>6</v>
      </c>
      <c r="B56" s="743" t="s">
        <v>967</v>
      </c>
      <c r="C56" s="744">
        <f>IF(C30=0,0,C16/C30)</f>
        <v>7351.1284832905267</v>
      </c>
      <c r="D56" s="744">
        <f>IF(D30=0,0,D16/D30)</f>
        <v>7335.0477360868144</v>
      </c>
      <c r="E56" s="744">
        <f>IF(E30=0,0,E16/E30)</f>
        <v>7266.503522062163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968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969</v>
      </c>
      <c r="C59" s="752">
        <v>48372889</v>
      </c>
      <c r="D59" s="752">
        <v>43204569</v>
      </c>
      <c r="E59" s="752">
        <v>43409289</v>
      </c>
    </row>
    <row r="60" spans="1:6" ht="26.1" customHeight="1" x14ac:dyDescent="0.25">
      <c r="A60" s="742">
        <v>2</v>
      </c>
      <c r="B60" s="743" t="s">
        <v>970</v>
      </c>
      <c r="C60" s="752">
        <v>14297260</v>
      </c>
      <c r="D60" s="752">
        <v>12428142</v>
      </c>
      <c r="E60" s="752">
        <v>13009754</v>
      </c>
    </row>
    <row r="61" spans="1:6" ht="26.1" customHeight="1" x14ac:dyDescent="0.25">
      <c r="A61" s="753">
        <v>3</v>
      </c>
      <c r="B61" s="754" t="s">
        <v>971</v>
      </c>
      <c r="C61" s="755">
        <f>C59+C60</f>
        <v>62670149</v>
      </c>
      <c r="D61" s="755">
        <f>D59+D60</f>
        <v>55632711</v>
      </c>
      <c r="E61" s="755">
        <f>E59+E60</f>
        <v>56419043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972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973</v>
      </c>
      <c r="C64" s="744">
        <v>2740700</v>
      </c>
      <c r="D64" s="744">
        <v>799526</v>
      </c>
      <c r="E64" s="752">
        <v>376629</v>
      </c>
      <c r="F64" s="756"/>
    </row>
    <row r="65" spans="1:6" ht="26.1" customHeight="1" x14ac:dyDescent="0.25">
      <c r="A65" s="742">
        <v>2</v>
      </c>
      <c r="B65" s="743" t="s">
        <v>974</v>
      </c>
      <c r="C65" s="752">
        <v>810051</v>
      </c>
      <c r="D65" s="752">
        <v>229988</v>
      </c>
      <c r="E65" s="752">
        <v>112876</v>
      </c>
      <c r="F65" s="756"/>
    </row>
    <row r="66" spans="1:6" ht="26.1" customHeight="1" x14ac:dyDescent="0.25">
      <c r="A66" s="753">
        <v>3</v>
      </c>
      <c r="B66" s="754" t="s">
        <v>975</v>
      </c>
      <c r="C66" s="757">
        <f>C64+C65</f>
        <v>3550751</v>
      </c>
      <c r="D66" s="757">
        <f>D64+D65</f>
        <v>1029514</v>
      </c>
      <c r="E66" s="757">
        <f>E64+E65</f>
        <v>489505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976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977</v>
      </c>
      <c r="C69" s="752">
        <v>90052061</v>
      </c>
      <c r="D69" s="752">
        <v>101709933</v>
      </c>
      <c r="E69" s="752">
        <v>100758446</v>
      </c>
    </row>
    <row r="70" spans="1:6" ht="26.1" customHeight="1" x14ac:dyDescent="0.25">
      <c r="A70" s="742">
        <v>2</v>
      </c>
      <c r="B70" s="743" t="s">
        <v>978</v>
      </c>
      <c r="C70" s="752">
        <v>26616102</v>
      </c>
      <c r="D70" s="752">
        <v>29257357</v>
      </c>
      <c r="E70" s="752">
        <v>30197282</v>
      </c>
    </row>
    <row r="71" spans="1:6" ht="26.1" customHeight="1" x14ac:dyDescent="0.25">
      <c r="A71" s="753">
        <v>3</v>
      </c>
      <c r="B71" s="754" t="s">
        <v>979</v>
      </c>
      <c r="C71" s="755">
        <f>C69+C70</f>
        <v>116668163</v>
      </c>
      <c r="D71" s="755">
        <f>D69+D70</f>
        <v>130967290</v>
      </c>
      <c r="E71" s="755">
        <f>E69+E70</f>
        <v>130955728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980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981</v>
      </c>
      <c r="C75" s="744">
        <f t="shared" ref="C75:E76" si="0">+C59+C64+C69</f>
        <v>141165650</v>
      </c>
      <c r="D75" s="744">
        <f t="shared" si="0"/>
        <v>145714028</v>
      </c>
      <c r="E75" s="744">
        <f t="shared" si="0"/>
        <v>144544364</v>
      </c>
    </row>
    <row r="76" spans="1:6" ht="26.1" customHeight="1" x14ac:dyDescent="0.25">
      <c r="A76" s="742">
        <v>2</v>
      </c>
      <c r="B76" s="743" t="s">
        <v>982</v>
      </c>
      <c r="C76" s="744">
        <f t="shared" si="0"/>
        <v>41723413</v>
      </c>
      <c r="D76" s="744">
        <f t="shared" si="0"/>
        <v>41915487</v>
      </c>
      <c r="E76" s="744">
        <f t="shared" si="0"/>
        <v>43319912</v>
      </c>
    </row>
    <row r="77" spans="1:6" ht="26.1" customHeight="1" x14ac:dyDescent="0.25">
      <c r="A77" s="753">
        <v>3</v>
      </c>
      <c r="B77" s="754" t="s">
        <v>980</v>
      </c>
      <c r="C77" s="757">
        <f>C75+C76</f>
        <v>182889063</v>
      </c>
      <c r="D77" s="757">
        <f>D75+D76</f>
        <v>187629515</v>
      </c>
      <c r="E77" s="757">
        <f>E75+E76</f>
        <v>187864276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983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519.20000000000005</v>
      </c>
      <c r="D80" s="749">
        <v>460.5</v>
      </c>
      <c r="E80" s="749">
        <v>452.3</v>
      </c>
    </row>
    <row r="81" spans="1:5" ht="26.1" customHeight="1" x14ac:dyDescent="0.25">
      <c r="A81" s="742">
        <v>2</v>
      </c>
      <c r="B81" s="743" t="s">
        <v>617</v>
      </c>
      <c r="C81" s="749">
        <v>9.4</v>
      </c>
      <c r="D81" s="749">
        <v>2.2999999999999998</v>
      </c>
      <c r="E81" s="749">
        <v>1.7</v>
      </c>
    </row>
    <row r="82" spans="1:5" ht="26.1" customHeight="1" x14ac:dyDescent="0.25">
      <c r="A82" s="742">
        <v>3</v>
      </c>
      <c r="B82" s="743" t="s">
        <v>984</v>
      </c>
      <c r="C82" s="749">
        <v>1410.5</v>
      </c>
      <c r="D82" s="749">
        <v>1492</v>
      </c>
      <c r="E82" s="749">
        <v>1467</v>
      </c>
    </row>
    <row r="83" spans="1:5" ht="26.1" customHeight="1" x14ac:dyDescent="0.25">
      <c r="A83" s="753">
        <v>4</v>
      </c>
      <c r="B83" s="754" t="s">
        <v>983</v>
      </c>
      <c r="C83" s="759">
        <f>C80+C81+C82</f>
        <v>1939.1</v>
      </c>
      <c r="D83" s="759">
        <f>D80+D81+D82</f>
        <v>1954.8</v>
      </c>
      <c r="E83" s="759">
        <f>E80+E81+E82</f>
        <v>1921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985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986</v>
      </c>
      <c r="C86" s="752">
        <f>IF(C80=0,0,C59/C80)</f>
        <v>93168.122110939905</v>
      </c>
      <c r="D86" s="752">
        <f>IF(D80=0,0,D59/D80)</f>
        <v>93820.996742671006</v>
      </c>
      <c r="E86" s="752">
        <f>IF(E80=0,0,E59/E80)</f>
        <v>95974.550077382271</v>
      </c>
    </row>
    <row r="87" spans="1:5" ht="26.1" customHeight="1" x14ac:dyDescent="0.25">
      <c r="A87" s="742">
        <v>2</v>
      </c>
      <c r="B87" s="743" t="s">
        <v>987</v>
      </c>
      <c r="C87" s="752">
        <f>IF(C80=0,0,C60/C80)</f>
        <v>27537.095531587056</v>
      </c>
      <c r="D87" s="752">
        <f>IF(D80=0,0,D60/D80)</f>
        <v>26988.364820846906</v>
      </c>
      <c r="E87" s="752">
        <f>IF(E80=0,0,E60/E80)</f>
        <v>28763.550740658855</v>
      </c>
    </row>
    <row r="88" spans="1:5" ht="26.1" customHeight="1" x14ac:dyDescent="0.25">
      <c r="A88" s="753">
        <v>3</v>
      </c>
      <c r="B88" s="754" t="s">
        <v>988</v>
      </c>
      <c r="C88" s="755">
        <f>+C86+C87</f>
        <v>120705.21764252696</v>
      </c>
      <c r="D88" s="755">
        <f>+D86+D87</f>
        <v>120809.36156351792</v>
      </c>
      <c r="E88" s="755">
        <f>+E86+E87</f>
        <v>124738.10081804113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989</v>
      </c>
    </row>
    <row r="91" spans="1:5" ht="26.1" customHeight="1" x14ac:dyDescent="0.25">
      <c r="A91" s="742">
        <v>1</v>
      </c>
      <c r="B91" s="743" t="s">
        <v>990</v>
      </c>
      <c r="C91" s="744">
        <f>IF(C81=0,0,C64/C81)</f>
        <v>291563.82978723402</v>
      </c>
      <c r="D91" s="744">
        <f>IF(D81=0,0,D64/D81)</f>
        <v>347620</v>
      </c>
      <c r="E91" s="744">
        <f>IF(E81=0,0,E64/E81)</f>
        <v>221546.4705882353</v>
      </c>
    </row>
    <row r="92" spans="1:5" ht="26.1" customHeight="1" x14ac:dyDescent="0.25">
      <c r="A92" s="742">
        <v>2</v>
      </c>
      <c r="B92" s="743" t="s">
        <v>991</v>
      </c>
      <c r="C92" s="744">
        <f>IF(C81=0,0,C65/C81)</f>
        <v>86175.638297872341</v>
      </c>
      <c r="D92" s="744">
        <f>IF(D81=0,0,D65/D81)</f>
        <v>99994.782608695663</v>
      </c>
      <c r="E92" s="744">
        <f>IF(E81=0,0,E65/E81)</f>
        <v>66397.647058823524</v>
      </c>
    </row>
    <row r="93" spans="1:5" ht="26.1" customHeight="1" x14ac:dyDescent="0.25">
      <c r="A93" s="753">
        <v>3</v>
      </c>
      <c r="B93" s="754" t="s">
        <v>992</v>
      </c>
      <c r="C93" s="757">
        <f>+C91+C92</f>
        <v>377739.46808510635</v>
      </c>
      <c r="D93" s="757">
        <f>+D91+D92</f>
        <v>447614.78260869568</v>
      </c>
      <c r="E93" s="757">
        <f>+E91+E92</f>
        <v>287944.1176470588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993</v>
      </c>
      <c r="B95" s="745" t="s">
        <v>994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995</v>
      </c>
      <c r="C96" s="752">
        <f>IF(C82=0,0,C69/C82)</f>
        <v>63844.070187876641</v>
      </c>
      <c r="D96" s="752">
        <f>IF(D82=0,0,D69/D82)</f>
        <v>68170.196380697045</v>
      </c>
      <c r="E96" s="752">
        <f>IF(E82=0,0,E69/E82)</f>
        <v>68683.330606680305</v>
      </c>
    </row>
    <row r="97" spans="1:5" ht="26.1" customHeight="1" x14ac:dyDescent="0.25">
      <c r="A97" s="742">
        <v>2</v>
      </c>
      <c r="B97" s="743" t="s">
        <v>996</v>
      </c>
      <c r="C97" s="752">
        <f>IF(C82=0,0,C70/C82)</f>
        <v>18869.97660404112</v>
      </c>
      <c r="D97" s="752">
        <f>IF(D82=0,0,D70/D82)</f>
        <v>19609.488605898125</v>
      </c>
      <c r="E97" s="752">
        <f>IF(E82=0,0,E70/E82)</f>
        <v>20584.377641445128</v>
      </c>
    </row>
    <row r="98" spans="1:5" ht="26.1" customHeight="1" x14ac:dyDescent="0.25">
      <c r="A98" s="753">
        <v>3</v>
      </c>
      <c r="B98" s="754" t="s">
        <v>997</v>
      </c>
      <c r="C98" s="757">
        <f>+C96+C97</f>
        <v>82714.046791917761</v>
      </c>
      <c r="D98" s="757">
        <f>+D96+D97</f>
        <v>87779.684986595166</v>
      </c>
      <c r="E98" s="757">
        <f>+E96+E97</f>
        <v>89267.708248125433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998</v>
      </c>
      <c r="B100" s="745" t="s">
        <v>999</v>
      </c>
    </row>
    <row r="101" spans="1:5" ht="26.1" customHeight="1" x14ac:dyDescent="0.25">
      <c r="A101" s="742">
        <v>1</v>
      </c>
      <c r="B101" s="743" t="s">
        <v>1000</v>
      </c>
      <c r="C101" s="744">
        <f>IF(C83=0,0,C75/C83)</f>
        <v>72799.571966376156</v>
      </c>
      <c r="D101" s="744">
        <f>IF(D83=0,0,D75/D83)</f>
        <v>74541.655412318403</v>
      </c>
      <c r="E101" s="744">
        <f>IF(E83=0,0,E75/E83)</f>
        <v>75244.333159812595</v>
      </c>
    </row>
    <row r="102" spans="1:5" ht="26.1" customHeight="1" x14ac:dyDescent="0.25">
      <c r="A102" s="742">
        <v>2</v>
      </c>
      <c r="B102" s="743" t="s">
        <v>1001</v>
      </c>
      <c r="C102" s="761">
        <f>IF(C83=0,0,C76/C83)</f>
        <v>21516.895982672373</v>
      </c>
      <c r="D102" s="761">
        <f>IF(D83=0,0,D76/D83)</f>
        <v>21442.340392879069</v>
      </c>
      <c r="E102" s="761">
        <f>IF(E83=0,0,E76/E83)</f>
        <v>22550.709005726185</v>
      </c>
    </row>
    <row r="103" spans="1:5" ht="26.1" customHeight="1" x14ac:dyDescent="0.25">
      <c r="A103" s="753">
        <v>3</v>
      </c>
      <c r="B103" s="754" t="s">
        <v>999</v>
      </c>
      <c r="C103" s="757">
        <f>+C101+C102</f>
        <v>94316.467949048529</v>
      </c>
      <c r="D103" s="757">
        <f>+D101+D102</f>
        <v>95983.995805197468</v>
      </c>
      <c r="E103" s="757">
        <f>+E101+E102</f>
        <v>97795.042165538776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1002</v>
      </c>
      <c r="B107" s="736" t="s">
        <v>1003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1004</v>
      </c>
      <c r="C108" s="744">
        <f>IF(C19=0,0,C77/C19)</f>
        <v>2468.73819551308</v>
      </c>
      <c r="D108" s="744">
        <f>IF(D19=0,0,D77/D19)</f>
        <v>2659.2238300405338</v>
      </c>
      <c r="E108" s="744">
        <f>IF(E19=0,0,E77/E19)</f>
        <v>2797.5559692046522</v>
      </c>
    </row>
    <row r="109" spans="1:5" ht="26.1" customHeight="1" x14ac:dyDescent="0.25">
      <c r="A109" s="742">
        <v>2</v>
      </c>
      <c r="B109" s="743" t="s">
        <v>1005</v>
      </c>
      <c r="C109" s="744">
        <f>IF(C20=0,0,C77/C20)</f>
        <v>11931.69774269311</v>
      </c>
      <c r="D109" s="744">
        <f>IF(D20=0,0,D77/D20)</f>
        <v>12565.598379319583</v>
      </c>
      <c r="E109" s="744">
        <f>IF(E20=0,0,E77/E20)</f>
        <v>12824.3754522493</v>
      </c>
    </row>
    <row r="110" spans="1:5" ht="26.1" customHeight="1" x14ac:dyDescent="0.25">
      <c r="A110" s="742">
        <v>3</v>
      </c>
      <c r="B110" s="743" t="s">
        <v>1006</v>
      </c>
      <c r="C110" s="744">
        <f>IF(C22=0,0,C77/C22)</f>
        <v>1080.1622746229707</v>
      </c>
      <c r="D110" s="744">
        <f>IF(D22=0,0,D77/D22)</f>
        <v>1116.5319164295122</v>
      </c>
      <c r="E110" s="744">
        <f>IF(E22=0,0,E77/E22)</f>
        <v>1155.7672398204279</v>
      </c>
    </row>
    <row r="111" spans="1:5" ht="26.1" customHeight="1" x14ac:dyDescent="0.25">
      <c r="A111" s="742">
        <v>4</v>
      </c>
      <c r="B111" s="743" t="s">
        <v>1007</v>
      </c>
      <c r="C111" s="744">
        <f>IF(C23=0,0,C77/C23)</f>
        <v>5220.5494277543667</v>
      </c>
      <c r="D111" s="744">
        <f>IF(D23=0,0,D77/D23)</f>
        <v>5275.934835215211</v>
      </c>
      <c r="E111" s="744">
        <f>IF(E23=0,0,E77/E23)</f>
        <v>5298.1935596737785</v>
      </c>
    </row>
    <row r="112" spans="1:5" ht="26.1" customHeight="1" x14ac:dyDescent="0.25">
      <c r="A112" s="742">
        <v>5</v>
      </c>
      <c r="B112" s="743" t="s">
        <v>1008</v>
      </c>
      <c r="C112" s="744">
        <f>IF(C29=0,0,C77/C29)</f>
        <v>890.63405729805152</v>
      </c>
      <c r="D112" s="744">
        <f>IF(D29=0,0,D77/D29)</f>
        <v>915.34087486346687</v>
      </c>
      <c r="E112" s="744">
        <f>IF(E29=0,0,E77/E29)</f>
        <v>954.40099548473052</v>
      </c>
    </row>
    <row r="113" spans="1:7" ht="25.5" customHeight="1" x14ac:dyDescent="0.25">
      <c r="A113" s="742">
        <v>6</v>
      </c>
      <c r="B113" s="743" t="s">
        <v>1009</v>
      </c>
      <c r="C113" s="744">
        <f>IF(C30=0,0,C77/C30)</f>
        <v>4304.5375934730073</v>
      </c>
      <c r="D113" s="744">
        <f>IF(D30=0,0,D77/D30)</f>
        <v>4325.2492264007833</v>
      </c>
      <c r="E113" s="744">
        <f>IF(E30=0,0,E77/E30)</f>
        <v>4375.1034234272711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704064528</v>
      </c>
      <c r="D12" s="76">
        <v>709327930</v>
      </c>
      <c r="E12" s="76">
        <f t="shared" ref="E12:E21" si="0">D12-C12</f>
        <v>5263402</v>
      </c>
      <c r="F12" s="77">
        <f t="shared" ref="F12:F21" si="1">IF(C12=0,0,E12/C12)</f>
        <v>7.4757380760986161E-3</v>
      </c>
    </row>
    <row r="13" spans="1:8" ht="23.1" customHeight="1" x14ac:dyDescent="0.2">
      <c r="A13" s="74">
        <v>2</v>
      </c>
      <c r="B13" s="75" t="s">
        <v>72</v>
      </c>
      <c r="C13" s="76">
        <v>377264487</v>
      </c>
      <c r="D13" s="76">
        <v>390187093</v>
      </c>
      <c r="E13" s="76">
        <f t="shared" si="0"/>
        <v>12922606</v>
      </c>
      <c r="F13" s="77">
        <f t="shared" si="1"/>
        <v>3.425343875528894E-2</v>
      </c>
    </row>
    <row r="14" spans="1:8" ht="23.1" customHeight="1" x14ac:dyDescent="0.2">
      <c r="A14" s="74">
        <v>3</v>
      </c>
      <c r="B14" s="75" t="s">
        <v>73</v>
      </c>
      <c r="C14" s="76">
        <v>5735971</v>
      </c>
      <c r="D14" s="76">
        <v>7125259</v>
      </c>
      <c r="E14" s="76">
        <f t="shared" si="0"/>
        <v>1389288</v>
      </c>
      <c r="F14" s="77">
        <f t="shared" si="1"/>
        <v>0.2422062454639328</v>
      </c>
    </row>
    <row r="15" spans="1:8" ht="23.1" customHeight="1" x14ac:dyDescent="0.2">
      <c r="A15" s="74">
        <v>4</v>
      </c>
      <c r="B15" s="75" t="s">
        <v>74</v>
      </c>
      <c r="C15" s="76">
        <v>-2579127</v>
      </c>
      <c r="D15" s="76">
        <v>1047636</v>
      </c>
      <c r="E15" s="76">
        <f t="shared" si="0"/>
        <v>3626763</v>
      </c>
      <c r="F15" s="77">
        <f t="shared" si="1"/>
        <v>-1.4061979111536578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323643197</v>
      </c>
      <c r="D16" s="79">
        <f>D12-D13-D14-D15</f>
        <v>310967942</v>
      </c>
      <c r="E16" s="79">
        <f t="shared" si="0"/>
        <v>-12675255</v>
      </c>
      <c r="F16" s="80">
        <f t="shared" si="1"/>
        <v>-3.9164286836531281E-2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12037777</v>
      </c>
      <c r="E17" s="76">
        <f t="shared" si="0"/>
        <v>12037777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323643197</v>
      </c>
      <c r="D18" s="79">
        <f>D16-D17</f>
        <v>298930165</v>
      </c>
      <c r="E18" s="79">
        <f t="shared" si="0"/>
        <v>-24713032</v>
      </c>
      <c r="F18" s="80">
        <f t="shared" si="1"/>
        <v>-7.6358879868560936E-2</v>
      </c>
    </row>
    <row r="19" spans="1:7" ht="23.1" customHeight="1" x14ac:dyDescent="0.2">
      <c r="A19" s="74">
        <v>6</v>
      </c>
      <c r="B19" s="75" t="s">
        <v>78</v>
      </c>
      <c r="C19" s="76">
        <v>15433709</v>
      </c>
      <c r="D19" s="76">
        <v>22653789</v>
      </c>
      <c r="E19" s="76">
        <f t="shared" si="0"/>
        <v>7220080</v>
      </c>
      <c r="F19" s="77">
        <f t="shared" si="1"/>
        <v>0.46781237096021444</v>
      </c>
      <c r="G19" s="65"/>
    </row>
    <row r="20" spans="1:7" ht="33" customHeight="1" x14ac:dyDescent="0.2">
      <c r="A20" s="74">
        <v>7</v>
      </c>
      <c r="B20" s="82" t="s">
        <v>79</v>
      </c>
      <c r="C20" s="76">
        <v>449575</v>
      </c>
      <c r="D20" s="76">
        <v>508277</v>
      </c>
      <c r="E20" s="76">
        <f t="shared" si="0"/>
        <v>58702</v>
      </c>
      <c r="F20" s="77">
        <f t="shared" si="1"/>
        <v>0.13057220708446868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339526481</v>
      </c>
      <c r="D21" s="79">
        <f>SUM(D18:D20)</f>
        <v>322092231</v>
      </c>
      <c r="E21" s="79">
        <f t="shared" si="0"/>
        <v>-17434250</v>
      </c>
      <c r="F21" s="80">
        <f t="shared" si="1"/>
        <v>-5.1348719394879838E-2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145714028</v>
      </c>
      <c r="D24" s="76">
        <v>144544364</v>
      </c>
      <c r="E24" s="76">
        <f t="shared" ref="E24:E33" si="2">D24-C24</f>
        <v>-1169664</v>
      </c>
      <c r="F24" s="77">
        <f t="shared" ref="F24:F33" si="3">IF(C24=0,0,E24/C24)</f>
        <v>-8.0271200793378666E-3</v>
      </c>
    </row>
    <row r="25" spans="1:7" ht="23.1" customHeight="1" x14ac:dyDescent="0.2">
      <c r="A25" s="74">
        <v>2</v>
      </c>
      <c r="B25" s="75" t="s">
        <v>83</v>
      </c>
      <c r="C25" s="76">
        <v>41915487</v>
      </c>
      <c r="D25" s="76">
        <v>43319912</v>
      </c>
      <c r="E25" s="76">
        <f t="shared" si="2"/>
        <v>1404425</v>
      </c>
      <c r="F25" s="77">
        <f t="shared" si="3"/>
        <v>3.3506111953321691E-2</v>
      </c>
    </row>
    <row r="26" spans="1:7" ht="23.1" customHeight="1" x14ac:dyDescent="0.2">
      <c r="A26" s="74">
        <v>3</v>
      </c>
      <c r="B26" s="75" t="s">
        <v>84</v>
      </c>
      <c r="C26" s="76">
        <v>0</v>
      </c>
      <c r="D26" s="76">
        <v>0</v>
      </c>
      <c r="E26" s="76">
        <f t="shared" si="2"/>
        <v>0</v>
      </c>
      <c r="F26" s="77">
        <f t="shared" si="3"/>
        <v>0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38072467</v>
      </c>
      <c r="D27" s="76">
        <v>37892742</v>
      </c>
      <c r="E27" s="76">
        <f t="shared" si="2"/>
        <v>-179725</v>
      </c>
      <c r="F27" s="77">
        <f t="shared" si="3"/>
        <v>-4.7206029491075529E-3</v>
      </c>
    </row>
    <row r="28" spans="1:7" ht="23.1" customHeight="1" x14ac:dyDescent="0.2">
      <c r="A28" s="74">
        <v>5</v>
      </c>
      <c r="B28" s="75" t="s">
        <v>86</v>
      </c>
      <c r="C28" s="76">
        <v>18825589</v>
      </c>
      <c r="D28" s="76">
        <v>20641159</v>
      </c>
      <c r="E28" s="76">
        <f t="shared" si="2"/>
        <v>1815570</v>
      </c>
      <c r="F28" s="77">
        <f t="shared" si="3"/>
        <v>9.6441604031618874E-2</v>
      </c>
    </row>
    <row r="29" spans="1:7" ht="23.1" customHeight="1" x14ac:dyDescent="0.2">
      <c r="A29" s="74">
        <v>6</v>
      </c>
      <c r="B29" s="75" t="s">
        <v>87</v>
      </c>
      <c r="C29" s="76">
        <v>11930619</v>
      </c>
      <c r="D29" s="76">
        <v>0</v>
      </c>
      <c r="E29" s="76">
        <f t="shared" si="2"/>
        <v>-11930619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2315992</v>
      </c>
      <c r="D30" s="76">
        <v>2705025</v>
      </c>
      <c r="E30" s="76">
        <f t="shared" si="2"/>
        <v>389033</v>
      </c>
      <c r="F30" s="77">
        <f t="shared" si="3"/>
        <v>0.1679768323897492</v>
      </c>
    </row>
    <row r="31" spans="1:7" ht="23.1" customHeight="1" x14ac:dyDescent="0.2">
      <c r="A31" s="74">
        <v>8</v>
      </c>
      <c r="B31" s="75" t="s">
        <v>89</v>
      </c>
      <c r="C31" s="76">
        <v>4267471</v>
      </c>
      <c r="D31" s="76">
        <v>4757599</v>
      </c>
      <c r="E31" s="76">
        <f t="shared" si="2"/>
        <v>490128</v>
      </c>
      <c r="F31" s="77">
        <f t="shared" si="3"/>
        <v>0.11485209858485272</v>
      </c>
    </row>
    <row r="32" spans="1:7" ht="23.1" customHeight="1" x14ac:dyDescent="0.2">
      <c r="A32" s="74">
        <v>9</v>
      </c>
      <c r="B32" s="75" t="s">
        <v>90</v>
      </c>
      <c r="C32" s="76">
        <v>55153063</v>
      </c>
      <c r="D32" s="76">
        <v>58158434</v>
      </c>
      <c r="E32" s="76">
        <f t="shared" si="2"/>
        <v>3005371</v>
      </c>
      <c r="F32" s="77">
        <f t="shared" si="3"/>
        <v>5.4491461335520026E-2</v>
      </c>
    </row>
    <row r="33" spans="1:6" ht="23.1" customHeight="1" x14ac:dyDescent="0.25">
      <c r="A33" s="71"/>
      <c r="B33" s="78" t="s">
        <v>91</v>
      </c>
      <c r="C33" s="79">
        <f>SUM(C24:C32)</f>
        <v>318194716</v>
      </c>
      <c r="D33" s="79">
        <f>SUM(D24:D32)</f>
        <v>312019235</v>
      </c>
      <c r="E33" s="79">
        <f t="shared" si="2"/>
        <v>-6175481</v>
      </c>
      <c r="F33" s="80">
        <f t="shared" si="3"/>
        <v>-1.9407867854097236E-2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21331765</v>
      </c>
      <c r="D35" s="79">
        <f>+D21-D33</f>
        <v>10072996</v>
      </c>
      <c r="E35" s="79">
        <f>D35-C35</f>
        <v>-11258769</v>
      </c>
      <c r="F35" s="80">
        <f>IF(C35=0,0,E35/C35)</f>
        <v>-0.52779359795122438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4584564</v>
      </c>
      <c r="D38" s="76">
        <v>6163570</v>
      </c>
      <c r="E38" s="76">
        <f>D38-C38</f>
        <v>1579006</v>
      </c>
      <c r="F38" s="77">
        <f>IF(C38=0,0,E38/C38)</f>
        <v>0.34441792065723154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4584564</v>
      </c>
      <c r="D41" s="79">
        <f>SUM(D38:D40)</f>
        <v>6163570</v>
      </c>
      <c r="E41" s="79">
        <f>D41-C41</f>
        <v>1579006</v>
      </c>
      <c r="F41" s="80">
        <f>IF(C41=0,0,E41/C41)</f>
        <v>0.34441792065723154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25916329</v>
      </c>
      <c r="D43" s="79">
        <f>D35+D41</f>
        <v>16236566</v>
      </c>
      <c r="E43" s="79">
        <f>D43-C43</f>
        <v>-9679763</v>
      </c>
      <c r="F43" s="80">
        <f>IF(C43=0,0,E43/C43)</f>
        <v>-0.3735005447723711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25916329</v>
      </c>
      <c r="D50" s="79">
        <f>D43+D48</f>
        <v>16236566</v>
      </c>
      <c r="E50" s="79">
        <f>D50-C50</f>
        <v>-9679763</v>
      </c>
      <c r="F50" s="80">
        <f>IF(C50=0,0,E50/C50)</f>
        <v>-0.3735005447723711</v>
      </c>
    </row>
    <row r="51" spans="1:6" ht="23.1" customHeight="1" x14ac:dyDescent="0.2">
      <c r="A51" s="85"/>
      <c r="B51" s="75" t="s">
        <v>104</v>
      </c>
      <c r="C51" s="76">
        <v>2915000</v>
      </c>
      <c r="D51" s="76">
        <v>3060000</v>
      </c>
      <c r="E51" s="76">
        <f>D51-C51</f>
        <v>145000</v>
      </c>
      <c r="F51" s="77">
        <f>IF(C51=0,0,E51/C51)</f>
        <v>4.974271012006861E-2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/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137173465</v>
      </c>
      <c r="D14" s="113">
        <v>140349910</v>
      </c>
      <c r="E14" s="113">
        <f t="shared" ref="E14:E25" si="0">D14-C14</f>
        <v>3176445</v>
      </c>
      <c r="F14" s="114">
        <f t="shared" ref="F14:F25" si="1">IF(C14=0,0,E14/C14)</f>
        <v>2.3156410024343994E-2</v>
      </c>
    </row>
    <row r="15" spans="1:6" x14ac:dyDescent="0.2">
      <c r="A15" s="115">
        <v>2</v>
      </c>
      <c r="B15" s="116" t="s">
        <v>114</v>
      </c>
      <c r="C15" s="113">
        <v>19510364</v>
      </c>
      <c r="D15" s="113">
        <v>20626661</v>
      </c>
      <c r="E15" s="113">
        <f t="shared" si="0"/>
        <v>1116297</v>
      </c>
      <c r="F15" s="114">
        <f t="shared" si="1"/>
        <v>5.7215590647104277E-2</v>
      </c>
    </row>
    <row r="16" spans="1:6" x14ac:dyDescent="0.2">
      <c r="A16" s="115">
        <v>3</v>
      </c>
      <c r="B16" s="116" t="s">
        <v>115</v>
      </c>
      <c r="C16" s="113">
        <v>44148844</v>
      </c>
      <c r="D16" s="113">
        <v>49696839</v>
      </c>
      <c r="E16" s="113">
        <f t="shared" si="0"/>
        <v>5547995</v>
      </c>
      <c r="F16" s="114">
        <f t="shared" si="1"/>
        <v>0.12566569126928895</v>
      </c>
    </row>
    <row r="17" spans="1:6" x14ac:dyDescent="0.2">
      <c r="A17" s="115">
        <v>4</v>
      </c>
      <c r="B17" s="116" t="s">
        <v>116</v>
      </c>
      <c r="C17" s="113">
        <v>3723853</v>
      </c>
      <c r="D17" s="113">
        <v>0</v>
      </c>
      <c r="E17" s="113">
        <f t="shared" si="0"/>
        <v>-3723853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12748626</v>
      </c>
      <c r="D18" s="113">
        <v>11605898</v>
      </c>
      <c r="E18" s="113">
        <f t="shared" si="0"/>
        <v>-1142728</v>
      </c>
      <c r="F18" s="114">
        <f t="shared" si="1"/>
        <v>-8.9635385021099523E-2</v>
      </c>
    </row>
    <row r="19" spans="1:6" x14ac:dyDescent="0.2">
      <c r="A19" s="115">
        <v>6</v>
      </c>
      <c r="B19" s="116" t="s">
        <v>118</v>
      </c>
      <c r="C19" s="113">
        <v>6512435</v>
      </c>
      <c r="D19" s="113">
        <v>6938082</v>
      </c>
      <c r="E19" s="113">
        <f t="shared" si="0"/>
        <v>425647</v>
      </c>
      <c r="F19" s="114">
        <f t="shared" si="1"/>
        <v>6.5359116828037439E-2</v>
      </c>
    </row>
    <row r="20" spans="1:6" x14ac:dyDescent="0.2">
      <c r="A20" s="115">
        <v>7</v>
      </c>
      <c r="B20" s="116" t="s">
        <v>119</v>
      </c>
      <c r="C20" s="113">
        <v>61812212</v>
      </c>
      <c r="D20" s="113">
        <v>59866068</v>
      </c>
      <c r="E20" s="113">
        <f t="shared" si="0"/>
        <v>-1946144</v>
      </c>
      <c r="F20" s="114">
        <f t="shared" si="1"/>
        <v>-3.1484781680357919E-2</v>
      </c>
    </row>
    <row r="21" spans="1:6" x14ac:dyDescent="0.2">
      <c r="A21" s="115">
        <v>8</v>
      </c>
      <c r="B21" s="116" t="s">
        <v>120</v>
      </c>
      <c r="C21" s="113">
        <v>3499229</v>
      </c>
      <c r="D21" s="113">
        <v>2477619</v>
      </c>
      <c r="E21" s="113">
        <f t="shared" si="0"/>
        <v>-1021610</v>
      </c>
      <c r="F21" s="114">
        <f t="shared" si="1"/>
        <v>-0.29195288447826651</v>
      </c>
    </row>
    <row r="22" spans="1:6" x14ac:dyDescent="0.2">
      <c r="A22" s="115">
        <v>9</v>
      </c>
      <c r="B22" s="116" t="s">
        <v>121</v>
      </c>
      <c r="C22" s="113">
        <v>935031</v>
      </c>
      <c r="D22" s="113">
        <v>1115273</v>
      </c>
      <c r="E22" s="113">
        <f t="shared" si="0"/>
        <v>180242</v>
      </c>
      <c r="F22" s="114">
        <f t="shared" si="1"/>
        <v>0.19276580134776281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481545</v>
      </c>
      <c r="D24" s="113">
        <v>371552</v>
      </c>
      <c r="E24" s="113">
        <f t="shared" si="0"/>
        <v>-109993</v>
      </c>
      <c r="F24" s="114">
        <f t="shared" si="1"/>
        <v>-0.22841686654414436</v>
      </c>
    </row>
    <row r="25" spans="1:6" ht="15.75" x14ac:dyDescent="0.25">
      <c r="A25" s="117"/>
      <c r="B25" s="118" t="s">
        <v>124</v>
      </c>
      <c r="C25" s="119">
        <f>SUM(C14:C24)</f>
        <v>290545604</v>
      </c>
      <c r="D25" s="119">
        <f>SUM(D14:D24)</f>
        <v>293047902</v>
      </c>
      <c r="E25" s="119">
        <f t="shared" si="0"/>
        <v>2502298</v>
      </c>
      <c r="F25" s="120">
        <f t="shared" si="1"/>
        <v>8.6124104634534415E-3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106175439</v>
      </c>
      <c r="D27" s="113">
        <v>110781461</v>
      </c>
      <c r="E27" s="113">
        <f t="shared" ref="E27:E38" si="2">D27-C27</f>
        <v>4606022</v>
      </c>
      <c r="F27" s="114">
        <f t="shared" ref="F27:F38" si="3">IF(C27=0,0,E27/C27)</f>
        <v>4.3381238103475134E-2</v>
      </c>
    </row>
    <row r="28" spans="1:6" x14ac:dyDescent="0.2">
      <c r="A28" s="115">
        <v>2</v>
      </c>
      <c r="B28" s="116" t="s">
        <v>114</v>
      </c>
      <c r="C28" s="113">
        <v>17762804</v>
      </c>
      <c r="D28" s="113">
        <v>21803873</v>
      </c>
      <c r="E28" s="113">
        <f t="shared" si="2"/>
        <v>4041069</v>
      </c>
      <c r="F28" s="114">
        <f t="shared" si="3"/>
        <v>0.22750175028672276</v>
      </c>
    </row>
    <row r="29" spans="1:6" x14ac:dyDescent="0.2">
      <c r="A29" s="115">
        <v>3</v>
      </c>
      <c r="B29" s="116" t="s">
        <v>115</v>
      </c>
      <c r="C29" s="113">
        <v>59277644</v>
      </c>
      <c r="D29" s="113">
        <v>71559253</v>
      </c>
      <c r="E29" s="113">
        <f t="shared" si="2"/>
        <v>12281609</v>
      </c>
      <c r="F29" s="114">
        <f t="shared" si="3"/>
        <v>0.20718787339118944</v>
      </c>
    </row>
    <row r="30" spans="1:6" x14ac:dyDescent="0.2">
      <c r="A30" s="115">
        <v>4</v>
      </c>
      <c r="B30" s="116" t="s">
        <v>116</v>
      </c>
      <c r="C30" s="113">
        <v>8370713</v>
      </c>
      <c r="D30" s="113">
        <v>0</v>
      </c>
      <c r="E30" s="113">
        <f t="shared" si="2"/>
        <v>-8370713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23215651</v>
      </c>
      <c r="D31" s="113">
        <v>23612888</v>
      </c>
      <c r="E31" s="113">
        <f t="shared" si="2"/>
        <v>397237</v>
      </c>
      <c r="F31" s="114">
        <f t="shared" si="3"/>
        <v>1.7110741370121391E-2</v>
      </c>
    </row>
    <row r="32" spans="1:6" x14ac:dyDescent="0.2">
      <c r="A32" s="115">
        <v>6</v>
      </c>
      <c r="B32" s="116" t="s">
        <v>118</v>
      </c>
      <c r="C32" s="113">
        <v>17713800</v>
      </c>
      <c r="D32" s="113">
        <v>16849454</v>
      </c>
      <c r="E32" s="113">
        <f t="shared" si="2"/>
        <v>-864346</v>
      </c>
      <c r="F32" s="114">
        <f t="shared" si="3"/>
        <v>-4.8795063735618559E-2</v>
      </c>
    </row>
    <row r="33" spans="1:6" x14ac:dyDescent="0.2">
      <c r="A33" s="115">
        <v>7</v>
      </c>
      <c r="B33" s="116" t="s">
        <v>119</v>
      </c>
      <c r="C33" s="113">
        <v>149295624</v>
      </c>
      <c r="D33" s="113">
        <v>150946150</v>
      </c>
      <c r="E33" s="113">
        <f t="shared" si="2"/>
        <v>1650526</v>
      </c>
      <c r="F33" s="114">
        <f t="shared" si="3"/>
        <v>1.1055421155545725E-2</v>
      </c>
    </row>
    <row r="34" spans="1:6" x14ac:dyDescent="0.2">
      <c r="A34" s="115">
        <v>8</v>
      </c>
      <c r="B34" s="116" t="s">
        <v>120</v>
      </c>
      <c r="C34" s="113">
        <v>8411607</v>
      </c>
      <c r="D34" s="113">
        <v>8033159</v>
      </c>
      <c r="E34" s="113">
        <f t="shared" si="2"/>
        <v>-378448</v>
      </c>
      <c r="F34" s="114">
        <f t="shared" si="3"/>
        <v>-4.4991165184012992E-2</v>
      </c>
    </row>
    <row r="35" spans="1:6" x14ac:dyDescent="0.2">
      <c r="A35" s="115">
        <v>9</v>
      </c>
      <c r="B35" s="116" t="s">
        <v>121</v>
      </c>
      <c r="C35" s="113">
        <v>10178944</v>
      </c>
      <c r="D35" s="113">
        <v>10987518</v>
      </c>
      <c r="E35" s="113">
        <f t="shared" si="2"/>
        <v>808574</v>
      </c>
      <c r="F35" s="114">
        <f t="shared" si="3"/>
        <v>7.9435941488625927E-2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1039368</v>
      </c>
      <c r="D37" s="113">
        <v>1706206</v>
      </c>
      <c r="E37" s="113">
        <f t="shared" si="2"/>
        <v>666838</v>
      </c>
      <c r="F37" s="114">
        <f t="shared" si="3"/>
        <v>0.6415802680090209</v>
      </c>
    </row>
    <row r="38" spans="1:6" ht="15.75" x14ac:dyDescent="0.25">
      <c r="A38" s="117"/>
      <c r="B38" s="118" t="s">
        <v>126</v>
      </c>
      <c r="C38" s="119">
        <f>SUM(C27:C37)</f>
        <v>401441594</v>
      </c>
      <c r="D38" s="119">
        <f>SUM(D27:D37)</f>
        <v>416279962</v>
      </c>
      <c r="E38" s="119">
        <f t="shared" si="2"/>
        <v>14838368</v>
      </c>
      <c r="F38" s="120">
        <f t="shared" si="3"/>
        <v>3.696270695856195E-2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243348904</v>
      </c>
      <c r="D41" s="119">
        <f t="shared" si="4"/>
        <v>251131371</v>
      </c>
      <c r="E41" s="123">
        <f t="shared" ref="E41:E52" si="5">D41-C41</f>
        <v>7782467</v>
      </c>
      <c r="F41" s="124">
        <f t="shared" ref="F41:F52" si="6">IF(C41=0,0,E41/C41)</f>
        <v>3.1980694681904134E-2</v>
      </c>
    </row>
    <row r="42" spans="1:6" ht="15.75" x14ac:dyDescent="0.25">
      <c r="A42" s="121">
        <v>2</v>
      </c>
      <c r="B42" s="122" t="s">
        <v>114</v>
      </c>
      <c r="C42" s="119">
        <f t="shared" si="4"/>
        <v>37273168</v>
      </c>
      <c r="D42" s="119">
        <f t="shared" si="4"/>
        <v>42430534</v>
      </c>
      <c r="E42" s="123">
        <f t="shared" si="5"/>
        <v>5157366</v>
      </c>
      <c r="F42" s="124">
        <f t="shared" si="6"/>
        <v>0.13836671999546699</v>
      </c>
    </row>
    <row r="43" spans="1:6" ht="15.75" x14ac:dyDescent="0.25">
      <c r="A43" s="121">
        <v>3</v>
      </c>
      <c r="B43" s="122" t="s">
        <v>115</v>
      </c>
      <c r="C43" s="119">
        <f t="shared" si="4"/>
        <v>103426488</v>
      </c>
      <c r="D43" s="119">
        <f t="shared" si="4"/>
        <v>121256092</v>
      </c>
      <c r="E43" s="123">
        <f t="shared" si="5"/>
        <v>17829604</v>
      </c>
      <c r="F43" s="124">
        <f t="shared" si="6"/>
        <v>0.17238914657916257</v>
      </c>
    </row>
    <row r="44" spans="1:6" ht="15.75" x14ac:dyDescent="0.25">
      <c r="A44" s="121">
        <v>4</v>
      </c>
      <c r="B44" s="122" t="s">
        <v>116</v>
      </c>
      <c r="C44" s="119">
        <f t="shared" si="4"/>
        <v>12094566</v>
      </c>
      <c r="D44" s="119">
        <f t="shared" si="4"/>
        <v>0</v>
      </c>
      <c r="E44" s="123">
        <f t="shared" si="5"/>
        <v>-12094566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35964277</v>
      </c>
      <c r="D45" s="119">
        <f t="shared" si="4"/>
        <v>35218786</v>
      </c>
      <c r="E45" s="123">
        <f t="shared" si="5"/>
        <v>-745491</v>
      </c>
      <c r="F45" s="124">
        <f t="shared" si="6"/>
        <v>-2.0728652490358698E-2</v>
      </c>
    </row>
    <row r="46" spans="1:6" ht="15.75" x14ac:dyDescent="0.25">
      <c r="A46" s="121">
        <v>6</v>
      </c>
      <c r="B46" s="122" t="s">
        <v>118</v>
      </c>
      <c r="C46" s="119">
        <f t="shared" si="4"/>
        <v>24226235</v>
      </c>
      <c r="D46" s="119">
        <f t="shared" si="4"/>
        <v>23787536</v>
      </c>
      <c r="E46" s="123">
        <f t="shared" si="5"/>
        <v>-438699</v>
      </c>
      <c r="F46" s="124">
        <f t="shared" si="6"/>
        <v>-1.8108426670508233E-2</v>
      </c>
    </row>
    <row r="47" spans="1:6" ht="15.75" x14ac:dyDescent="0.25">
      <c r="A47" s="121">
        <v>7</v>
      </c>
      <c r="B47" s="122" t="s">
        <v>119</v>
      </c>
      <c r="C47" s="119">
        <f t="shared" si="4"/>
        <v>211107836</v>
      </c>
      <c r="D47" s="119">
        <f t="shared" si="4"/>
        <v>210812218</v>
      </c>
      <c r="E47" s="123">
        <f t="shared" si="5"/>
        <v>-295618</v>
      </c>
      <c r="F47" s="124">
        <f t="shared" si="6"/>
        <v>-1.400317513557384E-3</v>
      </c>
    </row>
    <row r="48" spans="1:6" ht="15.75" x14ac:dyDescent="0.25">
      <c r="A48" s="121">
        <v>8</v>
      </c>
      <c r="B48" s="122" t="s">
        <v>120</v>
      </c>
      <c r="C48" s="119">
        <f t="shared" si="4"/>
        <v>11910836</v>
      </c>
      <c r="D48" s="119">
        <f t="shared" si="4"/>
        <v>10510778</v>
      </c>
      <c r="E48" s="123">
        <f t="shared" si="5"/>
        <v>-1400058</v>
      </c>
      <c r="F48" s="124">
        <f t="shared" si="6"/>
        <v>-0.11754489777207913</v>
      </c>
    </row>
    <row r="49" spans="1:6" ht="15.75" x14ac:dyDescent="0.25">
      <c r="A49" s="121">
        <v>9</v>
      </c>
      <c r="B49" s="122" t="s">
        <v>121</v>
      </c>
      <c r="C49" s="119">
        <f t="shared" si="4"/>
        <v>11113975</v>
      </c>
      <c r="D49" s="119">
        <f t="shared" si="4"/>
        <v>12102791</v>
      </c>
      <c r="E49" s="123">
        <f t="shared" si="5"/>
        <v>988816</v>
      </c>
      <c r="F49" s="124">
        <f t="shared" si="6"/>
        <v>8.8970507851601252E-2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1520913</v>
      </c>
      <c r="D51" s="119">
        <f t="shared" si="4"/>
        <v>2077758</v>
      </c>
      <c r="E51" s="123">
        <f t="shared" si="5"/>
        <v>556845</v>
      </c>
      <c r="F51" s="124">
        <f t="shared" si="6"/>
        <v>0.36612547857767014</v>
      </c>
    </row>
    <row r="52" spans="1:6" ht="18.75" customHeight="1" thickBot="1" x14ac:dyDescent="0.3">
      <c r="A52" s="125"/>
      <c r="B52" s="126" t="s">
        <v>128</v>
      </c>
      <c r="C52" s="127">
        <f>SUM(C41:C51)</f>
        <v>691987198</v>
      </c>
      <c r="D52" s="128">
        <f>SUM(D41:D51)</f>
        <v>709327864</v>
      </c>
      <c r="E52" s="127">
        <f t="shared" si="5"/>
        <v>17340666</v>
      </c>
      <c r="F52" s="129">
        <f t="shared" si="6"/>
        <v>2.5059229491699354E-2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65798159</v>
      </c>
      <c r="D57" s="113">
        <v>63119668</v>
      </c>
      <c r="E57" s="113">
        <f t="shared" ref="E57:E68" si="7">D57-C57</f>
        <v>-2678491</v>
      </c>
      <c r="F57" s="114">
        <f t="shared" ref="F57:F68" si="8">IF(C57=0,0,E57/C57)</f>
        <v>-4.0707689101149469E-2</v>
      </c>
    </row>
    <row r="58" spans="1:6" x14ac:dyDescent="0.2">
      <c r="A58" s="115">
        <v>2</v>
      </c>
      <c r="B58" s="116" t="s">
        <v>114</v>
      </c>
      <c r="C58" s="113">
        <v>7828593</v>
      </c>
      <c r="D58" s="113">
        <v>8256110</v>
      </c>
      <c r="E58" s="113">
        <f t="shared" si="7"/>
        <v>427517</v>
      </c>
      <c r="F58" s="114">
        <f t="shared" si="8"/>
        <v>5.4609685290830677E-2</v>
      </c>
    </row>
    <row r="59" spans="1:6" x14ac:dyDescent="0.2">
      <c r="A59" s="115">
        <v>3</v>
      </c>
      <c r="B59" s="116" t="s">
        <v>115</v>
      </c>
      <c r="C59" s="113">
        <v>15056489</v>
      </c>
      <c r="D59" s="113">
        <v>15986391</v>
      </c>
      <c r="E59" s="113">
        <f t="shared" si="7"/>
        <v>929902</v>
      </c>
      <c r="F59" s="114">
        <f t="shared" si="8"/>
        <v>6.176087931256749E-2</v>
      </c>
    </row>
    <row r="60" spans="1:6" x14ac:dyDescent="0.2">
      <c r="A60" s="115">
        <v>4</v>
      </c>
      <c r="B60" s="116" t="s">
        <v>116</v>
      </c>
      <c r="C60" s="113">
        <v>1053785</v>
      </c>
      <c r="D60" s="113">
        <v>0</v>
      </c>
      <c r="E60" s="113">
        <f t="shared" si="7"/>
        <v>-1053785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5510106</v>
      </c>
      <c r="D61" s="113">
        <v>4936371</v>
      </c>
      <c r="E61" s="113">
        <f t="shared" si="7"/>
        <v>-573735</v>
      </c>
      <c r="F61" s="114">
        <f t="shared" si="8"/>
        <v>-0.10412413118731291</v>
      </c>
    </row>
    <row r="62" spans="1:6" x14ac:dyDescent="0.2">
      <c r="A62" s="115">
        <v>6</v>
      </c>
      <c r="B62" s="116" t="s">
        <v>118</v>
      </c>
      <c r="C62" s="113">
        <v>1933177</v>
      </c>
      <c r="D62" s="113">
        <v>3159062</v>
      </c>
      <c r="E62" s="113">
        <f t="shared" si="7"/>
        <v>1225885</v>
      </c>
      <c r="F62" s="114">
        <f t="shared" si="8"/>
        <v>0.63412972531744383</v>
      </c>
    </row>
    <row r="63" spans="1:6" x14ac:dyDescent="0.2">
      <c r="A63" s="115">
        <v>7</v>
      </c>
      <c r="B63" s="116" t="s">
        <v>119</v>
      </c>
      <c r="C63" s="113">
        <v>47490126</v>
      </c>
      <c r="D63" s="113">
        <v>46945508</v>
      </c>
      <c r="E63" s="113">
        <f t="shared" si="7"/>
        <v>-544618</v>
      </c>
      <c r="F63" s="114">
        <f t="shared" si="8"/>
        <v>-1.1468026006079664E-2</v>
      </c>
    </row>
    <row r="64" spans="1:6" x14ac:dyDescent="0.2">
      <c r="A64" s="115">
        <v>8</v>
      </c>
      <c r="B64" s="116" t="s">
        <v>120</v>
      </c>
      <c r="C64" s="113">
        <v>2437075</v>
      </c>
      <c r="D64" s="113">
        <v>1716897</v>
      </c>
      <c r="E64" s="113">
        <f t="shared" si="7"/>
        <v>-720178</v>
      </c>
      <c r="F64" s="114">
        <f t="shared" si="8"/>
        <v>-0.29550916570068625</v>
      </c>
    </row>
    <row r="65" spans="1:6" x14ac:dyDescent="0.2">
      <c r="A65" s="115">
        <v>9</v>
      </c>
      <c r="B65" s="116" t="s">
        <v>121</v>
      </c>
      <c r="C65" s="113">
        <v>0</v>
      </c>
      <c r="D65" s="113">
        <v>0</v>
      </c>
      <c r="E65" s="113">
        <f t="shared" si="7"/>
        <v>0</v>
      </c>
      <c r="F65" s="114">
        <f t="shared" si="8"/>
        <v>0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143250</v>
      </c>
      <c r="D67" s="113">
        <v>118145</v>
      </c>
      <c r="E67" s="113">
        <f t="shared" si="7"/>
        <v>-25105</v>
      </c>
      <c r="F67" s="114">
        <f t="shared" si="8"/>
        <v>-0.17525305410122163</v>
      </c>
    </row>
    <row r="68" spans="1:6" ht="15.75" x14ac:dyDescent="0.25">
      <c r="A68" s="117"/>
      <c r="B68" s="118" t="s">
        <v>131</v>
      </c>
      <c r="C68" s="119">
        <f>SUM(C57:C67)</f>
        <v>147250760</v>
      </c>
      <c r="D68" s="119">
        <f>SUM(D57:D67)</f>
        <v>144238152</v>
      </c>
      <c r="E68" s="119">
        <f t="shared" si="7"/>
        <v>-3012608</v>
      </c>
      <c r="F68" s="120">
        <f t="shared" si="8"/>
        <v>-2.045903192621892E-2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28926489</v>
      </c>
      <c r="D70" s="113">
        <v>26356096</v>
      </c>
      <c r="E70" s="113">
        <f t="shared" ref="E70:E81" si="9">D70-C70</f>
        <v>-2570393</v>
      </c>
      <c r="F70" s="114">
        <f t="shared" ref="F70:F81" si="10">IF(C70=0,0,E70/C70)</f>
        <v>-8.8859487924718414E-2</v>
      </c>
    </row>
    <row r="71" spans="1:6" x14ac:dyDescent="0.2">
      <c r="A71" s="115">
        <v>2</v>
      </c>
      <c r="B71" s="116" t="s">
        <v>114</v>
      </c>
      <c r="C71" s="113">
        <v>4510821</v>
      </c>
      <c r="D71" s="113">
        <v>4844144</v>
      </c>
      <c r="E71" s="113">
        <f t="shared" si="9"/>
        <v>333323</v>
      </c>
      <c r="F71" s="114">
        <f t="shared" si="10"/>
        <v>7.3894087129593486E-2</v>
      </c>
    </row>
    <row r="72" spans="1:6" x14ac:dyDescent="0.2">
      <c r="A72" s="115">
        <v>3</v>
      </c>
      <c r="B72" s="116" t="s">
        <v>115</v>
      </c>
      <c r="C72" s="113">
        <v>16329436</v>
      </c>
      <c r="D72" s="113">
        <v>19407037</v>
      </c>
      <c r="E72" s="113">
        <f t="shared" si="9"/>
        <v>3077601</v>
      </c>
      <c r="F72" s="114">
        <f t="shared" si="10"/>
        <v>0.1884695221561847</v>
      </c>
    </row>
    <row r="73" spans="1:6" x14ac:dyDescent="0.2">
      <c r="A73" s="115">
        <v>4</v>
      </c>
      <c r="B73" s="116" t="s">
        <v>116</v>
      </c>
      <c r="C73" s="113">
        <v>2560417</v>
      </c>
      <c r="D73" s="113">
        <v>0</v>
      </c>
      <c r="E73" s="113">
        <f t="shared" si="9"/>
        <v>-2560417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7041745</v>
      </c>
      <c r="D74" s="113">
        <v>6217879</v>
      </c>
      <c r="E74" s="113">
        <f t="shared" si="9"/>
        <v>-823866</v>
      </c>
      <c r="F74" s="114">
        <f t="shared" si="10"/>
        <v>-0.1169974203837259</v>
      </c>
    </row>
    <row r="75" spans="1:6" x14ac:dyDescent="0.2">
      <c r="A75" s="115">
        <v>6</v>
      </c>
      <c r="B75" s="116" t="s">
        <v>118</v>
      </c>
      <c r="C75" s="113">
        <v>11343689</v>
      </c>
      <c r="D75" s="113">
        <v>7888023</v>
      </c>
      <c r="E75" s="113">
        <f t="shared" si="9"/>
        <v>-3455666</v>
      </c>
      <c r="F75" s="114">
        <f t="shared" si="10"/>
        <v>-0.30463335163719668</v>
      </c>
    </row>
    <row r="76" spans="1:6" x14ac:dyDescent="0.2">
      <c r="A76" s="115">
        <v>7</v>
      </c>
      <c r="B76" s="116" t="s">
        <v>119</v>
      </c>
      <c r="C76" s="113">
        <v>88263167</v>
      </c>
      <c r="D76" s="113">
        <v>88839661</v>
      </c>
      <c r="E76" s="113">
        <f t="shared" si="9"/>
        <v>576494</v>
      </c>
      <c r="F76" s="114">
        <f t="shared" si="10"/>
        <v>6.5315354025309337E-3</v>
      </c>
    </row>
    <row r="77" spans="1:6" x14ac:dyDescent="0.2">
      <c r="A77" s="115">
        <v>8</v>
      </c>
      <c r="B77" s="116" t="s">
        <v>120</v>
      </c>
      <c r="C77" s="113">
        <v>5545889</v>
      </c>
      <c r="D77" s="113">
        <v>5143564</v>
      </c>
      <c r="E77" s="113">
        <f t="shared" si="9"/>
        <v>-402325</v>
      </c>
      <c r="F77" s="114">
        <f t="shared" si="10"/>
        <v>-7.2544726372994486E-2</v>
      </c>
    </row>
    <row r="78" spans="1:6" x14ac:dyDescent="0.2">
      <c r="A78" s="115">
        <v>9</v>
      </c>
      <c r="B78" s="116" t="s">
        <v>121</v>
      </c>
      <c r="C78" s="113">
        <v>0</v>
      </c>
      <c r="D78" s="113">
        <v>0</v>
      </c>
      <c r="E78" s="113">
        <f t="shared" si="9"/>
        <v>0</v>
      </c>
      <c r="F78" s="114">
        <f t="shared" si="10"/>
        <v>0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268389</v>
      </c>
      <c r="D80" s="113">
        <v>427749</v>
      </c>
      <c r="E80" s="113">
        <f t="shared" si="9"/>
        <v>159360</v>
      </c>
      <c r="F80" s="114">
        <f t="shared" si="10"/>
        <v>0.59376502017593868</v>
      </c>
    </row>
    <row r="81" spans="1:6" ht="15.75" x14ac:dyDescent="0.25">
      <c r="A81" s="117"/>
      <c r="B81" s="118" t="s">
        <v>133</v>
      </c>
      <c r="C81" s="119">
        <f>SUM(C70:C80)</f>
        <v>164790042</v>
      </c>
      <c r="D81" s="119">
        <f>SUM(D70:D80)</f>
        <v>159124153</v>
      </c>
      <c r="E81" s="119">
        <f t="shared" si="9"/>
        <v>-5665889</v>
      </c>
      <c r="F81" s="120">
        <f t="shared" si="10"/>
        <v>-3.4382471969999252E-2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94724648</v>
      </c>
      <c r="D84" s="119">
        <f t="shared" si="11"/>
        <v>89475764</v>
      </c>
      <c r="E84" s="119">
        <f t="shared" ref="E84:E95" si="12">D84-C84</f>
        <v>-5248884</v>
      </c>
      <c r="F84" s="120">
        <f t="shared" ref="F84:F95" si="13">IF(C84=0,0,E84/C84)</f>
        <v>-5.5412019055483847E-2</v>
      </c>
    </row>
    <row r="85" spans="1:6" ht="15.75" x14ac:dyDescent="0.25">
      <c r="A85" s="130">
        <v>2</v>
      </c>
      <c r="B85" s="122" t="s">
        <v>114</v>
      </c>
      <c r="C85" s="119">
        <f t="shared" si="11"/>
        <v>12339414</v>
      </c>
      <c r="D85" s="119">
        <f t="shared" si="11"/>
        <v>13100254</v>
      </c>
      <c r="E85" s="119">
        <f t="shared" si="12"/>
        <v>760840</v>
      </c>
      <c r="F85" s="120">
        <f t="shared" si="13"/>
        <v>6.1659330013564662E-2</v>
      </c>
    </row>
    <row r="86" spans="1:6" ht="15.75" x14ac:dyDescent="0.25">
      <c r="A86" s="130">
        <v>3</v>
      </c>
      <c r="B86" s="122" t="s">
        <v>115</v>
      </c>
      <c r="C86" s="119">
        <f t="shared" si="11"/>
        <v>31385925</v>
      </c>
      <c r="D86" s="119">
        <f t="shared" si="11"/>
        <v>35393428</v>
      </c>
      <c r="E86" s="119">
        <f t="shared" si="12"/>
        <v>4007503</v>
      </c>
      <c r="F86" s="120">
        <f t="shared" si="13"/>
        <v>0.12768471854820274</v>
      </c>
    </row>
    <row r="87" spans="1:6" ht="15.75" x14ac:dyDescent="0.25">
      <c r="A87" s="130">
        <v>4</v>
      </c>
      <c r="B87" s="122" t="s">
        <v>116</v>
      </c>
      <c r="C87" s="119">
        <f t="shared" si="11"/>
        <v>3614202</v>
      </c>
      <c r="D87" s="119">
        <f t="shared" si="11"/>
        <v>0</v>
      </c>
      <c r="E87" s="119">
        <f t="shared" si="12"/>
        <v>-3614202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12551851</v>
      </c>
      <c r="D88" s="119">
        <f t="shared" si="11"/>
        <v>11154250</v>
      </c>
      <c r="E88" s="119">
        <f t="shared" si="12"/>
        <v>-1397601</v>
      </c>
      <c r="F88" s="120">
        <f t="shared" si="13"/>
        <v>-0.1113462070255614</v>
      </c>
    </row>
    <row r="89" spans="1:6" ht="15.75" x14ac:dyDescent="0.25">
      <c r="A89" s="130">
        <v>6</v>
      </c>
      <c r="B89" s="122" t="s">
        <v>118</v>
      </c>
      <c r="C89" s="119">
        <f t="shared" si="11"/>
        <v>13276866</v>
      </c>
      <c r="D89" s="119">
        <f t="shared" si="11"/>
        <v>11047085</v>
      </c>
      <c r="E89" s="119">
        <f t="shared" si="12"/>
        <v>-2229781</v>
      </c>
      <c r="F89" s="120">
        <f t="shared" si="13"/>
        <v>-0.16794482975123798</v>
      </c>
    </row>
    <row r="90" spans="1:6" ht="15.75" x14ac:dyDescent="0.25">
      <c r="A90" s="130">
        <v>7</v>
      </c>
      <c r="B90" s="122" t="s">
        <v>119</v>
      </c>
      <c r="C90" s="119">
        <f t="shared" si="11"/>
        <v>135753293</v>
      </c>
      <c r="D90" s="119">
        <f t="shared" si="11"/>
        <v>135785169</v>
      </c>
      <c r="E90" s="119">
        <f t="shared" si="12"/>
        <v>31876</v>
      </c>
      <c r="F90" s="120">
        <f t="shared" si="13"/>
        <v>2.348083003776564E-4</v>
      </c>
    </row>
    <row r="91" spans="1:6" ht="15.75" x14ac:dyDescent="0.25">
      <c r="A91" s="130">
        <v>8</v>
      </c>
      <c r="B91" s="122" t="s">
        <v>120</v>
      </c>
      <c r="C91" s="119">
        <f t="shared" si="11"/>
        <v>7982964</v>
      </c>
      <c r="D91" s="119">
        <f t="shared" si="11"/>
        <v>6860461</v>
      </c>
      <c r="E91" s="119">
        <f t="shared" si="12"/>
        <v>-1122503</v>
      </c>
      <c r="F91" s="120">
        <f t="shared" si="13"/>
        <v>-0.14061230891182774</v>
      </c>
    </row>
    <row r="92" spans="1:6" ht="15.75" x14ac:dyDescent="0.25">
      <c r="A92" s="130">
        <v>9</v>
      </c>
      <c r="B92" s="122" t="s">
        <v>121</v>
      </c>
      <c r="C92" s="119">
        <f t="shared" si="11"/>
        <v>0</v>
      </c>
      <c r="D92" s="119">
        <f t="shared" si="11"/>
        <v>0</v>
      </c>
      <c r="E92" s="119">
        <f t="shared" si="12"/>
        <v>0</v>
      </c>
      <c r="F92" s="120">
        <f t="shared" si="13"/>
        <v>0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411639</v>
      </c>
      <c r="D94" s="119">
        <f t="shared" si="11"/>
        <v>545894</v>
      </c>
      <c r="E94" s="119">
        <f t="shared" si="12"/>
        <v>134255</v>
      </c>
      <c r="F94" s="120">
        <f t="shared" si="13"/>
        <v>0.32614742529255003</v>
      </c>
    </row>
    <row r="95" spans="1:6" ht="18.75" customHeight="1" thickBot="1" x14ac:dyDescent="0.3">
      <c r="A95" s="131"/>
      <c r="B95" s="132" t="s">
        <v>134</v>
      </c>
      <c r="C95" s="128">
        <f>SUM(C84:C94)</f>
        <v>312040802</v>
      </c>
      <c r="D95" s="128">
        <f>SUM(D84:D94)</f>
        <v>303362305</v>
      </c>
      <c r="E95" s="128">
        <f t="shared" si="12"/>
        <v>-8678497</v>
      </c>
      <c r="F95" s="129">
        <f t="shared" si="13"/>
        <v>-2.7812058373058533E-2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6066</v>
      </c>
      <c r="D100" s="133">
        <v>5814</v>
      </c>
      <c r="E100" s="133">
        <f t="shared" ref="E100:E111" si="14">D100-C100</f>
        <v>-252</v>
      </c>
      <c r="F100" s="114">
        <f t="shared" ref="F100:F111" si="15">IF(C100=0,0,E100/C100)</f>
        <v>-4.1543026706231452E-2</v>
      </c>
    </row>
    <row r="101" spans="1:6" x14ac:dyDescent="0.2">
      <c r="A101" s="115">
        <v>2</v>
      </c>
      <c r="B101" s="116" t="s">
        <v>114</v>
      </c>
      <c r="C101" s="133">
        <v>763</v>
      </c>
      <c r="D101" s="133">
        <v>844</v>
      </c>
      <c r="E101" s="133">
        <f t="shared" si="14"/>
        <v>81</v>
      </c>
      <c r="F101" s="114">
        <f t="shared" si="15"/>
        <v>0.10615989515072084</v>
      </c>
    </row>
    <row r="102" spans="1:6" x14ac:dyDescent="0.2">
      <c r="A102" s="115">
        <v>3</v>
      </c>
      <c r="B102" s="116" t="s">
        <v>115</v>
      </c>
      <c r="C102" s="133">
        <v>2764</v>
      </c>
      <c r="D102" s="133">
        <v>3069</v>
      </c>
      <c r="E102" s="133">
        <f t="shared" si="14"/>
        <v>305</v>
      </c>
      <c r="F102" s="114">
        <f t="shared" si="15"/>
        <v>0.11034732272069464</v>
      </c>
    </row>
    <row r="103" spans="1:6" x14ac:dyDescent="0.2">
      <c r="A103" s="115">
        <v>4</v>
      </c>
      <c r="B103" s="116" t="s">
        <v>116</v>
      </c>
      <c r="C103" s="133">
        <v>264</v>
      </c>
      <c r="D103" s="133">
        <v>0</v>
      </c>
      <c r="E103" s="133">
        <f t="shared" si="14"/>
        <v>-264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969</v>
      </c>
      <c r="D104" s="133">
        <v>943</v>
      </c>
      <c r="E104" s="133">
        <f t="shared" si="14"/>
        <v>-26</v>
      </c>
      <c r="F104" s="114">
        <f t="shared" si="15"/>
        <v>-2.6831785345717233E-2</v>
      </c>
    </row>
    <row r="105" spans="1:6" x14ac:dyDescent="0.2">
      <c r="A105" s="115">
        <v>6</v>
      </c>
      <c r="B105" s="116" t="s">
        <v>118</v>
      </c>
      <c r="C105" s="133">
        <v>435</v>
      </c>
      <c r="D105" s="133">
        <v>452</v>
      </c>
      <c r="E105" s="133">
        <f t="shared" si="14"/>
        <v>17</v>
      </c>
      <c r="F105" s="114">
        <f t="shared" si="15"/>
        <v>3.9080459770114942E-2</v>
      </c>
    </row>
    <row r="106" spans="1:6" x14ac:dyDescent="0.2">
      <c r="A106" s="115">
        <v>7</v>
      </c>
      <c r="B106" s="116" t="s">
        <v>119</v>
      </c>
      <c r="C106" s="133">
        <v>3460</v>
      </c>
      <c r="D106" s="133">
        <v>3345</v>
      </c>
      <c r="E106" s="133">
        <f t="shared" si="14"/>
        <v>-115</v>
      </c>
      <c r="F106" s="114">
        <f t="shared" si="15"/>
        <v>-3.3236994219653176E-2</v>
      </c>
    </row>
    <row r="107" spans="1:6" x14ac:dyDescent="0.2">
      <c r="A107" s="115">
        <v>8</v>
      </c>
      <c r="B107" s="116" t="s">
        <v>120</v>
      </c>
      <c r="C107" s="133">
        <v>111</v>
      </c>
      <c r="D107" s="133">
        <v>88</v>
      </c>
      <c r="E107" s="133">
        <f t="shared" si="14"/>
        <v>-23</v>
      </c>
      <c r="F107" s="114">
        <f t="shared" si="15"/>
        <v>-0.2072072072072072</v>
      </c>
    </row>
    <row r="108" spans="1:6" x14ac:dyDescent="0.2">
      <c r="A108" s="115">
        <v>9</v>
      </c>
      <c r="B108" s="116" t="s">
        <v>121</v>
      </c>
      <c r="C108" s="133">
        <v>69</v>
      </c>
      <c r="D108" s="133">
        <v>67</v>
      </c>
      <c r="E108" s="133">
        <f t="shared" si="14"/>
        <v>-2</v>
      </c>
      <c r="F108" s="114">
        <f t="shared" si="15"/>
        <v>-2.8985507246376812E-2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31</v>
      </c>
      <c r="D110" s="133">
        <v>27</v>
      </c>
      <c r="E110" s="133">
        <f t="shared" si="14"/>
        <v>-4</v>
      </c>
      <c r="F110" s="114">
        <f t="shared" si="15"/>
        <v>-0.12903225806451613</v>
      </c>
    </row>
    <row r="111" spans="1:6" ht="15.75" x14ac:dyDescent="0.25">
      <c r="A111" s="117"/>
      <c r="B111" s="118" t="s">
        <v>138</v>
      </c>
      <c r="C111" s="134">
        <f>SUM(C100:C110)</f>
        <v>14932</v>
      </c>
      <c r="D111" s="134">
        <f>SUM(D100:D110)</f>
        <v>14649</v>
      </c>
      <c r="E111" s="134">
        <f t="shared" si="14"/>
        <v>-283</v>
      </c>
      <c r="F111" s="120">
        <f t="shared" si="15"/>
        <v>-1.8952585052236806E-2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33701</v>
      </c>
      <c r="D113" s="133">
        <v>31984</v>
      </c>
      <c r="E113" s="133">
        <f t="shared" ref="E113:E124" si="16">D113-C113</f>
        <v>-1717</v>
      </c>
      <c r="F113" s="114">
        <f t="shared" ref="F113:F124" si="17">IF(C113=0,0,E113/C113)</f>
        <v>-5.0948043084774935E-2</v>
      </c>
    </row>
    <row r="114" spans="1:6" x14ac:dyDescent="0.2">
      <c r="A114" s="115">
        <v>2</v>
      </c>
      <c r="B114" s="116" t="s">
        <v>114</v>
      </c>
      <c r="C114" s="133">
        <v>4318</v>
      </c>
      <c r="D114" s="133">
        <v>4245</v>
      </c>
      <c r="E114" s="133">
        <f t="shared" si="16"/>
        <v>-73</v>
      </c>
      <c r="F114" s="114">
        <f t="shared" si="17"/>
        <v>-1.6905974988420565E-2</v>
      </c>
    </row>
    <row r="115" spans="1:6" x14ac:dyDescent="0.2">
      <c r="A115" s="115">
        <v>3</v>
      </c>
      <c r="B115" s="116" t="s">
        <v>115</v>
      </c>
      <c r="C115" s="133">
        <v>12799</v>
      </c>
      <c r="D115" s="133">
        <v>13305</v>
      </c>
      <c r="E115" s="133">
        <f t="shared" si="16"/>
        <v>506</v>
      </c>
      <c r="F115" s="114">
        <f t="shared" si="17"/>
        <v>3.9534338620204702E-2</v>
      </c>
    </row>
    <row r="116" spans="1:6" x14ac:dyDescent="0.2">
      <c r="A116" s="115">
        <v>4</v>
      </c>
      <c r="B116" s="116" t="s">
        <v>116</v>
      </c>
      <c r="C116" s="133">
        <v>931</v>
      </c>
      <c r="D116" s="133">
        <v>0</v>
      </c>
      <c r="E116" s="133">
        <f t="shared" si="16"/>
        <v>-931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3191</v>
      </c>
      <c r="D117" s="133">
        <v>2851</v>
      </c>
      <c r="E117" s="133">
        <f t="shared" si="16"/>
        <v>-340</v>
      </c>
      <c r="F117" s="114">
        <f t="shared" si="17"/>
        <v>-0.10654967094954559</v>
      </c>
    </row>
    <row r="118" spans="1:6" x14ac:dyDescent="0.2">
      <c r="A118" s="115">
        <v>6</v>
      </c>
      <c r="B118" s="116" t="s">
        <v>118</v>
      </c>
      <c r="C118" s="133">
        <v>1533</v>
      </c>
      <c r="D118" s="133">
        <v>1856</v>
      </c>
      <c r="E118" s="133">
        <f t="shared" si="16"/>
        <v>323</v>
      </c>
      <c r="F118" s="114">
        <f t="shared" si="17"/>
        <v>0.21069797782126548</v>
      </c>
    </row>
    <row r="119" spans="1:6" x14ac:dyDescent="0.2">
      <c r="A119" s="115">
        <v>7</v>
      </c>
      <c r="B119" s="116" t="s">
        <v>119</v>
      </c>
      <c r="C119" s="133">
        <v>13304</v>
      </c>
      <c r="D119" s="133">
        <v>12322</v>
      </c>
      <c r="E119" s="133">
        <f t="shared" si="16"/>
        <v>-982</v>
      </c>
      <c r="F119" s="114">
        <f t="shared" si="17"/>
        <v>-7.3812387251954298E-2</v>
      </c>
    </row>
    <row r="120" spans="1:6" x14ac:dyDescent="0.2">
      <c r="A120" s="115">
        <v>8</v>
      </c>
      <c r="B120" s="116" t="s">
        <v>120</v>
      </c>
      <c r="C120" s="133">
        <v>426</v>
      </c>
      <c r="D120" s="133">
        <v>324</v>
      </c>
      <c r="E120" s="133">
        <f t="shared" si="16"/>
        <v>-102</v>
      </c>
      <c r="F120" s="114">
        <f t="shared" si="17"/>
        <v>-0.23943661971830985</v>
      </c>
    </row>
    <row r="121" spans="1:6" x14ac:dyDescent="0.2">
      <c r="A121" s="115">
        <v>9</v>
      </c>
      <c r="B121" s="116" t="s">
        <v>121</v>
      </c>
      <c r="C121" s="133">
        <v>216</v>
      </c>
      <c r="D121" s="133">
        <v>191</v>
      </c>
      <c r="E121" s="133">
        <f t="shared" si="16"/>
        <v>-25</v>
      </c>
      <c r="F121" s="114">
        <f t="shared" si="17"/>
        <v>-0.11574074074074074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139</v>
      </c>
      <c r="D123" s="133">
        <v>75</v>
      </c>
      <c r="E123" s="133">
        <f t="shared" si="16"/>
        <v>-64</v>
      </c>
      <c r="F123" s="114">
        <f t="shared" si="17"/>
        <v>-0.46043165467625902</v>
      </c>
    </row>
    <row r="124" spans="1:6" ht="15.75" x14ac:dyDescent="0.25">
      <c r="A124" s="117"/>
      <c r="B124" s="118" t="s">
        <v>140</v>
      </c>
      <c r="C124" s="134">
        <f>SUM(C113:C123)</f>
        <v>70558</v>
      </c>
      <c r="D124" s="134">
        <f>SUM(D113:D123)</f>
        <v>67153</v>
      </c>
      <c r="E124" s="134">
        <f t="shared" si="16"/>
        <v>-3405</v>
      </c>
      <c r="F124" s="120">
        <f t="shared" si="17"/>
        <v>-4.8258170583066411E-2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126202</v>
      </c>
      <c r="D126" s="133">
        <v>122829</v>
      </c>
      <c r="E126" s="133">
        <f t="shared" ref="E126:E137" si="18">D126-C126</f>
        <v>-3373</v>
      </c>
      <c r="F126" s="114">
        <f t="shared" ref="F126:F137" si="19">IF(C126=0,0,E126/C126)</f>
        <v>-2.6726993233070793E-2</v>
      </c>
    </row>
    <row r="127" spans="1:6" x14ac:dyDescent="0.2">
      <c r="A127" s="115">
        <v>2</v>
      </c>
      <c r="B127" s="116" t="s">
        <v>114</v>
      </c>
      <c r="C127" s="133">
        <v>18901</v>
      </c>
      <c r="D127" s="133">
        <v>22173</v>
      </c>
      <c r="E127" s="133">
        <f t="shared" si="18"/>
        <v>3272</v>
      </c>
      <c r="F127" s="114">
        <f t="shared" si="19"/>
        <v>0.17311253372837415</v>
      </c>
    </row>
    <row r="128" spans="1:6" x14ac:dyDescent="0.2">
      <c r="A128" s="115">
        <v>3</v>
      </c>
      <c r="B128" s="116" t="s">
        <v>115</v>
      </c>
      <c r="C128" s="133">
        <v>35110</v>
      </c>
      <c r="D128" s="133">
        <v>39227</v>
      </c>
      <c r="E128" s="133">
        <f t="shared" si="18"/>
        <v>4117</v>
      </c>
      <c r="F128" s="114">
        <f t="shared" si="19"/>
        <v>0.11726003987467958</v>
      </c>
    </row>
    <row r="129" spans="1:6" x14ac:dyDescent="0.2">
      <c r="A129" s="115">
        <v>4</v>
      </c>
      <c r="B129" s="116" t="s">
        <v>116</v>
      </c>
      <c r="C129" s="133">
        <v>5403</v>
      </c>
      <c r="D129" s="133">
        <v>0</v>
      </c>
      <c r="E129" s="133">
        <f t="shared" si="18"/>
        <v>-5403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13182</v>
      </c>
      <c r="D130" s="133">
        <v>12127</v>
      </c>
      <c r="E130" s="133">
        <f t="shared" si="18"/>
        <v>-1055</v>
      </c>
      <c r="F130" s="114">
        <f t="shared" si="19"/>
        <v>-8.0033378849946893E-2</v>
      </c>
    </row>
    <row r="131" spans="1:6" x14ac:dyDescent="0.2">
      <c r="A131" s="115">
        <v>6</v>
      </c>
      <c r="B131" s="116" t="s">
        <v>118</v>
      </c>
      <c r="C131" s="133">
        <v>58131</v>
      </c>
      <c r="D131" s="133">
        <v>69458</v>
      </c>
      <c r="E131" s="133">
        <f t="shared" si="18"/>
        <v>11327</v>
      </c>
      <c r="F131" s="114">
        <f t="shared" si="19"/>
        <v>0.194853004421049</v>
      </c>
    </row>
    <row r="132" spans="1:6" x14ac:dyDescent="0.2">
      <c r="A132" s="115">
        <v>7</v>
      </c>
      <c r="B132" s="116" t="s">
        <v>119</v>
      </c>
      <c r="C132" s="133">
        <v>93730</v>
      </c>
      <c r="D132" s="133">
        <v>74170</v>
      </c>
      <c r="E132" s="133">
        <f t="shared" si="18"/>
        <v>-19560</v>
      </c>
      <c r="F132" s="114">
        <f t="shared" si="19"/>
        <v>-0.20868451936413102</v>
      </c>
    </row>
    <row r="133" spans="1:6" x14ac:dyDescent="0.2">
      <c r="A133" s="115">
        <v>8</v>
      </c>
      <c r="B133" s="116" t="s">
        <v>120</v>
      </c>
      <c r="C133" s="133">
        <v>4832</v>
      </c>
      <c r="D133" s="133">
        <v>4592</v>
      </c>
      <c r="E133" s="133">
        <f t="shared" si="18"/>
        <v>-240</v>
      </c>
      <c r="F133" s="114">
        <f t="shared" si="19"/>
        <v>-4.9668874172185427E-2</v>
      </c>
    </row>
    <row r="134" spans="1:6" x14ac:dyDescent="0.2">
      <c r="A134" s="115">
        <v>9</v>
      </c>
      <c r="B134" s="116" t="s">
        <v>121</v>
      </c>
      <c r="C134" s="133">
        <v>3307</v>
      </c>
      <c r="D134" s="133">
        <v>3387</v>
      </c>
      <c r="E134" s="133">
        <f t="shared" si="18"/>
        <v>80</v>
      </c>
      <c r="F134" s="114">
        <f t="shared" si="19"/>
        <v>2.419110976716057E-2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933</v>
      </c>
      <c r="D136" s="133">
        <v>1292</v>
      </c>
      <c r="E136" s="133">
        <f t="shared" si="18"/>
        <v>359</v>
      </c>
      <c r="F136" s="114">
        <f t="shared" si="19"/>
        <v>0.38478027867095393</v>
      </c>
    </row>
    <row r="137" spans="1:6" ht="15.75" x14ac:dyDescent="0.25">
      <c r="A137" s="117"/>
      <c r="B137" s="118" t="s">
        <v>142</v>
      </c>
      <c r="C137" s="134">
        <f>SUM(C126:C136)</f>
        <v>359731</v>
      </c>
      <c r="D137" s="134">
        <f>SUM(D126:D136)</f>
        <v>349255</v>
      </c>
      <c r="E137" s="134">
        <f t="shared" si="18"/>
        <v>-10476</v>
      </c>
      <c r="F137" s="120">
        <f t="shared" si="19"/>
        <v>-2.9121760426540941E-2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15677778</v>
      </c>
      <c r="D142" s="113">
        <v>15831980</v>
      </c>
      <c r="E142" s="113">
        <f t="shared" ref="E142:E153" si="20">D142-C142</f>
        <v>154202</v>
      </c>
      <c r="F142" s="114">
        <f t="shared" ref="F142:F153" si="21">IF(C142=0,0,E142/C142)</f>
        <v>9.835705034221048E-3</v>
      </c>
    </row>
    <row r="143" spans="1:6" x14ac:dyDescent="0.2">
      <c r="A143" s="115">
        <v>2</v>
      </c>
      <c r="B143" s="116" t="s">
        <v>114</v>
      </c>
      <c r="C143" s="113">
        <v>2085655</v>
      </c>
      <c r="D143" s="113">
        <v>2422099</v>
      </c>
      <c r="E143" s="113">
        <f t="shared" si="20"/>
        <v>336444</v>
      </c>
      <c r="F143" s="114">
        <f t="shared" si="21"/>
        <v>0.16131335240008535</v>
      </c>
    </row>
    <row r="144" spans="1:6" x14ac:dyDescent="0.2">
      <c r="A144" s="115">
        <v>3</v>
      </c>
      <c r="B144" s="116" t="s">
        <v>115</v>
      </c>
      <c r="C144" s="113">
        <v>23464022</v>
      </c>
      <c r="D144" s="113">
        <v>27659745</v>
      </c>
      <c r="E144" s="113">
        <f t="shared" si="20"/>
        <v>4195723</v>
      </c>
      <c r="F144" s="114">
        <f t="shared" si="21"/>
        <v>0.17881516647060763</v>
      </c>
    </row>
    <row r="145" spans="1:6" x14ac:dyDescent="0.2">
      <c r="A145" s="115">
        <v>4</v>
      </c>
      <c r="B145" s="116" t="s">
        <v>116</v>
      </c>
      <c r="C145" s="113">
        <v>3286666</v>
      </c>
      <c r="D145" s="113">
        <v>0</v>
      </c>
      <c r="E145" s="113">
        <f t="shared" si="20"/>
        <v>-3286666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6772968</v>
      </c>
      <c r="D146" s="113">
        <v>6582872</v>
      </c>
      <c r="E146" s="113">
        <f t="shared" si="20"/>
        <v>-190096</v>
      </c>
      <c r="F146" s="114">
        <f t="shared" si="21"/>
        <v>-2.8066868173598339E-2</v>
      </c>
    </row>
    <row r="147" spans="1:6" x14ac:dyDescent="0.2">
      <c r="A147" s="115">
        <v>6</v>
      </c>
      <c r="B147" s="116" t="s">
        <v>118</v>
      </c>
      <c r="C147" s="113">
        <v>5848357</v>
      </c>
      <c r="D147" s="113">
        <v>5739723</v>
      </c>
      <c r="E147" s="113">
        <f t="shared" si="20"/>
        <v>-108634</v>
      </c>
      <c r="F147" s="114">
        <f t="shared" si="21"/>
        <v>-1.8575131442899261E-2</v>
      </c>
    </row>
    <row r="148" spans="1:6" x14ac:dyDescent="0.2">
      <c r="A148" s="115">
        <v>7</v>
      </c>
      <c r="B148" s="116" t="s">
        <v>119</v>
      </c>
      <c r="C148" s="113">
        <v>22206731</v>
      </c>
      <c r="D148" s="113">
        <v>21640387</v>
      </c>
      <c r="E148" s="113">
        <f t="shared" si="20"/>
        <v>-566344</v>
      </c>
      <c r="F148" s="114">
        <f t="shared" si="21"/>
        <v>-2.5503258448981075E-2</v>
      </c>
    </row>
    <row r="149" spans="1:6" x14ac:dyDescent="0.2">
      <c r="A149" s="115">
        <v>8</v>
      </c>
      <c r="B149" s="116" t="s">
        <v>120</v>
      </c>
      <c r="C149" s="113">
        <v>1254884</v>
      </c>
      <c r="D149" s="113">
        <v>1336934</v>
      </c>
      <c r="E149" s="113">
        <f t="shared" si="20"/>
        <v>82050</v>
      </c>
      <c r="F149" s="114">
        <f t="shared" si="21"/>
        <v>6.5384529566079416E-2</v>
      </c>
    </row>
    <row r="150" spans="1:6" x14ac:dyDescent="0.2">
      <c r="A150" s="115">
        <v>9</v>
      </c>
      <c r="B150" s="116" t="s">
        <v>121</v>
      </c>
      <c r="C150" s="113">
        <v>4821664</v>
      </c>
      <c r="D150" s="113">
        <v>4419456</v>
      </c>
      <c r="E150" s="113">
        <f t="shared" si="20"/>
        <v>-402208</v>
      </c>
      <c r="F150" s="114">
        <f t="shared" si="21"/>
        <v>-8.3416845304857407E-2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457753</v>
      </c>
      <c r="D152" s="113">
        <v>772247</v>
      </c>
      <c r="E152" s="113">
        <f t="shared" si="20"/>
        <v>314494</v>
      </c>
      <c r="F152" s="114">
        <f t="shared" si="21"/>
        <v>0.68703864311102281</v>
      </c>
    </row>
    <row r="153" spans="1:6" ht="33.75" customHeight="1" x14ac:dyDescent="0.25">
      <c r="A153" s="117"/>
      <c r="B153" s="118" t="s">
        <v>146</v>
      </c>
      <c r="C153" s="119">
        <f>SUM(C142:C152)</f>
        <v>85876478</v>
      </c>
      <c r="D153" s="119">
        <f>SUM(D142:D152)</f>
        <v>86405443</v>
      </c>
      <c r="E153" s="119">
        <f t="shared" si="20"/>
        <v>528965</v>
      </c>
      <c r="F153" s="120">
        <f t="shared" si="21"/>
        <v>6.1596028658744018E-3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3435848</v>
      </c>
      <c r="D155" s="113">
        <v>3346026</v>
      </c>
      <c r="E155" s="113">
        <f t="shared" ref="E155:E166" si="22">D155-C155</f>
        <v>-89822</v>
      </c>
      <c r="F155" s="114">
        <f t="shared" ref="F155:F166" si="23">IF(C155=0,0,E155/C155)</f>
        <v>-2.6142600021886883E-2</v>
      </c>
    </row>
    <row r="156" spans="1:6" x14ac:dyDescent="0.2">
      <c r="A156" s="115">
        <v>2</v>
      </c>
      <c r="B156" s="116" t="s">
        <v>114</v>
      </c>
      <c r="C156" s="113">
        <v>499008</v>
      </c>
      <c r="D156" s="113">
        <v>542134</v>
      </c>
      <c r="E156" s="113">
        <f t="shared" si="22"/>
        <v>43126</v>
      </c>
      <c r="F156" s="114">
        <f t="shared" si="23"/>
        <v>8.6423464152879312E-2</v>
      </c>
    </row>
    <row r="157" spans="1:6" x14ac:dyDescent="0.2">
      <c r="A157" s="115">
        <v>3</v>
      </c>
      <c r="B157" s="116" t="s">
        <v>115</v>
      </c>
      <c r="C157" s="113">
        <v>5959757</v>
      </c>
      <c r="D157" s="113">
        <v>6599233</v>
      </c>
      <c r="E157" s="113">
        <f t="shared" si="22"/>
        <v>639476</v>
      </c>
      <c r="F157" s="114">
        <f t="shared" si="23"/>
        <v>0.1072990056473779</v>
      </c>
    </row>
    <row r="158" spans="1:6" x14ac:dyDescent="0.2">
      <c r="A158" s="115">
        <v>4</v>
      </c>
      <c r="B158" s="116" t="s">
        <v>116</v>
      </c>
      <c r="C158" s="113">
        <v>979039</v>
      </c>
      <c r="D158" s="113">
        <v>0</v>
      </c>
      <c r="E158" s="113">
        <f t="shared" si="22"/>
        <v>-979039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2190052</v>
      </c>
      <c r="D159" s="113">
        <v>1822366</v>
      </c>
      <c r="E159" s="113">
        <f t="shared" si="22"/>
        <v>-367686</v>
      </c>
      <c r="F159" s="114">
        <f t="shared" si="23"/>
        <v>-0.16788916427555145</v>
      </c>
    </row>
    <row r="160" spans="1:6" x14ac:dyDescent="0.2">
      <c r="A160" s="115">
        <v>6</v>
      </c>
      <c r="B160" s="116" t="s">
        <v>118</v>
      </c>
      <c r="C160" s="113">
        <v>3173166</v>
      </c>
      <c r="D160" s="113">
        <v>3156707</v>
      </c>
      <c r="E160" s="113">
        <f t="shared" si="22"/>
        <v>-16459</v>
      </c>
      <c r="F160" s="114">
        <f t="shared" si="23"/>
        <v>-5.186933176518342E-3</v>
      </c>
    </row>
    <row r="161" spans="1:6" x14ac:dyDescent="0.2">
      <c r="A161" s="115">
        <v>7</v>
      </c>
      <c r="B161" s="116" t="s">
        <v>119</v>
      </c>
      <c r="C161" s="113">
        <v>13908639</v>
      </c>
      <c r="D161" s="113">
        <v>12549040</v>
      </c>
      <c r="E161" s="113">
        <f t="shared" si="22"/>
        <v>-1359599</v>
      </c>
      <c r="F161" s="114">
        <f t="shared" si="23"/>
        <v>-9.7752123698084337E-2</v>
      </c>
    </row>
    <row r="162" spans="1:6" x14ac:dyDescent="0.2">
      <c r="A162" s="115">
        <v>8</v>
      </c>
      <c r="B162" s="116" t="s">
        <v>120</v>
      </c>
      <c r="C162" s="113">
        <v>1033514</v>
      </c>
      <c r="D162" s="113">
        <v>1072091</v>
      </c>
      <c r="E162" s="113">
        <f t="shared" si="22"/>
        <v>38577</v>
      </c>
      <c r="F162" s="114">
        <f t="shared" si="23"/>
        <v>3.7326054605936639E-2</v>
      </c>
    </row>
    <row r="163" spans="1:6" x14ac:dyDescent="0.2">
      <c r="A163" s="115">
        <v>9</v>
      </c>
      <c r="B163" s="116" t="s">
        <v>121</v>
      </c>
      <c r="C163" s="113">
        <v>158407</v>
      </c>
      <c r="D163" s="113">
        <v>179418</v>
      </c>
      <c r="E163" s="113">
        <f t="shared" si="22"/>
        <v>21011</v>
      </c>
      <c r="F163" s="114">
        <f t="shared" si="23"/>
        <v>0.13263934043318792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100439</v>
      </c>
      <c r="D165" s="113">
        <v>169538</v>
      </c>
      <c r="E165" s="113">
        <f t="shared" si="22"/>
        <v>69099</v>
      </c>
      <c r="F165" s="114">
        <f t="shared" si="23"/>
        <v>0.68796981252302392</v>
      </c>
    </row>
    <row r="166" spans="1:6" ht="33.75" customHeight="1" x14ac:dyDescent="0.25">
      <c r="A166" s="117"/>
      <c r="B166" s="118" t="s">
        <v>148</v>
      </c>
      <c r="C166" s="119">
        <f>SUM(C155:C165)</f>
        <v>31437869</v>
      </c>
      <c r="D166" s="119">
        <f>SUM(D155:D165)</f>
        <v>29436553</v>
      </c>
      <c r="E166" s="119">
        <f t="shared" si="22"/>
        <v>-2001316</v>
      </c>
      <c r="F166" s="120">
        <f t="shared" si="23"/>
        <v>-6.3659403886440272E-2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11060</v>
      </c>
      <c r="D168" s="133">
        <v>11409</v>
      </c>
      <c r="E168" s="133">
        <f t="shared" ref="E168:E179" si="24">D168-C168</f>
        <v>349</v>
      </c>
      <c r="F168" s="114">
        <f t="shared" ref="F168:F179" si="25">IF(C168=0,0,E168/C168)</f>
        <v>3.155515370705244E-2</v>
      </c>
    </row>
    <row r="169" spans="1:6" x14ac:dyDescent="0.2">
      <c r="A169" s="115">
        <v>2</v>
      </c>
      <c r="B169" s="116" t="s">
        <v>114</v>
      </c>
      <c r="C169" s="133">
        <v>1331</v>
      </c>
      <c r="D169" s="133">
        <v>1628</v>
      </c>
      <c r="E169" s="133">
        <f t="shared" si="24"/>
        <v>297</v>
      </c>
      <c r="F169" s="114">
        <f t="shared" si="25"/>
        <v>0.2231404958677686</v>
      </c>
    </row>
    <row r="170" spans="1:6" x14ac:dyDescent="0.2">
      <c r="A170" s="115">
        <v>3</v>
      </c>
      <c r="B170" s="116" t="s">
        <v>115</v>
      </c>
      <c r="C170" s="133">
        <v>22829</v>
      </c>
      <c r="D170" s="133">
        <v>27281</v>
      </c>
      <c r="E170" s="133">
        <f t="shared" si="24"/>
        <v>4452</v>
      </c>
      <c r="F170" s="114">
        <f t="shared" si="25"/>
        <v>0.19501511235708965</v>
      </c>
    </row>
    <row r="171" spans="1:6" x14ac:dyDescent="0.2">
      <c r="A171" s="115">
        <v>4</v>
      </c>
      <c r="B171" s="116" t="s">
        <v>116</v>
      </c>
      <c r="C171" s="133">
        <v>3614</v>
      </c>
      <c r="D171" s="133">
        <v>0</v>
      </c>
      <c r="E171" s="133">
        <f t="shared" si="24"/>
        <v>-3614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6443</v>
      </c>
      <c r="D172" s="133">
        <v>6289</v>
      </c>
      <c r="E172" s="133">
        <f t="shared" si="24"/>
        <v>-154</v>
      </c>
      <c r="F172" s="114">
        <f t="shared" si="25"/>
        <v>-2.3901909048579854E-2</v>
      </c>
    </row>
    <row r="173" spans="1:6" x14ac:dyDescent="0.2">
      <c r="A173" s="115">
        <v>6</v>
      </c>
      <c r="B173" s="116" t="s">
        <v>118</v>
      </c>
      <c r="C173" s="133">
        <v>5013</v>
      </c>
      <c r="D173" s="133">
        <v>4856</v>
      </c>
      <c r="E173" s="133">
        <f t="shared" si="24"/>
        <v>-157</v>
      </c>
      <c r="F173" s="114">
        <f t="shared" si="25"/>
        <v>-3.1318571713544782E-2</v>
      </c>
    </row>
    <row r="174" spans="1:6" x14ac:dyDescent="0.2">
      <c r="A174" s="115">
        <v>7</v>
      </c>
      <c r="B174" s="116" t="s">
        <v>119</v>
      </c>
      <c r="C174" s="133">
        <v>19143</v>
      </c>
      <c r="D174" s="133">
        <v>19225</v>
      </c>
      <c r="E174" s="133">
        <f t="shared" si="24"/>
        <v>82</v>
      </c>
      <c r="F174" s="114">
        <f t="shared" si="25"/>
        <v>4.2835501227602782E-3</v>
      </c>
    </row>
    <row r="175" spans="1:6" x14ac:dyDescent="0.2">
      <c r="A175" s="115">
        <v>8</v>
      </c>
      <c r="B175" s="116" t="s">
        <v>120</v>
      </c>
      <c r="C175" s="133">
        <v>1557</v>
      </c>
      <c r="D175" s="133">
        <v>1486</v>
      </c>
      <c r="E175" s="133">
        <f t="shared" si="24"/>
        <v>-71</v>
      </c>
      <c r="F175" s="114">
        <f t="shared" si="25"/>
        <v>-4.5600513808606295E-2</v>
      </c>
    </row>
    <row r="176" spans="1:6" x14ac:dyDescent="0.2">
      <c r="A176" s="115">
        <v>9</v>
      </c>
      <c r="B176" s="116" t="s">
        <v>121</v>
      </c>
      <c r="C176" s="133">
        <v>4810</v>
      </c>
      <c r="D176" s="133">
        <v>4731</v>
      </c>
      <c r="E176" s="133">
        <f t="shared" si="24"/>
        <v>-79</v>
      </c>
      <c r="F176" s="114">
        <f t="shared" si="25"/>
        <v>-1.6424116424116425E-2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340</v>
      </c>
      <c r="D178" s="133">
        <v>651</v>
      </c>
      <c r="E178" s="133">
        <f t="shared" si="24"/>
        <v>311</v>
      </c>
      <c r="F178" s="114">
        <f t="shared" si="25"/>
        <v>0.91470588235294115</v>
      </c>
    </row>
    <row r="179" spans="1:6" ht="33.75" customHeight="1" x14ac:dyDescent="0.25">
      <c r="A179" s="117"/>
      <c r="B179" s="118" t="s">
        <v>150</v>
      </c>
      <c r="C179" s="134">
        <f>SUM(C168:C178)</f>
        <v>76140</v>
      </c>
      <c r="D179" s="134">
        <f>SUM(D168:D178)</f>
        <v>77556</v>
      </c>
      <c r="E179" s="134">
        <f t="shared" si="24"/>
        <v>1416</v>
      </c>
      <c r="F179" s="120">
        <f t="shared" si="25"/>
        <v>1.8597320724980299E-2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43204569</v>
      </c>
      <c r="D15" s="157">
        <v>43409289</v>
      </c>
      <c r="E15" s="157">
        <f>+D15-C15</f>
        <v>204720</v>
      </c>
      <c r="F15" s="161">
        <f>IF(C15=0,0,E15/C15)</f>
        <v>4.738387738574594E-3</v>
      </c>
    </row>
    <row r="16" spans="1:6" ht="15" customHeight="1" x14ac:dyDescent="0.2">
      <c r="A16" s="147">
        <v>2</v>
      </c>
      <c r="B16" s="160" t="s">
        <v>157</v>
      </c>
      <c r="C16" s="157">
        <v>799526</v>
      </c>
      <c r="D16" s="157">
        <v>376629</v>
      </c>
      <c r="E16" s="157">
        <f>+D16-C16</f>
        <v>-422897</v>
      </c>
      <c r="F16" s="161">
        <f>IF(C16=0,0,E16/C16)</f>
        <v>-0.52893464377643751</v>
      </c>
    </row>
    <row r="17" spans="1:6" ht="15" customHeight="1" x14ac:dyDescent="0.2">
      <c r="A17" s="147">
        <v>3</v>
      </c>
      <c r="B17" s="160" t="s">
        <v>158</v>
      </c>
      <c r="C17" s="157">
        <v>101709933</v>
      </c>
      <c r="D17" s="157">
        <v>100758446</v>
      </c>
      <c r="E17" s="157">
        <f>+D17-C17</f>
        <v>-951487</v>
      </c>
      <c r="F17" s="161">
        <f>IF(C17=0,0,E17/C17)</f>
        <v>-9.3549073520675704E-3</v>
      </c>
    </row>
    <row r="18" spans="1:6" ht="15.75" customHeight="1" x14ac:dyDescent="0.25">
      <c r="A18" s="147"/>
      <c r="B18" s="162" t="s">
        <v>159</v>
      </c>
      <c r="C18" s="158">
        <f>SUM(C15:C17)</f>
        <v>145714028</v>
      </c>
      <c r="D18" s="158">
        <f>SUM(D15:D17)</f>
        <v>144544364</v>
      </c>
      <c r="E18" s="158">
        <f>+D18-C18</f>
        <v>-1169664</v>
      </c>
      <c r="F18" s="159">
        <f>IF(C18=0,0,E18/C18)</f>
        <v>-8.0271200793378666E-3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12428142</v>
      </c>
      <c r="D21" s="157">
        <v>13009754</v>
      </c>
      <c r="E21" s="157">
        <f>+D21-C21</f>
        <v>581612</v>
      </c>
      <c r="F21" s="161">
        <f>IF(C21=0,0,E21/C21)</f>
        <v>4.6797984767151843E-2</v>
      </c>
    </row>
    <row r="22" spans="1:6" ht="15" customHeight="1" x14ac:dyDescent="0.2">
      <c r="A22" s="147">
        <v>2</v>
      </c>
      <c r="B22" s="160" t="s">
        <v>162</v>
      </c>
      <c r="C22" s="157">
        <v>229988</v>
      </c>
      <c r="D22" s="157">
        <v>112876</v>
      </c>
      <c r="E22" s="157">
        <f>+D22-C22</f>
        <v>-117112</v>
      </c>
      <c r="F22" s="161">
        <f>IF(C22=0,0,E22/C22)</f>
        <v>-0.50920917613092853</v>
      </c>
    </row>
    <row r="23" spans="1:6" ht="15" customHeight="1" x14ac:dyDescent="0.2">
      <c r="A23" s="147">
        <v>3</v>
      </c>
      <c r="B23" s="160" t="s">
        <v>163</v>
      </c>
      <c r="C23" s="157">
        <v>29257357</v>
      </c>
      <c r="D23" s="157">
        <v>30197282</v>
      </c>
      <c r="E23" s="157">
        <f>+D23-C23</f>
        <v>939925</v>
      </c>
      <c r="F23" s="161">
        <f>IF(C23=0,0,E23/C23)</f>
        <v>3.2126107631663382E-2</v>
      </c>
    </row>
    <row r="24" spans="1:6" ht="15.75" customHeight="1" x14ac:dyDescent="0.25">
      <c r="A24" s="147"/>
      <c r="B24" s="162" t="s">
        <v>164</v>
      </c>
      <c r="C24" s="158">
        <f>SUM(C21:C23)</f>
        <v>41915487</v>
      </c>
      <c r="D24" s="158">
        <f>SUM(D21:D23)</f>
        <v>43319912</v>
      </c>
      <c r="E24" s="158">
        <f>+D24-C24</f>
        <v>1404425</v>
      </c>
      <c r="F24" s="159">
        <f>IF(C24=0,0,E24/C24)</f>
        <v>3.3506111953321691E-2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387613</v>
      </c>
      <c r="D27" s="157">
        <v>122119</v>
      </c>
      <c r="E27" s="157">
        <f>+D27-C27</f>
        <v>-265494</v>
      </c>
      <c r="F27" s="161">
        <f>IF(C27=0,0,E27/C27)</f>
        <v>-0.68494606734036267</v>
      </c>
    </row>
    <row r="28" spans="1:6" ht="15" customHeight="1" x14ac:dyDescent="0.2">
      <c r="A28" s="147">
        <v>2</v>
      </c>
      <c r="B28" s="160" t="s">
        <v>167</v>
      </c>
      <c r="C28" s="157">
        <v>0</v>
      </c>
      <c r="D28" s="157">
        <v>0</v>
      </c>
      <c r="E28" s="157">
        <f>+D28-C28</f>
        <v>0</v>
      </c>
      <c r="F28" s="161">
        <f>IF(C28=0,0,E28/C28)</f>
        <v>0</v>
      </c>
    </row>
    <row r="29" spans="1:6" ht="15" customHeight="1" x14ac:dyDescent="0.2">
      <c r="A29" s="147">
        <v>3</v>
      </c>
      <c r="B29" s="160" t="s">
        <v>168</v>
      </c>
      <c r="C29" s="157">
        <v>1921890</v>
      </c>
      <c r="D29" s="157">
        <v>864227</v>
      </c>
      <c r="E29" s="157">
        <f>+D29-C29</f>
        <v>-1057663</v>
      </c>
      <c r="F29" s="161">
        <f>IF(C29=0,0,E29/C29)</f>
        <v>-0.55032442023216732</v>
      </c>
    </row>
    <row r="30" spans="1:6" ht="15.75" customHeight="1" x14ac:dyDescent="0.25">
      <c r="A30" s="147"/>
      <c r="B30" s="162" t="s">
        <v>169</v>
      </c>
      <c r="C30" s="158">
        <f>SUM(C27:C29)</f>
        <v>2309503</v>
      </c>
      <c r="D30" s="158">
        <f>SUM(D27:D29)</f>
        <v>986346</v>
      </c>
      <c r="E30" s="158">
        <f>+D30-C30</f>
        <v>-1323157</v>
      </c>
      <c r="F30" s="159">
        <f>IF(C30=0,0,E30/C30)</f>
        <v>-0.57291850237908326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26953135</v>
      </c>
      <c r="D33" s="157">
        <v>26352946</v>
      </c>
      <c r="E33" s="157">
        <f>+D33-C33</f>
        <v>-600189</v>
      </c>
      <c r="F33" s="161">
        <f>IF(C33=0,0,E33/C33)</f>
        <v>-2.2267873477426651E-2</v>
      </c>
    </row>
    <row r="34" spans="1:6" ht="15" customHeight="1" x14ac:dyDescent="0.2">
      <c r="A34" s="147">
        <v>2</v>
      </c>
      <c r="B34" s="160" t="s">
        <v>173</v>
      </c>
      <c r="C34" s="157">
        <v>11119332</v>
      </c>
      <c r="D34" s="157">
        <v>11539796</v>
      </c>
      <c r="E34" s="157">
        <f>+D34-C34</f>
        <v>420464</v>
      </c>
      <c r="F34" s="161">
        <f>IF(C34=0,0,E34/C34)</f>
        <v>3.7813782338723227E-2</v>
      </c>
    </row>
    <row r="35" spans="1:6" ht="15.75" customHeight="1" x14ac:dyDescent="0.25">
      <c r="A35" s="147"/>
      <c r="B35" s="162" t="s">
        <v>174</v>
      </c>
      <c r="C35" s="158">
        <f>SUM(C33:C34)</f>
        <v>38072467</v>
      </c>
      <c r="D35" s="158">
        <f>SUM(D33:D34)</f>
        <v>37892742</v>
      </c>
      <c r="E35" s="158">
        <f>+D35-C35</f>
        <v>-179725</v>
      </c>
      <c r="F35" s="159">
        <f>IF(C35=0,0,E35/C35)</f>
        <v>-4.7206029491075529E-3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3410863</v>
      </c>
      <c r="D38" s="157">
        <v>3556339</v>
      </c>
      <c r="E38" s="157">
        <f>+D38-C38</f>
        <v>145476</v>
      </c>
      <c r="F38" s="161">
        <f>IF(C38=0,0,E38/C38)</f>
        <v>4.2650789550914239E-2</v>
      </c>
    </row>
    <row r="39" spans="1:6" ht="15" customHeight="1" x14ac:dyDescent="0.2">
      <c r="A39" s="147">
        <v>2</v>
      </c>
      <c r="B39" s="160" t="s">
        <v>178</v>
      </c>
      <c r="C39" s="157">
        <v>14440402</v>
      </c>
      <c r="D39" s="157">
        <v>16002830</v>
      </c>
      <c r="E39" s="157">
        <f>+D39-C39</f>
        <v>1562428</v>
      </c>
      <c r="F39" s="161">
        <f>IF(C39=0,0,E39/C39)</f>
        <v>0.10819837287078296</v>
      </c>
    </row>
    <row r="40" spans="1:6" ht="15" customHeight="1" x14ac:dyDescent="0.2">
      <c r="A40" s="147">
        <v>3</v>
      </c>
      <c r="B40" s="160" t="s">
        <v>179</v>
      </c>
      <c r="C40" s="157">
        <v>974324</v>
      </c>
      <c r="D40" s="157">
        <v>1081990</v>
      </c>
      <c r="E40" s="157">
        <f>+D40-C40</f>
        <v>107666</v>
      </c>
      <c r="F40" s="161">
        <f>IF(C40=0,0,E40/C40)</f>
        <v>0.11050328227571116</v>
      </c>
    </row>
    <row r="41" spans="1:6" ht="15.75" customHeight="1" x14ac:dyDescent="0.25">
      <c r="A41" s="147"/>
      <c r="B41" s="162" t="s">
        <v>180</v>
      </c>
      <c r="C41" s="158">
        <f>SUM(C38:C40)</f>
        <v>18825589</v>
      </c>
      <c r="D41" s="158">
        <f>SUM(D38:D40)</f>
        <v>20641159</v>
      </c>
      <c r="E41" s="158">
        <f>+D41-C41</f>
        <v>1815570</v>
      </c>
      <c r="F41" s="159">
        <f>IF(C41=0,0,E41/C41)</f>
        <v>9.6441604031618874E-2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11930619</v>
      </c>
      <c r="D44" s="157">
        <v>0</v>
      </c>
      <c r="E44" s="157">
        <f>+D44-C44</f>
        <v>-11930619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2315992</v>
      </c>
      <c r="D47" s="157">
        <v>2705025</v>
      </c>
      <c r="E47" s="157">
        <f>+D47-C47</f>
        <v>389033</v>
      </c>
      <c r="F47" s="161">
        <f>IF(C47=0,0,E47/C47)</f>
        <v>0.1679768323897492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4267471</v>
      </c>
      <c r="D50" s="157">
        <v>4757599</v>
      </c>
      <c r="E50" s="157">
        <f>+D50-C50</f>
        <v>490128</v>
      </c>
      <c r="F50" s="161">
        <f>IF(C50=0,0,E50/C50)</f>
        <v>0.11485209858485272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126966</v>
      </c>
      <c r="D53" s="157">
        <v>170839</v>
      </c>
      <c r="E53" s="157">
        <f t="shared" ref="E53:E59" si="0">+D53-C53</f>
        <v>43873</v>
      </c>
      <c r="F53" s="161">
        <f t="shared" ref="F53:F59" si="1">IF(C53=0,0,E53/C53)</f>
        <v>0.34554920214860674</v>
      </c>
    </row>
    <row r="54" spans="1:6" ht="15" customHeight="1" x14ac:dyDescent="0.2">
      <c r="A54" s="147">
        <v>2</v>
      </c>
      <c r="B54" s="160" t="s">
        <v>189</v>
      </c>
      <c r="C54" s="157">
        <v>994253</v>
      </c>
      <c r="D54" s="157">
        <v>967744</v>
      </c>
      <c r="E54" s="157">
        <f t="shared" si="0"/>
        <v>-26509</v>
      </c>
      <c r="F54" s="161">
        <f t="shared" si="1"/>
        <v>-2.6662227823300508E-2</v>
      </c>
    </row>
    <row r="55" spans="1:6" ht="15" customHeight="1" x14ac:dyDescent="0.2">
      <c r="A55" s="147">
        <v>3</v>
      </c>
      <c r="B55" s="160" t="s">
        <v>190</v>
      </c>
      <c r="C55" s="157">
        <v>55323</v>
      </c>
      <c r="D55" s="157">
        <v>78383</v>
      </c>
      <c r="E55" s="157">
        <f t="shared" si="0"/>
        <v>23060</v>
      </c>
      <c r="F55" s="161">
        <f t="shared" si="1"/>
        <v>0.41682482873307664</v>
      </c>
    </row>
    <row r="56" spans="1:6" ht="15" customHeight="1" x14ac:dyDescent="0.2">
      <c r="A56" s="147">
        <v>4</v>
      </c>
      <c r="B56" s="160" t="s">
        <v>191</v>
      </c>
      <c r="C56" s="157">
        <v>2619267</v>
      </c>
      <c r="D56" s="157">
        <v>3508501</v>
      </c>
      <c r="E56" s="157">
        <f t="shared" si="0"/>
        <v>889234</v>
      </c>
      <c r="F56" s="161">
        <f t="shared" si="1"/>
        <v>0.33949727156490728</v>
      </c>
    </row>
    <row r="57" spans="1:6" ht="15" customHeight="1" x14ac:dyDescent="0.2">
      <c r="A57" s="147">
        <v>5</v>
      </c>
      <c r="B57" s="160" t="s">
        <v>192</v>
      </c>
      <c r="C57" s="157">
        <v>497039</v>
      </c>
      <c r="D57" s="157">
        <v>483193</v>
      </c>
      <c r="E57" s="157">
        <f t="shared" si="0"/>
        <v>-13846</v>
      </c>
      <c r="F57" s="161">
        <f t="shared" si="1"/>
        <v>-2.7856968970241772E-2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4292848</v>
      </c>
      <c r="D59" s="158">
        <f>SUM(D53:D58)</f>
        <v>5208660</v>
      </c>
      <c r="E59" s="158">
        <f t="shared" si="0"/>
        <v>915812</v>
      </c>
      <c r="F59" s="159">
        <f t="shared" si="1"/>
        <v>0.21333436450580129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601254</v>
      </c>
      <c r="D62" s="157">
        <v>513434</v>
      </c>
      <c r="E62" s="157">
        <f t="shared" ref="E62:E90" si="2">+D62-C62</f>
        <v>-87820</v>
      </c>
      <c r="F62" s="161">
        <f t="shared" ref="F62:F90" si="3">IF(C62=0,0,E62/C62)</f>
        <v>-0.14606139834412743</v>
      </c>
    </row>
    <row r="63" spans="1:6" ht="15" customHeight="1" x14ac:dyDescent="0.2">
      <c r="A63" s="147">
        <v>2</v>
      </c>
      <c r="B63" s="160" t="s">
        <v>198</v>
      </c>
      <c r="C63" s="157">
        <v>1226135</v>
      </c>
      <c r="D63" s="157">
        <v>1395694</v>
      </c>
      <c r="E63" s="157">
        <f t="shared" si="2"/>
        <v>169559</v>
      </c>
      <c r="F63" s="161">
        <f t="shared" si="3"/>
        <v>0.13828738271071292</v>
      </c>
    </row>
    <row r="64" spans="1:6" ht="15" customHeight="1" x14ac:dyDescent="0.2">
      <c r="A64" s="147">
        <v>3</v>
      </c>
      <c r="B64" s="160" t="s">
        <v>199</v>
      </c>
      <c r="C64" s="157">
        <v>1493299</v>
      </c>
      <c r="D64" s="157">
        <v>2095169</v>
      </c>
      <c r="E64" s="157">
        <f t="shared" si="2"/>
        <v>601870</v>
      </c>
      <c r="F64" s="161">
        <f t="shared" si="3"/>
        <v>0.40304721291583268</v>
      </c>
    </row>
    <row r="65" spans="1:6" ht="15" customHeight="1" x14ac:dyDescent="0.2">
      <c r="A65" s="147">
        <v>4</v>
      </c>
      <c r="B65" s="160" t="s">
        <v>200</v>
      </c>
      <c r="C65" s="157">
        <v>463665</v>
      </c>
      <c r="D65" s="157">
        <v>493020</v>
      </c>
      <c r="E65" s="157">
        <f t="shared" si="2"/>
        <v>29355</v>
      </c>
      <c r="F65" s="161">
        <f t="shared" si="3"/>
        <v>6.3310795509689113E-2</v>
      </c>
    </row>
    <row r="66" spans="1:6" ht="15" customHeight="1" x14ac:dyDescent="0.2">
      <c r="A66" s="147">
        <v>5</v>
      </c>
      <c r="B66" s="160" t="s">
        <v>201</v>
      </c>
      <c r="C66" s="157">
        <v>1342899</v>
      </c>
      <c r="D66" s="157">
        <v>1975134</v>
      </c>
      <c r="E66" s="157">
        <f t="shared" si="2"/>
        <v>632235</v>
      </c>
      <c r="F66" s="161">
        <f t="shared" si="3"/>
        <v>0.47079862297909225</v>
      </c>
    </row>
    <row r="67" spans="1:6" ht="15" customHeight="1" x14ac:dyDescent="0.2">
      <c r="A67" s="147">
        <v>6</v>
      </c>
      <c r="B67" s="160" t="s">
        <v>202</v>
      </c>
      <c r="C67" s="157">
        <v>2309643</v>
      </c>
      <c r="D67" s="157">
        <v>2433113</v>
      </c>
      <c r="E67" s="157">
        <f t="shared" si="2"/>
        <v>123470</v>
      </c>
      <c r="F67" s="161">
        <f t="shared" si="3"/>
        <v>5.3458478215031503E-2</v>
      </c>
    </row>
    <row r="68" spans="1:6" ht="15" customHeight="1" x14ac:dyDescent="0.2">
      <c r="A68" s="147">
        <v>7</v>
      </c>
      <c r="B68" s="160" t="s">
        <v>203</v>
      </c>
      <c r="C68" s="157">
        <v>8574599</v>
      </c>
      <c r="D68" s="157">
        <v>9551351</v>
      </c>
      <c r="E68" s="157">
        <f t="shared" si="2"/>
        <v>976752</v>
      </c>
      <c r="F68" s="161">
        <f t="shared" si="3"/>
        <v>0.1139122657514363</v>
      </c>
    </row>
    <row r="69" spans="1:6" ht="15" customHeight="1" x14ac:dyDescent="0.2">
      <c r="A69" s="147">
        <v>8</v>
      </c>
      <c r="B69" s="160" t="s">
        <v>204</v>
      </c>
      <c r="C69" s="157">
        <v>735338</v>
      </c>
      <c r="D69" s="157">
        <v>1025151</v>
      </c>
      <c r="E69" s="157">
        <f t="shared" si="2"/>
        <v>289813</v>
      </c>
      <c r="F69" s="161">
        <f t="shared" si="3"/>
        <v>0.39412215878956341</v>
      </c>
    </row>
    <row r="70" spans="1:6" ht="15" customHeight="1" x14ac:dyDescent="0.2">
      <c r="A70" s="147">
        <v>9</v>
      </c>
      <c r="B70" s="160" t="s">
        <v>205</v>
      </c>
      <c r="C70" s="157">
        <v>386240</v>
      </c>
      <c r="D70" s="157">
        <v>332826</v>
      </c>
      <c r="E70" s="157">
        <f t="shared" si="2"/>
        <v>-53414</v>
      </c>
      <c r="F70" s="161">
        <f t="shared" si="3"/>
        <v>-0.13829225352112676</v>
      </c>
    </row>
    <row r="71" spans="1:6" ht="15" customHeight="1" x14ac:dyDescent="0.2">
      <c r="A71" s="147">
        <v>10</v>
      </c>
      <c r="B71" s="160" t="s">
        <v>206</v>
      </c>
      <c r="C71" s="157">
        <v>258875</v>
      </c>
      <c r="D71" s="157">
        <v>100748</v>
      </c>
      <c r="E71" s="157">
        <f t="shared" si="2"/>
        <v>-158127</v>
      </c>
      <c r="F71" s="161">
        <f t="shared" si="3"/>
        <v>-0.61082375663930466</v>
      </c>
    </row>
    <row r="72" spans="1:6" ht="15" customHeight="1" x14ac:dyDescent="0.2">
      <c r="A72" s="147">
        <v>11</v>
      </c>
      <c r="B72" s="160" t="s">
        <v>207</v>
      </c>
      <c r="C72" s="157">
        <v>220736</v>
      </c>
      <c r="D72" s="157">
        <v>141228</v>
      </c>
      <c r="E72" s="157">
        <f t="shared" si="2"/>
        <v>-79508</v>
      </c>
      <c r="F72" s="161">
        <f t="shared" si="3"/>
        <v>-0.36019498405334882</v>
      </c>
    </row>
    <row r="73" spans="1:6" ht="15" customHeight="1" x14ac:dyDescent="0.2">
      <c r="A73" s="147">
        <v>12</v>
      </c>
      <c r="B73" s="160" t="s">
        <v>208</v>
      </c>
      <c r="C73" s="157">
        <v>2200797</v>
      </c>
      <c r="D73" s="157">
        <v>2026505</v>
      </c>
      <c r="E73" s="157">
        <f t="shared" si="2"/>
        <v>-174292</v>
      </c>
      <c r="F73" s="161">
        <f t="shared" si="3"/>
        <v>-7.9194946194492272E-2</v>
      </c>
    </row>
    <row r="74" spans="1:6" ht="15" customHeight="1" x14ac:dyDescent="0.2">
      <c r="A74" s="147">
        <v>13</v>
      </c>
      <c r="B74" s="160" t="s">
        <v>209</v>
      </c>
      <c r="C74" s="157">
        <v>434799</v>
      </c>
      <c r="D74" s="157">
        <v>497884</v>
      </c>
      <c r="E74" s="157">
        <f t="shared" si="2"/>
        <v>63085</v>
      </c>
      <c r="F74" s="161">
        <f t="shared" si="3"/>
        <v>0.14509003010586502</v>
      </c>
    </row>
    <row r="75" spans="1:6" ht="15" customHeight="1" x14ac:dyDescent="0.2">
      <c r="A75" s="147">
        <v>14</v>
      </c>
      <c r="B75" s="160" t="s">
        <v>210</v>
      </c>
      <c r="C75" s="157">
        <v>293856</v>
      </c>
      <c r="D75" s="157">
        <v>208429</v>
      </c>
      <c r="E75" s="157">
        <f t="shared" si="2"/>
        <v>-85427</v>
      </c>
      <c r="F75" s="161">
        <f t="shared" si="3"/>
        <v>-0.29071041598606118</v>
      </c>
    </row>
    <row r="76" spans="1:6" ht="15" customHeight="1" x14ac:dyDescent="0.2">
      <c r="A76" s="147">
        <v>15</v>
      </c>
      <c r="B76" s="160" t="s">
        <v>211</v>
      </c>
      <c r="C76" s="157">
        <v>1535857</v>
      </c>
      <c r="D76" s="157">
        <v>1261127</v>
      </c>
      <c r="E76" s="157">
        <f t="shared" si="2"/>
        <v>-274730</v>
      </c>
      <c r="F76" s="161">
        <f t="shared" si="3"/>
        <v>-0.17887733037646084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370281</v>
      </c>
      <c r="D78" s="157">
        <v>403431</v>
      </c>
      <c r="E78" s="157">
        <f t="shared" si="2"/>
        <v>33150</v>
      </c>
      <c r="F78" s="161">
        <f t="shared" si="3"/>
        <v>8.9526602769248217E-2</v>
      </c>
    </row>
    <row r="79" spans="1:6" ht="15" customHeight="1" x14ac:dyDescent="0.2">
      <c r="A79" s="147">
        <v>18</v>
      </c>
      <c r="B79" s="160" t="s">
        <v>214</v>
      </c>
      <c r="C79" s="157">
        <v>97624</v>
      </c>
      <c r="D79" s="157">
        <v>139528</v>
      </c>
      <c r="E79" s="157">
        <f t="shared" si="2"/>
        <v>41904</v>
      </c>
      <c r="F79" s="161">
        <f t="shared" si="3"/>
        <v>0.42923871179218226</v>
      </c>
    </row>
    <row r="80" spans="1:6" ht="15" customHeight="1" x14ac:dyDescent="0.2">
      <c r="A80" s="147">
        <v>19</v>
      </c>
      <c r="B80" s="160" t="s">
        <v>215</v>
      </c>
      <c r="C80" s="157">
        <v>2563704</v>
      </c>
      <c r="D80" s="157">
        <v>2194913</v>
      </c>
      <c r="E80" s="157">
        <f t="shared" si="2"/>
        <v>-368791</v>
      </c>
      <c r="F80" s="161">
        <f t="shared" si="3"/>
        <v>-0.14385085017615137</v>
      </c>
    </row>
    <row r="81" spans="1:6" ht="15" customHeight="1" x14ac:dyDescent="0.2">
      <c r="A81" s="147">
        <v>20</v>
      </c>
      <c r="B81" s="160" t="s">
        <v>216</v>
      </c>
      <c r="C81" s="157">
        <v>1486988</v>
      </c>
      <c r="D81" s="157">
        <v>1205185</v>
      </c>
      <c r="E81" s="157">
        <f t="shared" si="2"/>
        <v>-281803</v>
      </c>
      <c r="F81" s="161">
        <f t="shared" si="3"/>
        <v>-0.18951262552219655</v>
      </c>
    </row>
    <row r="82" spans="1:6" ht="15" customHeight="1" x14ac:dyDescent="0.2">
      <c r="A82" s="147">
        <v>21</v>
      </c>
      <c r="B82" s="160" t="s">
        <v>217</v>
      </c>
      <c r="C82" s="157">
        <v>348958</v>
      </c>
      <c r="D82" s="157">
        <v>374348</v>
      </c>
      <c r="E82" s="157">
        <f t="shared" si="2"/>
        <v>25390</v>
      </c>
      <c r="F82" s="161">
        <f t="shared" si="3"/>
        <v>7.2759472486660287E-2</v>
      </c>
    </row>
    <row r="83" spans="1:6" ht="15" customHeight="1" x14ac:dyDescent="0.2">
      <c r="A83" s="147">
        <v>22</v>
      </c>
      <c r="B83" s="160" t="s">
        <v>218</v>
      </c>
      <c r="C83" s="157">
        <v>1111329</v>
      </c>
      <c r="D83" s="157">
        <v>837033</v>
      </c>
      <c r="E83" s="157">
        <f t="shared" si="2"/>
        <v>-274296</v>
      </c>
      <c r="F83" s="161">
        <f t="shared" si="3"/>
        <v>-0.246817998990398</v>
      </c>
    </row>
    <row r="84" spans="1:6" ht="15" customHeight="1" x14ac:dyDescent="0.2">
      <c r="A84" s="147">
        <v>23</v>
      </c>
      <c r="B84" s="160" t="s">
        <v>219</v>
      </c>
      <c r="C84" s="157">
        <v>24131</v>
      </c>
      <c r="D84" s="157">
        <v>24729</v>
      </c>
      <c r="E84" s="157">
        <f t="shared" si="2"/>
        <v>598</v>
      </c>
      <c r="F84" s="161">
        <f t="shared" si="3"/>
        <v>2.478140151672123E-2</v>
      </c>
    </row>
    <row r="85" spans="1:6" ht="15" customHeight="1" x14ac:dyDescent="0.2">
      <c r="A85" s="147">
        <v>24</v>
      </c>
      <c r="B85" s="160" t="s">
        <v>220</v>
      </c>
      <c r="C85" s="157">
        <v>4625581</v>
      </c>
      <c r="D85" s="157">
        <v>7207364</v>
      </c>
      <c r="E85" s="157">
        <f t="shared" si="2"/>
        <v>2581783</v>
      </c>
      <c r="F85" s="161">
        <f t="shared" si="3"/>
        <v>0.55815323523682758</v>
      </c>
    </row>
    <row r="86" spans="1:6" ht="15" customHeight="1" x14ac:dyDescent="0.2">
      <c r="A86" s="147">
        <v>25</v>
      </c>
      <c r="B86" s="160" t="s">
        <v>221</v>
      </c>
      <c r="C86" s="157">
        <v>0</v>
      </c>
      <c r="D86" s="157">
        <v>0</v>
      </c>
      <c r="E86" s="157">
        <f t="shared" si="2"/>
        <v>0</v>
      </c>
      <c r="F86" s="161">
        <f t="shared" si="3"/>
        <v>0</v>
      </c>
    </row>
    <row r="87" spans="1:6" ht="15" customHeight="1" x14ac:dyDescent="0.2">
      <c r="A87" s="147">
        <v>26</v>
      </c>
      <c r="B87" s="160" t="s">
        <v>222</v>
      </c>
      <c r="C87" s="157">
        <v>7040159</v>
      </c>
      <c r="D87" s="157">
        <v>6196040</v>
      </c>
      <c r="E87" s="157">
        <f t="shared" si="2"/>
        <v>-844119</v>
      </c>
      <c r="F87" s="161">
        <f t="shared" si="3"/>
        <v>-0.11990055906407796</v>
      </c>
    </row>
    <row r="88" spans="1:6" ht="15" customHeight="1" x14ac:dyDescent="0.2">
      <c r="A88" s="147">
        <v>27</v>
      </c>
      <c r="B88" s="160" t="s">
        <v>223</v>
      </c>
      <c r="C88" s="157">
        <v>7603985</v>
      </c>
      <c r="D88" s="157">
        <v>8181828</v>
      </c>
      <c r="E88" s="157">
        <f t="shared" si="2"/>
        <v>577843</v>
      </c>
      <c r="F88" s="161">
        <f t="shared" si="3"/>
        <v>7.5992127811930196E-2</v>
      </c>
    </row>
    <row r="89" spans="1:6" ht="15" customHeight="1" x14ac:dyDescent="0.2">
      <c r="A89" s="147">
        <v>28</v>
      </c>
      <c r="B89" s="160" t="s">
        <v>224</v>
      </c>
      <c r="C89" s="157">
        <v>729907</v>
      </c>
      <c r="D89" s="157">
        <v>618749</v>
      </c>
      <c r="E89" s="157">
        <f t="shared" si="2"/>
        <v>-111158</v>
      </c>
      <c r="F89" s="161">
        <f t="shared" si="3"/>
        <v>-0.15229063428628578</v>
      </c>
    </row>
    <row r="90" spans="1:6" ht="15.75" customHeight="1" x14ac:dyDescent="0.25">
      <c r="A90" s="147"/>
      <c r="B90" s="162" t="s">
        <v>225</v>
      </c>
      <c r="C90" s="158">
        <f>SUM(C62:C89)</f>
        <v>48080639</v>
      </c>
      <c r="D90" s="158">
        <f>SUM(D62:D89)</f>
        <v>51433961</v>
      </c>
      <c r="E90" s="158">
        <f t="shared" si="2"/>
        <v>3353322</v>
      </c>
      <c r="F90" s="159">
        <f t="shared" si="3"/>
        <v>6.9743707025191573E-2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470073</v>
      </c>
      <c r="D93" s="157">
        <v>529467</v>
      </c>
      <c r="E93" s="157">
        <f>+D93-C93</f>
        <v>59394</v>
      </c>
      <c r="F93" s="161">
        <f>IF(C93=0,0,E93/C93)</f>
        <v>0.12635058810014616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318194716</v>
      </c>
      <c r="D95" s="158">
        <f>+D93+D90+D59+D50+D47+D44+D41+D35+D30+D24+D18</f>
        <v>312019235</v>
      </c>
      <c r="E95" s="158">
        <f>+D95-C95</f>
        <v>-6175481</v>
      </c>
      <c r="F95" s="159">
        <f>IF(C95=0,0,E95/C95)</f>
        <v>-1.9407867854097236E-2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16883918</v>
      </c>
      <c r="D103" s="157">
        <v>18821949</v>
      </c>
      <c r="E103" s="157">
        <f t="shared" ref="E103:E121" si="4">D103-C103</f>
        <v>1938031</v>
      </c>
      <c r="F103" s="161">
        <f t="shared" ref="F103:F121" si="5">IF(C103=0,0,E103/C103)</f>
        <v>0.1147856202570991</v>
      </c>
    </row>
    <row r="104" spans="1:6" ht="15" customHeight="1" x14ac:dyDescent="0.2">
      <c r="A104" s="147">
        <v>2</v>
      </c>
      <c r="B104" s="169" t="s">
        <v>234</v>
      </c>
      <c r="C104" s="157">
        <v>1518144</v>
      </c>
      <c r="D104" s="157">
        <v>1759385</v>
      </c>
      <c r="E104" s="157">
        <f t="shared" si="4"/>
        <v>241241</v>
      </c>
      <c r="F104" s="161">
        <f t="shared" si="5"/>
        <v>0.15890521584250242</v>
      </c>
    </row>
    <row r="105" spans="1:6" ht="15" customHeight="1" x14ac:dyDescent="0.2">
      <c r="A105" s="147">
        <v>3</v>
      </c>
      <c r="B105" s="169" t="s">
        <v>235</v>
      </c>
      <c r="C105" s="157">
        <v>3521390</v>
      </c>
      <c r="D105" s="157">
        <v>4338367</v>
      </c>
      <c r="E105" s="157">
        <f t="shared" si="4"/>
        <v>816977</v>
      </c>
      <c r="F105" s="161">
        <f t="shared" si="5"/>
        <v>0.23200412337173673</v>
      </c>
    </row>
    <row r="106" spans="1:6" ht="15" customHeight="1" x14ac:dyDescent="0.2">
      <c r="A106" s="147">
        <v>4</v>
      </c>
      <c r="B106" s="169" t="s">
        <v>236</v>
      </c>
      <c r="C106" s="157">
        <v>5291735</v>
      </c>
      <c r="D106" s="157">
        <v>5482095</v>
      </c>
      <c r="E106" s="157">
        <f t="shared" si="4"/>
        <v>190360</v>
      </c>
      <c r="F106" s="161">
        <f t="shared" si="5"/>
        <v>3.5973078772841047E-2</v>
      </c>
    </row>
    <row r="107" spans="1:6" ht="15" customHeight="1" x14ac:dyDescent="0.2">
      <c r="A107" s="147">
        <v>5</v>
      </c>
      <c r="B107" s="169" t="s">
        <v>237</v>
      </c>
      <c r="C107" s="157">
        <v>11645542</v>
      </c>
      <c r="D107" s="157">
        <v>11611264</v>
      </c>
      <c r="E107" s="157">
        <f t="shared" si="4"/>
        <v>-34278</v>
      </c>
      <c r="F107" s="161">
        <f t="shared" si="5"/>
        <v>-2.9434439376029042E-3</v>
      </c>
    </row>
    <row r="108" spans="1:6" ht="15" customHeight="1" x14ac:dyDescent="0.2">
      <c r="A108" s="147">
        <v>6</v>
      </c>
      <c r="B108" s="169" t="s">
        <v>238</v>
      </c>
      <c r="C108" s="157">
        <v>356782</v>
      </c>
      <c r="D108" s="157">
        <v>351552</v>
      </c>
      <c r="E108" s="157">
        <f t="shared" si="4"/>
        <v>-5230</v>
      </c>
      <c r="F108" s="161">
        <f t="shared" si="5"/>
        <v>-1.4658811262900034E-2</v>
      </c>
    </row>
    <row r="109" spans="1:6" ht="15" customHeight="1" x14ac:dyDescent="0.2">
      <c r="A109" s="147">
        <v>7</v>
      </c>
      <c r="B109" s="169" t="s">
        <v>239</v>
      </c>
      <c r="C109" s="157">
        <v>44097754</v>
      </c>
      <c r="D109" s="157">
        <v>45663446</v>
      </c>
      <c r="E109" s="157">
        <f t="shared" si="4"/>
        <v>1565692</v>
      </c>
      <c r="F109" s="161">
        <f t="shared" si="5"/>
        <v>3.5505028215269192E-2</v>
      </c>
    </row>
    <row r="110" spans="1:6" ht="15" customHeight="1" x14ac:dyDescent="0.2">
      <c r="A110" s="147">
        <v>8</v>
      </c>
      <c r="B110" s="169" t="s">
        <v>240</v>
      </c>
      <c r="C110" s="157">
        <v>800579</v>
      </c>
      <c r="D110" s="157">
        <v>672571</v>
      </c>
      <c r="E110" s="157">
        <f t="shared" si="4"/>
        <v>-128008</v>
      </c>
      <c r="F110" s="161">
        <f t="shared" si="5"/>
        <v>-0.15989427651737056</v>
      </c>
    </row>
    <row r="111" spans="1:6" ht="15" customHeight="1" x14ac:dyDescent="0.2">
      <c r="A111" s="147">
        <v>9</v>
      </c>
      <c r="B111" s="169" t="s">
        <v>241</v>
      </c>
      <c r="C111" s="157">
        <v>1696319</v>
      </c>
      <c r="D111" s="157">
        <v>1890929</v>
      </c>
      <c r="E111" s="157">
        <f t="shared" si="4"/>
        <v>194610</v>
      </c>
      <c r="F111" s="161">
        <f t="shared" si="5"/>
        <v>0.11472488370406746</v>
      </c>
    </row>
    <row r="112" spans="1:6" ht="15" customHeight="1" x14ac:dyDescent="0.2">
      <c r="A112" s="147">
        <v>10</v>
      </c>
      <c r="B112" s="169" t="s">
        <v>242</v>
      </c>
      <c r="C112" s="157">
        <v>5576153</v>
      </c>
      <c r="D112" s="157">
        <v>5106816</v>
      </c>
      <c r="E112" s="157">
        <f t="shared" si="4"/>
        <v>-469337</v>
      </c>
      <c r="F112" s="161">
        <f t="shared" si="5"/>
        <v>-8.416860154303514E-2</v>
      </c>
    </row>
    <row r="113" spans="1:6" ht="15" customHeight="1" x14ac:dyDescent="0.2">
      <c r="A113" s="147">
        <v>11</v>
      </c>
      <c r="B113" s="169" t="s">
        <v>243</v>
      </c>
      <c r="C113" s="157">
        <v>4195914</v>
      </c>
      <c r="D113" s="157">
        <v>4084170</v>
      </c>
      <c r="E113" s="157">
        <f t="shared" si="4"/>
        <v>-111744</v>
      </c>
      <c r="F113" s="161">
        <f t="shared" si="5"/>
        <v>-2.6631623050424772E-2</v>
      </c>
    </row>
    <row r="114" spans="1:6" ht="15" customHeight="1" x14ac:dyDescent="0.2">
      <c r="A114" s="147">
        <v>12</v>
      </c>
      <c r="B114" s="169" t="s">
        <v>244</v>
      </c>
      <c r="C114" s="157">
        <v>0</v>
      </c>
      <c r="D114" s="157">
        <v>0</v>
      </c>
      <c r="E114" s="157">
        <f t="shared" si="4"/>
        <v>0</v>
      </c>
      <c r="F114" s="161">
        <f t="shared" si="5"/>
        <v>0</v>
      </c>
    </row>
    <row r="115" spans="1:6" ht="15" customHeight="1" x14ac:dyDescent="0.2">
      <c r="A115" s="147">
        <v>13</v>
      </c>
      <c r="B115" s="169" t="s">
        <v>245</v>
      </c>
      <c r="C115" s="157">
        <v>3853305</v>
      </c>
      <c r="D115" s="157">
        <v>4347617</v>
      </c>
      <c r="E115" s="157">
        <f t="shared" si="4"/>
        <v>494312</v>
      </c>
      <c r="F115" s="161">
        <f t="shared" si="5"/>
        <v>0.12828260415409629</v>
      </c>
    </row>
    <row r="116" spans="1:6" ht="15" customHeight="1" x14ac:dyDescent="0.2">
      <c r="A116" s="147">
        <v>14</v>
      </c>
      <c r="B116" s="169" t="s">
        <v>246</v>
      </c>
      <c r="C116" s="157">
        <v>1682672</v>
      </c>
      <c r="D116" s="157">
        <v>1764677</v>
      </c>
      <c r="E116" s="157">
        <f t="shared" si="4"/>
        <v>82005</v>
      </c>
      <c r="F116" s="161">
        <f t="shared" si="5"/>
        <v>4.8734988161685699E-2</v>
      </c>
    </row>
    <row r="117" spans="1:6" ht="15" customHeight="1" x14ac:dyDescent="0.2">
      <c r="A117" s="147">
        <v>15</v>
      </c>
      <c r="B117" s="169" t="s">
        <v>203</v>
      </c>
      <c r="C117" s="157">
        <v>4341926</v>
      </c>
      <c r="D117" s="157">
        <v>4575080</v>
      </c>
      <c r="E117" s="157">
        <f t="shared" si="4"/>
        <v>233154</v>
      </c>
      <c r="F117" s="161">
        <f t="shared" si="5"/>
        <v>5.369828965302495E-2</v>
      </c>
    </row>
    <row r="118" spans="1:6" ht="15" customHeight="1" x14ac:dyDescent="0.2">
      <c r="A118" s="147">
        <v>16</v>
      </c>
      <c r="B118" s="169" t="s">
        <v>247</v>
      </c>
      <c r="C118" s="157">
        <v>2216152</v>
      </c>
      <c r="D118" s="157">
        <v>1883217</v>
      </c>
      <c r="E118" s="157">
        <f t="shared" si="4"/>
        <v>-332935</v>
      </c>
      <c r="F118" s="161">
        <f t="shared" si="5"/>
        <v>-0.15023112133102784</v>
      </c>
    </row>
    <row r="119" spans="1:6" ht="15" customHeight="1" x14ac:dyDescent="0.2">
      <c r="A119" s="147">
        <v>17</v>
      </c>
      <c r="B119" s="169" t="s">
        <v>248</v>
      </c>
      <c r="C119" s="157">
        <v>14382877</v>
      </c>
      <c r="D119" s="157">
        <v>15030587</v>
      </c>
      <c r="E119" s="157">
        <f t="shared" si="4"/>
        <v>647710</v>
      </c>
      <c r="F119" s="161">
        <f t="shared" si="5"/>
        <v>4.5033410214103897E-2</v>
      </c>
    </row>
    <row r="120" spans="1:6" ht="15" customHeight="1" x14ac:dyDescent="0.2">
      <c r="A120" s="147">
        <v>18</v>
      </c>
      <c r="B120" s="169" t="s">
        <v>249</v>
      </c>
      <c r="C120" s="157">
        <v>4949209</v>
      </c>
      <c r="D120" s="157">
        <v>5462137</v>
      </c>
      <c r="E120" s="157">
        <f t="shared" si="4"/>
        <v>512928</v>
      </c>
      <c r="F120" s="161">
        <f t="shared" si="5"/>
        <v>0.10363837938547352</v>
      </c>
    </row>
    <row r="121" spans="1:6" ht="15.75" customHeight="1" x14ac:dyDescent="0.25">
      <c r="A121" s="147"/>
      <c r="B121" s="165" t="s">
        <v>250</v>
      </c>
      <c r="C121" s="158">
        <f>SUM(C103:C120)</f>
        <v>127010371</v>
      </c>
      <c r="D121" s="158">
        <f>SUM(D103:D120)</f>
        <v>132845859</v>
      </c>
      <c r="E121" s="158">
        <f t="shared" si="4"/>
        <v>5835488</v>
      </c>
      <c r="F121" s="159">
        <f t="shared" si="5"/>
        <v>4.5944972477877419E-2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668247</v>
      </c>
      <c r="D124" s="157">
        <v>569776</v>
      </c>
      <c r="E124" s="157">
        <f t="shared" ref="E124:E130" si="6">D124-C124</f>
        <v>-98471</v>
      </c>
      <c r="F124" s="161">
        <f t="shared" ref="F124:F130" si="7">IF(C124=0,0,E124/C124)</f>
        <v>-0.14735718978162266</v>
      </c>
    </row>
    <row r="125" spans="1:6" ht="15" customHeight="1" x14ac:dyDescent="0.2">
      <c r="A125" s="147">
        <v>2</v>
      </c>
      <c r="B125" s="169" t="s">
        <v>253</v>
      </c>
      <c r="C125" s="157">
        <v>113076</v>
      </c>
      <c r="D125" s="157">
        <v>116472</v>
      </c>
      <c r="E125" s="157">
        <f t="shared" si="6"/>
        <v>3396</v>
      </c>
      <c r="F125" s="161">
        <f t="shared" si="7"/>
        <v>3.0032898227740634E-2</v>
      </c>
    </row>
    <row r="126" spans="1:6" ht="15" customHeight="1" x14ac:dyDescent="0.2">
      <c r="A126" s="147">
        <v>3</v>
      </c>
      <c r="B126" s="169" t="s">
        <v>254</v>
      </c>
      <c r="C126" s="157">
        <v>2427534</v>
      </c>
      <c r="D126" s="157">
        <v>2394989</v>
      </c>
      <c r="E126" s="157">
        <f t="shared" si="6"/>
        <v>-32545</v>
      </c>
      <c r="F126" s="161">
        <f t="shared" si="7"/>
        <v>-1.3406609341002022E-2</v>
      </c>
    </row>
    <row r="127" spans="1:6" ht="15" customHeight="1" x14ac:dyDescent="0.2">
      <c r="A127" s="147">
        <v>4</v>
      </c>
      <c r="B127" s="169" t="s">
        <v>255</v>
      </c>
      <c r="C127" s="157">
        <v>4858092</v>
      </c>
      <c r="D127" s="157">
        <v>4402413</v>
      </c>
      <c r="E127" s="157">
        <f t="shared" si="6"/>
        <v>-455679</v>
      </c>
      <c r="F127" s="161">
        <f t="shared" si="7"/>
        <v>-9.3797935485783301E-2</v>
      </c>
    </row>
    <row r="128" spans="1:6" ht="15" customHeight="1" x14ac:dyDescent="0.2">
      <c r="A128" s="147">
        <v>5</v>
      </c>
      <c r="B128" s="169" t="s">
        <v>256</v>
      </c>
      <c r="C128" s="157">
        <v>2789276</v>
      </c>
      <c r="D128" s="157">
        <v>3014048</v>
      </c>
      <c r="E128" s="157">
        <f t="shared" si="6"/>
        <v>224772</v>
      </c>
      <c r="F128" s="161">
        <f t="shared" si="7"/>
        <v>8.058435235523484E-2</v>
      </c>
    </row>
    <row r="129" spans="1:6" ht="15" customHeight="1" x14ac:dyDescent="0.2">
      <c r="A129" s="147">
        <v>6</v>
      </c>
      <c r="B129" s="169" t="s">
        <v>257</v>
      </c>
      <c r="C129" s="157">
        <v>3728016</v>
      </c>
      <c r="D129" s="157">
        <v>4821601</v>
      </c>
      <c r="E129" s="157">
        <f t="shared" si="6"/>
        <v>1093585</v>
      </c>
      <c r="F129" s="161">
        <f t="shared" si="7"/>
        <v>0.2933423568997558</v>
      </c>
    </row>
    <row r="130" spans="1:6" ht="15.75" customHeight="1" x14ac:dyDescent="0.25">
      <c r="A130" s="147"/>
      <c r="B130" s="165" t="s">
        <v>258</v>
      </c>
      <c r="C130" s="158">
        <f>SUM(C124:C129)</f>
        <v>14584241</v>
      </c>
      <c r="D130" s="158">
        <f>SUM(D124:D129)</f>
        <v>15319299</v>
      </c>
      <c r="E130" s="158">
        <f t="shared" si="6"/>
        <v>735058</v>
      </c>
      <c r="F130" s="159">
        <f t="shared" si="7"/>
        <v>5.040084019456343E-2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20165327</v>
      </c>
      <c r="D133" s="157">
        <v>19679748</v>
      </c>
      <c r="E133" s="157">
        <f t="shared" ref="E133:E167" si="8">D133-C133</f>
        <v>-485579</v>
      </c>
      <c r="F133" s="161">
        <f t="shared" ref="F133:F167" si="9">IF(C133=0,0,E133/C133)</f>
        <v>-2.4079897142258094E-2</v>
      </c>
    </row>
    <row r="134" spans="1:6" ht="15" customHeight="1" x14ac:dyDescent="0.2">
      <c r="A134" s="147">
        <v>2</v>
      </c>
      <c r="B134" s="169" t="s">
        <v>261</v>
      </c>
      <c r="C134" s="157">
        <v>1083349</v>
      </c>
      <c r="D134" s="157">
        <v>1076475</v>
      </c>
      <c r="E134" s="157">
        <f t="shared" si="8"/>
        <v>-6874</v>
      </c>
      <c r="F134" s="161">
        <f t="shared" si="9"/>
        <v>-6.3451390087589507E-3</v>
      </c>
    </row>
    <row r="135" spans="1:6" ht="15" customHeight="1" x14ac:dyDescent="0.2">
      <c r="A135" s="147">
        <v>3</v>
      </c>
      <c r="B135" s="169" t="s">
        <v>262</v>
      </c>
      <c r="C135" s="157">
        <v>476718</v>
      </c>
      <c r="D135" s="157">
        <v>573154</v>
      </c>
      <c r="E135" s="157">
        <f t="shared" si="8"/>
        <v>96436</v>
      </c>
      <c r="F135" s="161">
        <f t="shared" si="9"/>
        <v>0.20229150147466637</v>
      </c>
    </row>
    <row r="136" spans="1:6" ht="15" customHeight="1" x14ac:dyDescent="0.2">
      <c r="A136" s="147">
        <v>4</v>
      </c>
      <c r="B136" s="169" t="s">
        <v>263</v>
      </c>
      <c r="C136" s="157">
        <v>126867</v>
      </c>
      <c r="D136" s="157">
        <v>123781</v>
      </c>
      <c r="E136" s="157">
        <f t="shared" si="8"/>
        <v>-3086</v>
      </c>
      <c r="F136" s="161">
        <f t="shared" si="9"/>
        <v>-2.4324686482694476E-2</v>
      </c>
    </row>
    <row r="137" spans="1:6" ht="15" customHeight="1" x14ac:dyDescent="0.2">
      <c r="A137" s="147">
        <v>5</v>
      </c>
      <c r="B137" s="169" t="s">
        <v>264</v>
      </c>
      <c r="C137" s="157">
        <v>4470226</v>
      </c>
      <c r="D137" s="157">
        <v>3838578</v>
      </c>
      <c r="E137" s="157">
        <f t="shared" si="8"/>
        <v>-631648</v>
      </c>
      <c r="F137" s="161">
        <f t="shared" si="9"/>
        <v>-0.14130113332077618</v>
      </c>
    </row>
    <row r="138" spans="1:6" ht="15" customHeight="1" x14ac:dyDescent="0.2">
      <c r="A138" s="147">
        <v>6</v>
      </c>
      <c r="B138" s="169" t="s">
        <v>265</v>
      </c>
      <c r="C138" s="157">
        <v>2990781</v>
      </c>
      <c r="D138" s="157">
        <v>2927683</v>
      </c>
      <c r="E138" s="157">
        <f t="shared" si="8"/>
        <v>-63098</v>
      </c>
      <c r="F138" s="161">
        <f t="shared" si="9"/>
        <v>-2.1097499281960131E-2</v>
      </c>
    </row>
    <row r="139" spans="1:6" ht="15" customHeight="1" x14ac:dyDescent="0.2">
      <c r="A139" s="147">
        <v>7</v>
      </c>
      <c r="B139" s="169" t="s">
        <v>266</v>
      </c>
      <c r="C139" s="157">
        <v>2719027</v>
      </c>
      <c r="D139" s="157">
        <v>2644702</v>
      </c>
      <c r="E139" s="157">
        <f t="shared" si="8"/>
        <v>-74325</v>
      </c>
      <c r="F139" s="161">
        <f t="shared" si="9"/>
        <v>-2.7335145991562424E-2</v>
      </c>
    </row>
    <row r="140" spans="1:6" ht="15" customHeight="1" x14ac:dyDescent="0.2">
      <c r="A140" s="147">
        <v>8</v>
      </c>
      <c r="B140" s="169" t="s">
        <v>267</v>
      </c>
      <c r="C140" s="157">
        <v>1564810</v>
      </c>
      <c r="D140" s="157">
        <v>1493046</v>
      </c>
      <c r="E140" s="157">
        <f t="shared" si="8"/>
        <v>-71764</v>
      </c>
      <c r="F140" s="161">
        <f t="shared" si="9"/>
        <v>-4.5861158862737332E-2</v>
      </c>
    </row>
    <row r="141" spans="1:6" ht="15" customHeight="1" x14ac:dyDescent="0.2">
      <c r="A141" s="147">
        <v>9</v>
      </c>
      <c r="B141" s="169" t="s">
        <v>268</v>
      </c>
      <c r="C141" s="157">
        <v>2048527</v>
      </c>
      <c r="D141" s="157">
        <v>2104100</v>
      </c>
      <c r="E141" s="157">
        <f t="shared" si="8"/>
        <v>55573</v>
      </c>
      <c r="F141" s="161">
        <f t="shared" si="9"/>
        <v>2.7128273144557041E-2</v>
      </c>
    </row>
    <row r="142" spans="1:6" ht="15" customHeight="1" x14ac:dyDescent="0.2">
      <c r="A142" s="147">
        <v>10</v>
      </c>
      <c r="B142" s="169" t="s">
        <v>269</v>
      </c>
      <c r="C142" s="157">
        <v>16469884</v>
      </c>
      <c r="D142" s="157">
        <v>16404421</v>
      </c>
      <c r="E142" s="157">
        <f t="shared" si="8"/>
        <v>-65463</v>
      </c>
      <c r="F142" s="161">
        <f t="shared" si="9"/>
        <v>-3.9747092329247731E-3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1015931</v>
      </c>
      <c r="D144" s="157">
        <v>1705181</v>
      </c>
      <c r="E144" s="157">
        <f t="shared" si="8"/>
        <v>689250</v>
      </c>
      <c r="F144" s="161">
        <f t="shared" si="9"/>
        <v>0.67844174456729833</v>
      </c>
    </row>
    <row r="145" spans="1:6" ht="15" customHeight="1" x14ac:dyDescent="0.2">
      <c r="A145" s="147">
        <v>13</v>
      </c>
      <c r="B145" s="169" t="s">
        <v>272</v>
      </c>
      <c r="C145" s="157">
        <v>9258</v>
      </c>
      <c r="D145" s="157">
        <v>1187</v>
      </c>
      <c r="E145" s="157">
        <f t="shared" si="8"/>
        <v>-8071</v>
      </c>
      <c r="F145" s="161">
        <f t="shared" si="9"/>
        <v>-0.87178656297256429</v>
      </c>
    </row>
    <row r="146" spans="1:6" ht="15" customHeight="1" x14ac:dyDescent="0.2">
      <c r="A146" s="147">
        <v>14</v>
      </c>
      <c r="B146" s="169" t="s">
        <v>273</v>
      </c>
      <c r="C146" s="157">
        <v>258370</v>
      </c>
      <c r="D146" s="157">
        <v>268304</v>
      </c>
      <c r="E146" s="157">
        <f t="shared" si="8"/>
        <v>9934</v>
      </c>
      <c r="F146" s="161">
        <f t="shared" si="9"/>
        <v>3.8448736308394939E-2</v>
      </c>
    </row>
    <row r="147" spans="1:6" ht="15" customHeight="1" x14ac:dyDescent="0.2">
      <c r="A147" s="147">
        <v>15</v>
      </c>
      <c r="B147" s="169" t="s">
        <v>274</v>
      </c>
      <c r="C147" s="157">
        <v>1915552</v>
      </c>
      <c r="D147" s="157">
        <v>1863236</v>
      </c>
      <c r="E147" s="157">
        <f t="shared" si="8"/>
        <v>-52316</v>
      </c>
      <c r="F147" s="161">
        <f t="shared" si="9"/>
        <v>-2.7311187584570924E-2</v>
      </c>
    </row>
    <row r="148" spans="1:6" ht="15" customHeight="1" x14ac:dyDescent="0.2">
      <c r="A148" s="147">
        <v>16</v>
      </c>
      <c r="B148" s="169" t="s">
        <v>275</v>
      </c>
      <c r="C148" s="157">
        <v>878539</v>
      </c>
      <c r="D148" s="157">
        <v>850838</v>
      </c>
      <c r="E148" s="157">
        <f t="shared" si="8"/>
        <v>-27701</v>
      </c>
      <c r="F148" s="161">
        <f t="shared" si="9"/>
        <v>-3.1530757314131755E-2</v>
      </c>
    </row>
    <row r="149" spans="1:6" ht="15" customHeight="1" x14ac:dyDescent="0.2">
      <c r="A149" s="147">
        <v>17</v>
      </c>
      <c r="B149" s="169" t="s">
        <v>276</v>
      </c>
      <c r="C149" s="157">
        <v>630203</v>
      </c>
      <c r="D149" s="157">
        <v>712487</v>
      </c>
      <c r="E149" s="157">
        <f t="shared" si="8"/>
        <v>82284</v>
      </c>
      <c r="F149" s="161">
        <f t="shared" si="9"/>
        <v>0.13056745207496631</v>
      </c>
    </row>
    <row r="150" spans="1:6" ht="15" customHeight="1" x14ac:dyDescent="0.2">
      <c r="A150" s="147">
        <v>18</v>
      </c>
      <c r="B150" s="169" t="s">
        <v>277</v>
      </c>
      <c r="C150" s="157">
        <v>2826759</v>
      </c>
      <c r="D150" s="157">
        <v>2828481</v>
      </c>
      <c r="E150" s="157">
        <f t="shared" si="8"/>
        <v>1722</v>
      </c>
      <c r="F150" s="161">
        <f t="shared" si="9"/>
        <v>6.0917821434370602E-4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2</v>
      </c>
      <c r="E151" s="157">
        <f t="shared" si="8"/>
        <v>2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2196636</v>
      </c>
      <c r="D152" s="157">
        <v>2223111</v>
      </c>
      <c r="E152" s="157">
        <f t="shared" si="8"/>
        <v>26475</v>
      </c>
      <c r="F152" s="161">
        <f t="shared" si="9"/>
        <v>1.2052520308326004E-2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1395560</v>
      </c>
      <c r="D154" s="157">
        <v>1206173</v>
      </c>
      <c r="E154" s="157">
        <f t="shared" si="8"/>
        <v>-189387</v>
      </c>
      <c r="F154" s="161">
        <f t="shared" si="9"/>
        <v>-0.13570681303562729</v>
      </c>
    </row>
    <row r="155" spans="1:6" ht="15" customHeight="1" x14ac:dyDescent="0.2">
      <c r="A155" s="147">
        <v>23</v>
      </c>
      <c r="B155" s="169" t="s">
        <v>282</v>
      </c>
      <c r="C155" s="157">
        <v>580104</v>
      </c>
      <c r="D155" s="157">
        <v>556106</v>
      </c>
      <c r="E155" s="157">
        <f t="shared" si="8"/>
        <v>-23998</v>
      </c>
      <c r="F155" s="161">
        <f t="shared" si="9"/>
        <v>-4.1368444278956876E-2</v>
      </c>
    </row>
    <row r="156" spans="1:6" ht="15" customHeight="1" x14ac:dyDescent="0.2">
      <c r="A156" s="147">
        <v>24</v>
      </c>
      <c r="B156" s="169" t="s">
        <v>283</v>
      </c>
      <c r="C156" s="157">
        <v>11796965</v>
      </c>
      <c r="D156" s="157">
        <v>10624996</v>
      </c>
      <c r="E156" s="157">
        <f t="shared" si="8"/>
        <v>-1171969</v>
      </c>
      <c r="F156" s="161">
        <f t="shared" si="9"/>
        <v>-9.9344958639785735E-2</v>
      </c>
    </row>
    <row r="157" spans="1:6" ht="15" customHeight="1" x14ac:dyDescent="0.2">
      <c r="A157" s="147">
        <v>25</v>
      </c>
      <c r="B157" s="169" t="s">
        <v>284</v>
      </c>
      <c r="C157" s="157">
        <v>1635833</v>
      </c>
      <c r="D157" s="157">
        <v>1690261</v>
      </c>
      <c r="E157" s="157">
        <f t="shared" si="8"/>
        <v>54428</v>
      </c>
      <c r="F157" s="161">
        <f t="shared" si="9"/>
        <v>3.3272345037665824E-2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1261998</v>
      </c>
      <c r="D160" s="157">
        <v>1303768</v>
      </c>
      <c r="E160" s="157">
        <f t="shared" si="8"/>
        <v>41770</v>
      </c>
      <c r="F160" s="161">
        <f t="shared" si="9"/>
        <v>3.3098309189079536E-2</v>
      </c>
    </row>
    <row r="161" spans="1:6" ht="15" customHeight="1" x14ac:dyDescent="0.2">
      <c r="A161" s="147">
        <v>29</v>
      </c>
      <c r="B161" s="169" t="s">
        <v>288</v>
      </c>
      <c r="C161" s="157">
        <v>1368493</v>
      </c>
      <c r="D161" s="157">
        <v>1342039</v>
      </c>
      <c r="E161" s="157">
        <f t="shared" si="8"/>
        <v>-26454</v>
      </c>
      <c r="F161" s="161">
        <f t="shared" si="9"/>
        <v>-1.9330752879262079E-2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5143873</v>
      </c>
      <c r="D163" s="157">
        <v>4795111</v>
      </c>
      <c r="E163" s="157">
        <f t="shared" si="8"/>
        <v>-348762</v>
      </c>
      <c r="F163" s="161">
        <f t="shared" si="9"/>
        <v>-6.7801440665428564E-2</v>
      </c>
    </row>
    <row r="164" spans="1:6" ht="15" customHeight="1" x14ac:dyDescent="0.2">
      <c r="A164" s="147">
        <v>32</v>
      </c>
      <c r="B164" s="169" t="s">
        <v>291</v>
      </c>
      <c r="C164" s="157">
        <v>4385667</v>
      </c>
      <c r="D164" s="157">
        <v>4276898</v>
      </c>
      <c r="E164" s="157">
        <f t="shared" si="8"/>
        <v>-108769</v>
      </c>
      <c r="F164" s="161">
        <f t="shared" si="9"/>
        <v>-2.480101658425047E-2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8098622</v>
      </c>
      <c r="D166" s="157">
        <v>7983130</v>
      </c>
      <c r="E166" s="157">
        <f t="shared" si="8"/>
        <v>-115492</v>
      </c>
      <c r="F166" s="161">
        <f t="shared" si="9"/>
        <v>-1.4260697684124534E-2</v>
      </c>
    </row>
    <row r="167" spans="1:6" ht="15.75" customHeight="1" x14ac:dyDescent="0.25">
      <c r="A167" s="147"/>
      <c r="B167" s="165" t="s">
        <v>294</v>
      </c>
      <c r="C167" s="158">
        <f>SUM(C133:C166)</f>
        <v>97513879</v>
      </c>
      <c r="D167" s="158">
        <f>SUM(D133:D166)</f>
        <v>95096997</v>
      </c>
      <c r="E167" s="158">
        <f t="shared" si="8"/>
        <v>-2416882</v>
      </c>
      <c r="F167" s="159">
        <f t="shared" si="9"/>
        <v>-2.478500521961597E-2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22373807</v>
      </c>
      <c r="D170" s="157">
        <v>21521269</v>
      </c>
      <c r="E170" s="157">
        <f t="shared" ref="E170:E183" si="10">D170-C170</f>
        <v>-852538</v>
      </c>
      <c r="F170" s="161">
        <f t="shared" ref="F170:F183" si="11">IF(C170=0,0,E170/C170)</f>
        <v>-3.8104288644306261E-2</v>
      </c>
    </row>
    <row r="171" spans="1:6" ht="15" customHeight="1" x14ac:dyDescent="0.2">
      <c r="A171" s="147">
        <v>2</v>
      </c>
      <c r="B171" s="169" t="s">
        <v>297</v>
      </c>
      <c r="C171" s="157">
        <v>2993130</v>
      </c>
      <c r="D171" s="157">
        <v>3027115</v>
      </c>
      <c r="E171" s="157">
        <f t="shared" si="10"/>
        <v>33985</v>
      </c>
      <c r="F171" s="161">
        <f t="shared" si="11"/>
        <v>1.1354334759933582E-2</v>
      </c>
    </row>
    <row r="172" spans="1:6" ht="15" customHeight="1" x14ac:dyDescent="0.2">
      <c r="A172" s="147">
        <v>3</v>
      </c>
      <c r="B172" s="169" t="s">
        <v>298</v>
      </c>
      <c r="C172" s="157">
        <v>3216935</v>
      </c>
      <c r="D172" s="157">
        <v>3168467</v>
      </c>
      <c r="E172" s="157">
        <f t="shared" si="10"/>
        <v>-48468</v>
      </c>
      <c r="F172" s="161">
        <f t="shared" si="11"/>
        <v>-1.5066515176713239E-2</v>
      </c>
    </row>
    <row r="173" spans="1:6" ht="15" customHeight="1" x14ac:dyDescent="0.2">
      <c r="A173" s="147">
        <v>4</v>
      </c>
      <c r="B173" s="169" t="s">
        <v>299</v>
      </c>
      <c r="C173" s="157">
        <v>2751957</v>
      </c>
      <c r="D173" s="157">
        <v>2814601</v>
      </c>
      <c r="E173" s="157">
        <f t="shared" si="10"/>
        <v>62644</v>
      </c>
      <c r="F173" s="161">
        <f t="shared" si="11"/>
        <v>2.2763437074053119E-2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6020783</v>
      </c>
      <c r="D175" s="157">
        <v>5610847</v>
      </c>
      <c r="E175" s="157">
        <f t="shared" si="10"/>
        <v>-409936</v>
      </c>
      <c r="F175" s="161">
        <f t="shared" si="11"/>
        <v>-6.8086825251798641E-2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2242060</v>
      </c>
      <c r="D177" s="157">
        <v>2204565</v>
      </c>
      <c r="E177" s="157">
        <f t="shared" si="10"/>
        <v>-37495</v>
      </c>
      <c r="F177" s="161">
        <f t="shared" si="11"/>
        <v>-1.6723459675477018E-2</v>
      </c>
    </row>
    <row r="178" spans="1:6" ht="15" customHeight="1" x14ac:dyDescent="0.2">
      <c r="A178" s="147">
        <v>9</v>
      </c>
      <c r="B178" s="169" t="s">
        <v>304</v>
      </c>
      <c r="C178" s="157">
        <v>2824547</v>
      </c>
      <c r="D178" s="157">
        <v>2632034</v>
      </c>
      <c r="E178" s="157">
        <f t="shared" si="10"/>
        <v>-192513</v>
      </c>
      <c r="F178" s="161">
        <f t="shared" si="11"/>
        <v>-6.815712395651409E-2</v>
      </c>
    </row>
    <row r="179" spans="1:6" ht="15" customHeight="1" x14ac:dyDescent="0.2">
      <c r="A179" s="147">
        <v>10</v>
      </c>
      <c r="B179" s="169" t="s">
        <v>305</v>
      </c>
      <c r="C179" s="157">
        <v>2388095</v>
      </c>
      <c r="D179" s="157">
        <v>2226788</v>
      </c>
      <c r="E179" s="157">
        <f t="shared" si="10"/>
        <v>-161307</v>
      </c>
      <c r="F179" s="161">
        <f t="shared" si="11"/>
        <v>-6.7546307831137367E-2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1199104</v>
      </c>
      <c r="D182" s="157">
        <v>1535307</v>
      </c>
      <c r="E182" s="157">
        <f t="shared" si="10"/>
        <v>336203</v>
      </c>
      <c r="F182" s="161">
        <f t="shared" si="11"/>
        <v>0.28037851595858243</v>
      </c>
    </row>
    <row r="183" spans="1:6" ht="15.75" customHeight="1" x14ac:dyDescent="0.25">
      <c r="A183" s="147"/>
      <c r="B183" s="165" t="s">
        <v>309</v>
      </c>
      <c r="C183" s="158">
        <f>SUM(C170:C182)</f>
        <v>46010418</v>
      </c>
      <c r="D183" s="158">
        <f>SUM(D170:D182)</f>
        <v>44740993</v>
      </c>
      <c r="E183" s="158">
        <f t="shared" si="10"/>
        <v>-1269425</v>
      </c>
      <c r="F183" s="159">
        <f t="shared" si="11"/>
        <v>-2.7589947128930668E-2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33075807</v>
      </c>
      <c r="D186" s="157">
        <v>24016087</v>
      </c>
      <c r="E186" s="157">
        <f>D186-C186</f>
        <v>-9059720</v>
      </c>
      <c r="F186" s="161">
        <f>IF(C186=0,0,E186/C186)</f>
        <v>-0.2739077537851155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318194716</v>
      </c>
      <c r="D188" s="158">
        <f>+D186+D183+D167+D130+D121</f>
        <v>312019235</v>
      </c>
      <c r="E188" s="158">
        <f>D188-C188</f>
        <v>-6175481</v>
      </c>
      <c r="F188" s="159">
        <f>IF(C188=0,0,E188/C188)</f>
        <v>-1.9407867854097236E-2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/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318813210</v>
      </c>
      <c r="D11" s="183">
        <v>323643197</v>
      </c>
      <c r="E11" s="76">
        <v>298930165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16057736</v>
      </c>
      <c r="D12" s="185">
        <v>15883284</v>
      </c>
      <c r="E12" s="185">
        <v>23162066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334870946</v>
      </c>
      <c r="D13" s="76">
        <f>+D11+D12</f>
        <v>339526481</v>
      </c>
      <c r="E13" s="76">
        <f>+E11+E12</f>
        <v>322092231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312331109</v>
      </c>
      <c r="D14" s="185">
        <v>318194716</v>
      </c>
      <c r="E14" s="185">
        <v>312019235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22539837</v>
      </c>
      <c r="D15" s="76">
        <f>+D13-D14</f>
        <v>21331765</v>
      </c>
      <c r="E15" s="76">
        <f>+E13-E14</f>
        <v>10072996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4137772</v>
      </c>
      <c r="D16" s="185">
        <v>4584564</v>
      </c>
      <c r="E16" s="185">
        <v>6163570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26677609</v>
      </c>
      <c r="D17" s="76">
        <f>D15+D16</f>
        <v>25916329</v>
      </c>
      <c r="E17" s="76">
        <f>E15+E16</f>
        <v>16236566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6.6487484843973835E-2</v>
      </c>
      <c r="D20" s="189">
        <f>IF(+D27=0,0,+D24/+D27)</f>
        <v>6.1990933769649856E-2</v>
      </c>
      <c r="E20" s="189">
        <f>IF(+E27=0,0,+E24/+E27)</f>
        <v>3.0686421898146441E-2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1.2205503222486449E-2</v>
      </c>
      <c r="D21" s="189">
        <f>IF(D27=0,0,+D26/D27)</f>
        <v>1.3322920221871983E-2</v>
      </c>
      <c r="E21" s="189">
        <f>IF(E27=0,0,+E26/E27)</f>
        <v>1.8776728335716451E-2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7.8692988066460287E-2</v>
      </c>
      <c r="D22" s="189">
        <f>IF(D27=0,0,+D28/D27)</f>
        <v>7.5313853991521837E-2</v>
      </c>
      <c r="E22" s="189">
        <f>IF(E27=0,0,+E28/E27)</f>
        <v>4.9463150233862892E-2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22539837</v>
      </c>
      <c r="D24" s="76">
        <f>+D15</f>
        <v>21331765</v>
      </c>
      <c r="E24" s="76">
        <f>+E15</f>
        <v>10072996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334870946</v>
      </c>
      <c r="D25" s="76">
        <f>+D13</f>
        <v>339526481</v>
      </c>
      <c r="E25" s="76">
        <f>+E13</f>
        <v>322092231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4137772</v>
      </c>
      <c r="D26" s="76">
        <f>+D16</f>
        <v>4584564</v>
      </c>
      <c r="E26" s="76">
        <f>+E16</f>
        <v>6163570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339008718</v>
      </c>
      <c r="D27" s="76">
        <f>+D25+D26</f>
        <v>344111045</v>
      </c>
      <c r="E27" s="76">
        <f>+E25+E26</f>
        <v>328255801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26677609</v>
      </c>
      <c r="D28" s="76">
        <f>+D17</f>
        <v>25916329</v>
      </c>
      <c r="E28" s="76">
        <f>+E17</f>
        <v>16236566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142478037</v>
      </c>
      <c r="D31" s="76">
        <v>144038576</v>
      </c>
      <c r="E31" s="76">
        <v>171018998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165780674</v>
      </c>
      <c r="D32" s="76">
        <v>169995622</v>
      </c>
      <c r="E32" s="76">
        <v>199164500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4163996</v>
      </c>
      <c r="D33" s="76">
        <f>+D32-C32</f>
        <v>4214948</v>
      </c>
      <c r="E33" s="76">
        <f>+E32-D32</f>
        <v>29168878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1.0257000000000001</v>
      </c>
      <c r="D34" s="193">
        <f>IF(C32=0,0,+D33/C32)</f>
        <v>2.5424845359236507E-2</v>
      </c>
      <c r="E34" s="193">
        <f>IF(D32=0,0,+E33/D32)</f>
        <v>0.17158605413967662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0.46146588896611052</v>
      </c>
      <c r="D38" s="195">
        <f>IF((D40+D41)=0,0,+D39/(D40+D41))</f>
        <v>0.44979546589763919</v>
      </c>
      <c r="E38" s="195">
        <f>IF((E40+E41)=0,0,+E39/(E40+E41))</f>
        <v>0.42626646955043285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312331109</v>
      </c>
      <c r="D39" s="76">
        <v>318194716</v>
      </c>
      <c r="E39" s="196">
        <v>312019235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661160920</v>
      </c>
      <c r="D40" s="76">
        <v>691987197</v>
      </c>
      <c r="E40" s="196">
        <v>709327864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15662907</v>
      </c>
      <c r="D41" s="76">
        <v>15433709</v>
      </c>
      <c r="E41" s="196">
        <v>22653789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1.3648230178702239</v>
      </c>
      <c r="D43" s="197">
        <f>IF(D38=0,0,IF((D46-D47)=0,0,((+D44-D45)/(D46-D47)/D38)))</f>
        <v>1.4118661442775542</v>
      </c>
      <c r="E43" s="197">
        <f>IF(E38=0,0,IF((E46-E47)=0,0,((+E44-E45)/(E46-E47)/E38)))</f>
        <v>1.4709914142931235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151294809</v>
      </c>
      <c r="D44" s="76">
        <v>157013123</v>
      </c>
      <c r="E44" s="196">
        <v>153692715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0</v>
      </c>
      <c r="D45" s="76">
        <v>0</v>
      </c>
      <c r="E45" s="196">
        <v>0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252236177</v>
      </c>
      <c r="D46" s="76">
        <v>258358882</v>
      </c>
      <c r="E46" s="196">
        <v>257213323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12016773</v>
      </c>
      <c r="D47" s="76">
        <v>11113975</v>
      </c>
      <c r="E47" s="76">
        <v>12102791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0.82187012195438502</v>
      </c>
      <c r="D49" s="198">
        <f>IF(D38=0,0,IF(D51=0,0,(D50/D51)/D38))</f>
        <v>0.84821669503911101</v>
      </c>
      <c r="E49" s="198">
        <f>IF(E38=0,0,IF(E51=0,0,(E50/E51)/E38))</f>
        <v>0.81971893363083614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99961314</v>
      </c>
      <c r="D50" s="199">
        <v>107064062</v>
      </c>
      <c r="E50" s="199">
        <v>102576018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263565863</v>
      </c>
      <c r="D51" s="199">
        <v>280622072</v>
      </c>
      <c r="E51" s="199">
        <v>293561905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0.7610862231696025</v>
      </c>
      <c r="D53" s="198">
        <f>IF(D38=0,0,IF(D55=0,0,(D54/D55)/D38))</f>
        <v>0.67358654619696645</v>
      </c>
      <c r="E53" s="198">
        <f>IF(E38=0,0,IF(E55=0,0,(E54/E55)/E38))</f>
        <v>0.68475922026264757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38001104</v>
      </c>
      <c r="D54" s="199">
        <v>35000127</v>
      </c>
      <c r="E54" s="199">
        <v>35393428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108198876</v>
      </c>
      <c r="D55" s="199">
        <v>115521054</v>
      </c>
      <c r="E55" s="199">
        <v>121256092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7851174.8210829254</v>
      </c>
      <c r="D57" s="88">
        <f>+D60*D38</f>
        <v>6638637.4329132084</v>
      </c>
      <c r="E57" s="88">
        <f>+E60*E38</f>
        <v>6701685.5588403251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3148344</v>
      </c>
      <c r="D58" s="199">
        <v>2828618</v>
      </c>
      <c r="E58" s="199">
        <v>3684045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13865210</v>
      </c>
      <c r="D59" s="199">
        <v>11930618</v>
      </c>
      <c r="E59" s="199">
        <v>12037777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17013554</v>
      </c>
      <c r="D60" s="76">
        <v>14759236</v>
      </c>
      <c r="E60" s="201">
        <v>15721822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2.5137344935700676E-2</v>
      </c>
      <c r="D62" s="202">
        <f>IF(D63=0,0,+D57/D63)</f>
        <v>2.0863443354330272E-2</v>
      </c>
      <c r="E62" s="202">
        <f>IF(E63=0,0,+E57/E63)</f>
        <v>2.1478437247114991E-2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312331109</v>
      </c>
      <c r="D63" s="199">
        <v>318194716</v>
      </c>
      <c r="E63" s="199">
        <v>312019235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3.8798612172870093</v>
      </c>
      <c r="D67" s="203">
        <f>IF(D69=0,0,D68/D69)</f>
        <v>4.0591192424837406</v>
      </c>
      <c r="E67" s="203">
        <f>IF(E69=0,0,E68/E69)</f>
        <v>3.9285429810266432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189459218</v>
      </c>
      <c r="D68" s="204">
        <v>206704027</v>
      </c>
      <c r="E68" s="204">
        <v>193504592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48831442</v>
      </c>
      <c r="D69" s="204">
        <v>50923369</v>
      </c>
      <c r="E69" s="204">
        <v>49256071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180.36229022155615</v>
      </c>
      <c r="D71" s="203">
        <f>IF((D77/365)=0,0,+D74/(D77/365))</f>
        <v>185.32584550710868</v>
      </c>
      <c r="E71" s="203">
        <f>IF((E77/365)=0,0,+E74/(E77/365))</f>
        <v>164.41435230013667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39933225</v>
      </c>
      <c r="D72" s="183">
        <v>13568654</v>
      </c>
      <c r="E72" s="183">
        <v>301175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105904042</v>
      </c>
      <c r="D73" s="206">
        <v>138433638</v>
      </c>
      <c r="E73" s="206">
        <v>130950161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145837267</v>
      </c>
      <c r="D74" s="204">
        <f>+D72+D73</f>
        <v>152002292</v>
      </c>
      <c r="E74" s="204">
        <f>+E72+E73</f>
        <v>131251336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312331109</v>
      </c>
      <c r="D75" s="204">
        <f>+D14</f>
        <v>318194716</v>
      </c>
      <c r="E75" s="204">
        <f>+E14</f>
        <v>312019235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17199558</v>
      </c>
      <c r="D76" s="204">
        <v>18825589</v>
      </c>
      <c r="E76" s="204">
        <v>20641159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295131551</v>
      </c>
      <c r="D77" s="204">
        <f>+D75-D76</f>
        <v>299369127</v>
      </c>
      <c r="E77" s="204">
        <f>+E75-E76</f>
        <v>291378076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25.281927652872351</v>
      </c>
      <c r="D79" s="203">
        <f>IF((D84/365)=0,0,+D83/(D84/365))</f>
        <v>26.288663438212172</v>
      </c>
      <c r="E79" s="203">
        <f>IF((E84/365)=0,0,+E83/(E84/365))</f>
        <v>36.572277725802614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29920862</v>
      </c>
      <c r="D80" s="212">
        <v>28719548</v>
      </c>
      <c r="E80" s="212">
        <v>33778305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7838088</v>
      </c>
      <c r="D82" s="212">
        <v>5409556</v>
      </c>
      <c r="E82" s="212">
        <v>3826094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22082774</v>
      </c>
      <c r="D83" s="212">
        <f>+D80+D81-D82</f>
        <v>23309992</v>
      </c>
      <c r="E83" s="212">
        <f>+E80+E81-E82</f>
        <v>29952211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318813210</v>
      </c>
      <c r="D84" s="204">
        <f>+D11</f>
        <v>323643197</v>
      </c>
      <c r="E84" s="204">
        <f>+E11</f>
        <v>298930165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60.391633051797974</v>
      </c>
      <c r="D86" s="203">
        <f>IF((D90/365)=0,0,+D87/(D90/365))</f>
        <v>62.087329683130619</v>
      </c>
      <c r="E86" s="203">
        <f>IF((E90/365)=0,0,+E87/(E90/365))</f>
        <v>61.701505349359223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48831442</v>
      </c>
      <c r="D87" s="76">
        <f>+D69</f>
        <v>50923369</v>
      </c>
      <c r="E87" s="76">
        <f>+E69</f>
        <v>49256071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312331109</v>
      </c>
      <c r="D88" s="76">
        <f t="shared" si="0"/>
        <v>318194716</v>
      </c>
      <c r="E88" s="76">
        <f t="shared" si="0"/>
        <v>312019235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17199558</v>
      </c>
      <c r="D89" s="201">
        <f t="shared" si="0"/>
        <v>18825589</v>
      </c>
      <c r="E89" s="201">
        <f t="shared" si="0"/>
        <v>20641159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295131551</v>
      </c>
      <c r="D90" s="76">
        <f>+D88-D89</f>
        <v>299369127</v>
      </c>
      <c r="E90" s="76">
        <f>+E88-E89</f>
        <v>291378076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46.764782060287864</v>
      </c>
      <c r="D94" s="214">
        <f>IF(D96=0,0,(D95/D96)*100)</f>
        <v>45.993190300134835</v>
      </c>
      <c r="E94" s="214">
        <f>IF(E96=0,0,(E95/E96)*100)</f>
        <v>50.428514187937878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165780674</v>
      </c>
      <c r="D95" s="76">
        <f>+D32</f>
        <v>169995622</v>
      </c>
      <c r="E95" s="76">
        <f>+E32</f>
        <v>199164500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354498977</v>
      </c>
      <c r="D96" s="76">
        <v>369610416</v>
      </c>
      <c r="E96" s="76">
        <v>394944216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33.473230923554183</v>
      </c>
      <c r="D98" s="214">
        <f>IF(D104=0,0,(D101/D104)*100)</f>
        <v>34.303240805803021</v>
      </c>
      <c r="E98" s="214">
        <f>IF(E104=0,0,(E101/E104)*100)</f>
        <v>27.176812757335266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26677609</v>
      </c>
      <c r="D99" s="76">
        <f>+D28</f>
        <v>25916329</v>
      </c>
      <c r="E99" s="76">
        <f>+E28</f>
        <v>16236566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17199558</v>
      </c>
      <c r="D100" s="201">
        <f>+D76</f>
        <v>18825589</v>
      </c>
      <c r="E100" s="201">
        <f>+E76</f>
        <v>20641159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43877167</v>
      </c>
      <c r="D101" s="76">
        <f>+D99+D100</f>
        <v>44741918</v>
      </c>
      <c r="E101" s="76">
        <f>+E99+E100</f>
        <v>36877725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48831442</v>
      </c>
      <c r="D102" s="204">
        <f>+D69</f>
        <v>50923369</v>
      </c>
      <c r="E102" s="204">
        <f>+E69</f>
        <v>49256071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82249920</v>
      </c>
      <c r="D103" s="216">
        <v>79507217</v>
      </c>
      <c r="E103" s="216">
        <v>86439477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131081362</v>
      </c>
      <c r="D104" s="204">
        <f>+D102+D103</f>
        <v>130430586</v>
      </c>
      <c r="E104" s="204">
        <f>+E102+E103</f>
        <v>135695548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33.161199460740718</v>
      </c>
      <c r="D106" s="214">
        <f>IF(D109=0,0,(D107/D109)*100)</f>
        <v>31.866257441663819</v>
      </c>
      <c r="E106" s="214">
        <f>IF(E109=0,0,(E107/E109)*100)</f>
        <v>30.265501870094759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82249920</v>
      </c>
      <c r="D107" s="204">
        <f>+D103</f>
        <v>79507217</v>
      </c>
      <c r="E107" s="204">
        <f>+E103</f>
        <v>86439477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165780674</v>
      </c>
      <c r="D108" s="204">
        <f>+D32</f>
        <v>169995622</v>
      </c>
      <c r="E108" s="204">
        <f>+E32</f>
        <v>199164500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248030594</v>
      </c>
      <c r="D109" s="204">
        <f>+D107+D108</f>
        <v>249502839</v>
      </c>
      <c r="E109" s="204">
        <f>+E107+E108</f>
        <v>285603977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9.2415697297288624</v>
      </c>
      <c r="D111" s="214">
        <f>IF((+D113+D115)=0,0,((+D112+D113+D114)/(+D113+D115)))</f>
        <v>8.9959820240596819</v>
      </c>
      <c r="E111" s="214">
        <f>IF((+E113+E115)=0,0,((+E112+E113+E114)/(+E113+E115)))</f>
        <v>6.8660153251720502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26677609</v>
      </c>
      <c r="D112" s="76">
        <f>+D17</f>
        <v>25916329</v>
      </c>
      <c r="E112" s="76">
        <f>+E17</f>
        <v>16236566</v>
      </c>
    </row>
    <row r="113" spans="1:8" ht="24" customHeight="1" x14ac:dyDescent="0.2">
      <c r="A113" s="85">
        <v>17</v>
      </c>
      <c r="B113" s="75" t="s">
        <v>88</v>
      </c>
      <c r="C113" s="218">
        <v>2212177</v>
      </c>
      <c r="D113" s="76">
        <v>2315992</v>
      </c>
      <c r="E113" s="76">
        <v>2705025</v>
      </c>
    </row>
    <row r="114" spans="1:8" ht="24" customHeight="1" x14ac:dyDescent="0.2">
      <c r="A114" s="85">
        <v>18</v>
      </c>
      <c r="B114" s="75" t="s">
        <v>374</v>
      </c>
      <c r="C114" s="218">
        <v>17199558</v>
      </c>
      <c r="D114" s="76">
        <v>18825589</v>
      </c>
      <c r="E114" s="76">
        <v>20641159</v>
      </c>
    </row>
    <row r="115" spans="1:8" ht="24" customHeight="1" x14ac:dyDescent="0.2">
      <c r="A115" s="85">
        <v>19</v>
      </c>
      <c r="B115" s="75" t="s">
        <v>104</v>
      </c>
      <c r="C115" s="218">
        <v>2775000</v>
      </c>
      <c r="D115" s="76">
        <v>2915000</v>
      </c>
      <c r="E115" s="76">
        <v>3060000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12.233739320510447</v>
      </c>
      <c r="D119" s="214">
        <f>IF(+D121=0,0,(+D120)/(+D121))</f>
        <v>11.936412507465239</v>
      </c>
      <c r="E119" s="214">
        <f>IF(+E121=0,0,(+E120)/(+E121))</f>
        <v>11.885565098355185</v>
      </c>
    </row>
    <row r="120" spans="1:8" ht="24" customHeight="1" x14ac:dyDescent="0.2">
      <c r="A120" s="85">
        <v>21</v>
      </c>
      <c r="B120" s="75" t="s">
        <v>378</v>
      </c>
      <c r="C120" s="218">
        <v>210414909</v>
      </c>
      <c r="D120" s="218">
        <v>224709996</v>
      </c>
      <c r="E120" s="218">
        <v>245331839</v>
      </c>
    </row>
    <row r="121" spans="1:8" ht="24" customHeight="1" x14ac:dyDescent="0.2">
      <c r="A121" s="85">
        <v>22</v>
      </c>
      <c r="B121" s="75" t="s">
        <v>374</v>
      </c>
      <c r="C121" s="218">
        <v>17199558</v>
      </c>
      <c r="D121" s="218">
        <v>18825589</v>
      </c>
      <c r="E121" s="218">
        <v>20641159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74082</v>
      </c>
      <c r="D124" s="218">
        <v>70558</v>
      </c>
      <c r="E124" s="218">
        <v>67153</v>
      </c>
    </row>
    <row r="125" spans="1:8" ht="24" customHeight="1" x14ac:dyDescent="0.2">
      <c r="A125" s="85">
        <v>2</v>
      </c>
      <c r="B125" s="75" t="s">
        <v>381</v>
      </c>
      <c r="C125" s="218">
        <v>15328</v>
      </c>
      <c r="D125" s="218">
        <v>14932</v>
      </c>
      <c r="E125" s="218">
        <v>14649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4.8331158663883089</v>
      </c>
      <c r="D126" s="219">
        <f>IF(D125=0,0,D124/D125)</f>
        <v>4.7252879721403698</v>
      </c>
      <c r="E126" s="219">
        <f>IF(E125=0,0,E124/E125)</f>
        <v>4.584135435865929</v>
      </c>
    </row>
    <row r="127" spans="1:8" ht="24" customHeight="1" x14ac:dyDescent="0.2">
      <c r="A127" s="85">
        <v>4</v>
      </c>
      <c r="B127" s="75" t="s">
        <v>383</v>
      </c>
      <c r="C127" s="218">
        <v>256</v>
      </c>
      <c r="D127" s="218">
        <v>256</v>
      </c>
      <c r="E127" s="218">
        <v>256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256</v>
      </c>
      <c r="E128" s="218">
        <v>256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256</v>
      </c>
      <c r="D129" s="218">
        <v>308</v>
      </c>
      <c r="E129" s="218">
        <v>308</v>
      </c>
    </row>
    <row r="130" spans="1:7" ht="24" customHeight="1" x14ac:dyDescent="0.2">
      <c r="A130" s="85">
        <v>7</v>
      </c>
      <c r="B130" s="75" t="s">
        <v>386</v>
      </c>
      <c r="C130" s="193">
        <v>0.79279999999999995</v>
      </c>
      <c r="D130" s="193">
        <v>0.75509999999999999</v>
      </c>
      <c r="E130" s="193">
        <v>0.71860000000000002</v>
      </c>
    </row>
    <row r="131" spans="1:7" ht="24" customHeight="1" x14ac:dyDescent="0.2">
      <c r="A131" s="85">
        <v>8</v>
      </c>
      <c r="B131" s="75" t="s">
        <v>387</v>
      </c>
      <c r="C131" s="193">
        <v>0.79279999999999995</v>
      </c>
      <c r="D131" s="193">
        <v>0.75509999999999999</v>
      </c>
      <c r="E131" s="193">
        <v>0.71860000000000002</v>
      </c>
    </row>
    <row r="132" spans="1:7" ht="24" customHeight="1" x14ac:dyDescent="0.2">
      <c r="A132" s="85">
        <v>9</v>
      </c>
      <c r="B132" s="75" t="s">
        <v>388</v>
      </c>
      <c r="C132" s="219">
        <v>1939.1</v>
      </c>
      <c r="D132" s="219">
        <v>1954.8</v>
      </c>
      <c r="E132" s="219">
        <v>1921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0.36332970799302539</v>
      </c>
      <c r="D135" s="227">
        <f>IF(D149=0,0,D143/D149)</f>
        <v>0.35729693854437022</v>
      </c>
      <c r="E135" s="227">
        <f>IF(E149=0,0,E143/E149)</f>
        <v>0.34555322642732106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0.39864101919393541</v>
      </c>
      <c r="D136" s="227">
        <f>IF(D149=0,0,D144/D149)</f>
        <v>0.40553072833802734</v>
      </c>
      <c r="E136" s="227">
        <f>IF(E149=0,0,E144/E149)</f>
        <v>0.4138592601516638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0.16364983580699236</v>
      </c>
      <c r="D137" s="227">
        <f>IF(D149=0,0,D145/D149)</f>
        <v>0.16694102795661983</v>
      </c>
      <c r="E137" s="227">
        <f>IF(E149=0,0,E145/E149)</f>
        <v>0.17094505679816352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2.8751321236590937E-3</v>
      </c>
      <c r="D138" s="227">
        <f>IF(D149=0,0,D146/D149)</f>
        <v>2.1978903751307412E-3</v>
      </c>
      <c r="E138" s="227">
        <f>IF(E149=0,0,E146/E149)</f>
        <v>2.9291926983993398E-3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1.8175262082943438E-2</v>
      </c>
      <c r="D139" s="227">
        <f>IF(D149=0,0,D147/D149)</f>
        <v>1.6060954665321647E-2</v>
      </c>
      <c r="E139" s="227">
        <f>IF(E149=0,0,E147/E149)</f>
        <v>1.7062336916740663E-2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5.3329042799444344E-2</v>
      </c>
      <c r="D140" s="227">
        <f>IF(D149=0,0,D148/D149)</f>
        <v>5.1972460120530237E-2</v>
      </c>
      <c r="E140" s="227">
        <f>IF(E149=0,0,E148/E149)</f>
        <v>4.9650927007711627E-2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240219404</v>
      </c>
      <c r="D143" s="229">
        <f>+D46-D147</f>
        <v>247244907</v>
      </c>
      <c r="E143" s="229">
        <f>+E46-E147</f>
        <v>245110532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263565863</v>
      </c>
      <c r="D144" s="229">
        <f>+D51</f>
        <v>280622072</v>
      </c>
      <c r="E144" s="229">
        <f>+E51</f>
        <v>293561905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108198876</v>
      </c>
      <c r="D145" s="229">
        <f>+D55</f>
        <v>115521054</v>
      </c>
      <c r="E145" s="229">
        <f>+E55</f>
        <v>121256092</v>
      </c>
    </row>
    <row r="146" spans="1:7" ht="20.100000000000001" customHeight="1" x14ac:dyDescent="0.2">
      <c r="A146" s="226">
        <v>11</v>
      </c>
      <c r="B146" s="224" t="s">
        <v>400</v>
      </c>
      <c r="C146" s="228">
        <v>1900925</v>
      </c>
      <c r="D146" s="229">
        <v>1520912</v>
      </c>
      <c r="E146" s="229">
        <v>2077758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12016773</v>
      </c>
      <c r="D147" s="229">
        <f>+D47</f>
        <v>11113975</v>
      </c>
      <c r="E147" s="229">
        <f>+E47</f>
        <v>12102791</v>
      </c>
    </row>
    <row r="148" spans="1:7" ht="20.100000000000001" customHeight="1" x14ac:dyDescent="0.2">
      <c r="A148" s="226">
        <v>13</v>
      </c>
      <c r="B148" s="224" t="s">
        <v>402</v>
      </c>
      <c r="C148" s="230">
        <v>35259079</v>
      </c>
      <c r="D148" s="229">
        <v>35964277</v>
      </c>
      <c r="E148" s="229">
        <v>35218786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661160920</v>
      </c>
      <c r="D149" s="229">
        <f>SUM(D143:D148)</f>
        <v>691987197</v>
      </c>
      <c r="E149" s="229">
        <f>SUM(E143:E148)</f>
        <v>709327864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0.49928829835749405</v>
      </c>
      <c r="D152" s="227">
        <f>IF(D166=0,0,D160/D166)</f>
        <v>0.50318138362180798</v>
      </c>
      <c r="E152" s="227">
        <f>IF(E166=0,0,E160/E166)</f>
        <v>0.5066308914022789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0.32988252999902423</v>
      </c>
      <c r="D153" s="227">
        <f>IF(D166=0,0,D161/D166)</f>
        <v>0.34310917344998626</v>
      </c>
      <c r="E153" s="227">
        <f>IF(E166=0,0,E161/E166)</f>
        <v>0.33813040153423146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0.12540751845535003</v>
      </c>
      <c r="D154" s="227">
        <f>IF(D166=0,0,D162/D166)</f>
        <v>0.11216522539201387</v>
      </c>
      <c r="E154" s="227">
        <f>IF(E166=0,0,E162/E166)</f>
        <v>0.11667048745558549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1.9332954413424216E-3</v>
      </c>
      <c r="D155" s="227">
        <f>IF(D166=0,0,D163/D166)</f>
        <v>1.3191864526768315E-3</v>
      </c>
      <c r="E155" s="227">
        <f>IF(E166=0,0,E163/E166)</f>
        <v>1.7994786794621699E-3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0</v>
      </c>
      <c r="D156" s="227">
        <f>IF(D166=0,0,D164/D166)</f>
        <v>0</v>
      </c>
      <c r="E156" s="227">
        <f>IF(E166=0,0,E164/E166)</f>
        <v>0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4.348835774678924E-2</v>
      </c>
      <c r="D157" s="227">
        <f>IF(D166=0,0,D165/D166)</f>
        <v>4.0225031083515064E-2</v>
      </c>
      <c r="E157" s="227">
        <f>IF(E166=0,0,E165/E166)</f>
        <v>3.6768740928441984E-2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151294809</v>
      </c>
      <c r="D160" s="229">
        <f>+D44-D164</f>
        <v>157013123</v>
      </c>
      <c r="E160" s="229">
        <f>+E44-E164</f>
        <v>153692715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99961314</v>
      </c>
      <c r="D161" s="229">
        <f>+D50</f>
        <v>107064062</v>
      </c>
      <c r="E161" s="229">
        <f>+E50</f>
        <v>102576018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38001104</v>
      </c>
      <c r="D162" s="229">
        <f>+D54</f>
        <v>35000127</v>
      </c>
      <c r="E162" s="229">
        <f>+E54</f>
        <v>35393428</v>
      </c>
    </row>
    <row r="163" spans="1:6" ht="20.100000000000001" customHeight="1" x14ac:dyDescent="0.2">
      <c r="A163" s="226">
        <v>11</v>
      </c>
      <c r="B163" s="224" t="s">
        <v>415</v>
      </c>
      <c r="C163" s="228">
        <v>585829</v>
      </c>
      <c r="D163" s="229">
        <v>411640</v>
      </c>
      <c r="E163" s="229">
        <v>545894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0</v>
      </c>
      <c r="D164" s="229">
        <f>+D45</f>
        <v>0</v>
      </c>
      <c r="E164" s="229">
        <f>+E45</f>
        <v>0</v>
      </c>
    </row>
    <row r="165" spans="1:6" ht="20.100000000000001" customHeight="1" x14ac:dyDescent="0.2">
      <c r="A165" s="226">
        <v>13</v>
      </c>
      <c r="B165" s="224" t="s">
        <v>417</v>
      </c>
      <c r="C165" s="230">
        <v>13177883</v>
      </c>
      <c r="D165" s="229">
        <v>12551851</v>
      </c>
      <c r="E165" s="229">
        <v>11154250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303020939</v>
      </c>
      <c r="D166" s="229">
        <f>SUM(D160:D165)</f>
        <v>312040803</v>
      </c>
      <c r="E166" s="229">
        <f>SUM(E160:E165)</f>
        <v>303362305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4292</v>
      </c>
      <c r="D169" s="218">
        <v>4075</v>
      </c>
      <c r="E169" s="218">
        <v>3952</v>
      </c>
    </row>
    <row r="170" spans="1:6" ht="20.100000000000001" customHeight="1" x14ac:dyDescent="0.2">
      <c r="A170" s="226">
        <v>2</v>
      </c>
      <c r="B170" s="224" t="s">
        <v>420</v>
      </c>
      <c r="C170" s="218">
        <v>6897</v>
      </c>
      <c r="D170" s="218">
        <v>6829</v>
      </c>
      <c r="E170" s="218">
        <v>6658</v>
      </c>
    </row>
    <row r="171" spans="1:6" ht="20.100000000000001" customHeight="1" x14ac:dyDescent="0.2">
      <c r="A171" s="226">
        <v>3</v>
      </c>
      <c r="B171" s="224" t="s">
        <v>421</v>
      </c>
      <c r="C171" s="218">
        <v>3249</v>
      </c>
      <c r="D171" s="218">
        <v>3059</v>
      </c>
      <c r="E171" s="218">
        <v>3096</v>
      </c>
    </row>
    <row r="172" spans="1:6" ht="20.100000000000001" customHeight="1" x14ac:dyDescent="0.2">
      <c r="A172" s="226">
        <v>4</v>
      </c>
      <c r="B172" s="224" t="s">
        <v>422</v>
      </c>
      <c r="C172" s="218">
        <v>3192</v>
      </c>
      <c r="D172" s="218">
        <v>3028</v>
      </c>
      <c r="E172" s="218">
        <v>3069</v>
      </c>
    </row>
    <row r="173" spans="1:6" ht="20.100000000000001" customHeight="1" x14ac:dyDescent="0.2">
      <c r="A173" s="226">
        <v>5</v>
      </c>
      <c r="B173" s="224" t="s">
        <v>423</v>
      </c>
      <c r="C173" s="218">
        <v>57</v>
      </c>
      <c r="D173" s="218">
        <v>31</v>
      </c>
      <c r="E173" s="218">
        <v>27</v>
      </c>
    </row>
    <row r="174" spans="1:6" ht="20.100000000000001" customHeight="1" x14ac:dyDescent="0.2">
      <c r="A174" s="226">
        <v>6</v>
      </c>
      <c r="B174" s="224" t="s">
        <v>424</v>
      </c>
      <c r="C174" s="218">
        <v>890</v>
      </c>
      <c r="D174" s="218">
        <v>969</v>
      </c>
      <c r="E174" s="218">
        <v>943</v>
      </c>
    </row>
    <row r="175" spans="1:6" ht="20.100000000000001" customHeight="1" x14ac:dyDescent="0.2">
      <c r="A175" s="226">
        <v>7</v>
      </c>
      <c r="B175" s="224" t="s">
        <v>425</v>
      </c>
      <c r="C175" s="218">
        <v>89</v>
      </c>
      <c r="D175" s="218">
        <v>69</v>
      </c>
      <c r="E175" s="218">
        <v>67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15328</v>
      </c>
      <c r="D176" s="218">
        <f>+D169+D170+D171+D174</f>
        <v>14932</v>
      </c>
      <c r="E176" s="218">
        <f>+E169+E170+E171+E174</f>
        <v>14649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1.1148</v>
      </c>
      <c r="D179" s="231">
        <v>1.149</v>
      </c>
      <c r="E179" s="231">
        <v>1.1398999999999999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1.4370000000000001</v>
      </c>
      <c r="D180" s="231">
        <v>1.4081999999999999</v>
      </c>
      <c r="E180" s="231">
        <v>1.4094</v>
      </c>
    </row>
    <row r="181" spans="1:6" ht="20.100000000000001" customHeight="1" x14ac:dyDescent="0.2">
      <c r="A181" s="226">
        <v>3</v>
      </c>
      <c r="B181" s="224" t="s">
        <v>421</v>
      </c>
      <c r="C181" s="231">
        <v>0.95108700000000002</v>
      </c>
      <c r="D181" s="231">
        <v>0.99612199999999995</v>
      </c>
      <c r="E181" s="231">
        <v>0.97289700000000001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0.95279999999999998</v>
      </c>
      <c r="D182" s="231">
        <v>0.99660000000000004</v>
      </c>
      <c r="E182" s="231">
        <v>0.97389999999999999</v>
      </c>
    </row>
    <row r="183" spans="1:6" ht="20.100000000000001" customHeight="1" x14ac:dyDescent="0.2">
      <c r="A183" s="226">
        <v>5</v>
      </c>
      <c r="B183" s="224" t="s">
        <v>423</v>
      </c>
      <c r="C183" s="231">
        <v>0.85519999999999996</v>
      </c>
      <c r="D183" s="231">
        <v>0.94950000000000001</v>
      </c>
      <c r="E183" s="231">
        <v>0.85899999999999999</v>
      </c>
    </row>
    <row r="184" spans="1:6" ht="20.100000000000001" customHeight="1" x14ac:dyDescent="0.2">
      <c r="A184" s="226">
        <v>6</v>
      </c>
      <c r="B184" s="224" t="s">
        <v>424</v>
      </c>
      <c r="C184" s="231">
        <v>0.90339999999999998</v>
      </c>
      <c r="D184" s="231">
        <v>0.89590000000000003</v>
      </c>
      <c r="E184" s="231">
        <v>0.88970000000000005</v>
      </c>
    </row>
    <row r="185" spans="1:6" ht="20.100000000000001" customHeight="1" x14ac:dyDescent="0.2">
      <c r="A185" s="226">
        <v>7</v>
      </c>
      <c r="B185" s="224" t="s">
        <v>425</v>
      </c>
      <c r="C185" s="231">
        <v>0.89100000000000001</v>
      </c>
      <c r="D185" s="231">
        <v>1.1487000000000001</v>
      </c>
      <c r="E185" s="231">
        <v>1.0244</v>
      </c>
    </row>
    <row r="186" spans="1:6" ht="20.100000000000001" customHeight="1" x14ac:dyDescent="0.2">
      <c r="A186" s="226">
        <v>8</v>
      </c>
      <c r="B186" s="224" t="s">
        <v>429</v>
      </c>
      <c r="C186" s="231">
        <v>1.212801</v>
      </c>
      <c r="D186" s="231">
        <v>1.2197990000000001</v>
      </c>
      <c r="E186" s="231">
        <v>1.210987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7543</v>
      </c>
      <c r="D189" s="218">
        <v>6525</v>
      </c>
      <c r="E189" s="218">
        <v>7004</v>
      </c>
    </row>
    <row r="190" spans="1:6" ht="20.100000000000001" customHeight="1" x14ac:dyDescent="0.2">
      <c r="A190" s="226">
        <v>2</v>
      </c>
      <c r="B190" s="224" t="s">
        <v>433</v>
      </c>
      <c r="C190" s="218">
        <v>72571</v>
      </c>
      <c r="D190" s="218">
        <v>76140</v>
      </c>
      <c r="E190" s="218">
        <v>77556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80114</v>
      </c>
      <c r="D191" s="218">
        <f>+D190+D189</f>
        <v>82665</v>
      </c>
      <c r="E191" s="218">
        <f>+E190+E189</f>
        <v>84560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/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1072052</v>
      </c>
      <c r="D14" s="258">
        <v>829207</v>
      </c>
      <c r="E14" s="258">
        <f t="shared" ref="E14:E24" si="0">D14-C14</f>
        <v>-242845</v>
      </c>
      <c r="F14" s="259">
        <f t="shared" ref="F14:F24" si="1">IF(C14=0,0,E14/C14)</f>
        <v>-0.22652352684384713</v>
      </c>
    </row>
    <row r="15" spans="1:7" ht="20.25" customHeight="1" x14ac:dyDescent="0.3">
      <c r="A15" s="256">
        <v>2</v>
      </c>
      <c r="B15" s="257" t="s">
        <v>442</v>
      </c>
      <c r="C15" s="258">
        <v>434721</v>
      </c>
      <c r="D15" s="258">
        <v>333242</v>
      </c>
      <c r="E15" s="258">
        <f t="shared" si="0"/>
        <v>-101479</v>
      </c>
      <c r="F15" s="259">
        <f t="shared" si="1"/>
        <v>-0.23343477770800122</v>
      </c>
    </row>
    <row r="16" spans="1:7" ht="20.25" customHeight="1" x14ac:dyDescent="0.3">
      <c r="A16" s="256">
        <v>3</v>
      </c>
      <c r="B16" s="257" t="s">
        <v>443</v>
      </c>
      <c r="C16" s="258">
        <v>1035149</v>
      </c>
      <c r="D16" s="258">
        <v>720869</v>
      </c>
      <c r="E16" s="258">
        <f t="shared" si="0"/>
        <v>-314280</v>
      </c>
      <c r="F16" s="259">
        <f t="shared" si="1"/>
        <v>-0.303608466027596</v>
      </c>
    </row>
    <row r="17" spans="1:6" ht="20.25" customHeight="1" x14ac:dyDescent="0.3">
      <c r="A17" s="256">
        <v>4</v>
      </c>
      <c r="B17" s="257" t="s">
        <v>444</v>
      </c>
      <c r="C17" s="258">
        <v>348570</v>
      </c>
      <c r="D17" s="258">
        <v>184904</v>
      </c>
      <c r="E17" s="258">
        <f t="shared" si="0"/>
        <v>-163666</v>
      </c>
      <c r="F17" s="259">
        <f t="shared" si="1"/>
        <v>-0.46953553088332328</v>
      </c>
    </row>
    <row r="18" spans="1:6" ht="20.25" customHeight="1" x14ac:dyDescent="0.3">
      <c r="A18" s="256">
        <v>5</v>
      </c>
      <c r="B18" s="257" t="s">
        <v>381</v>
      </c>
      <c r="C18" s="260">
        <v>43</v>
      </c>
      <c r="D18" s="260">
        <v>39</v>
      </c>
      <c r="E18" s="260">
        <f t="shared" si="0"/>
        <v>-4</v>
      </c>
      <c r="F18" s="259">
        <f t="shared" si="1"/>
        <v>-9.3023255813953487E-2</v>
      </c>
    </row>
    <row r="19" spans="1:6" ht="20.25" customHeight="1" x14ac:dyDescent="0.3">
      <c r="A19" s="256">
        <v>6</v>
      </c>
      <c r="B19" s="257" t="s">
        <v>380</v>
      </c>
      <c r="C19" s="260">
        <v>237</v>
      </c>
      <c r="D19" s="260">
        <v>175</v>
      </c>
      <c r="E19" s="260">
        <f t="shared" si="0"/>
        <v>-62</v>
      </c>
      <c r="F19" s="259">
        <f t="shared" si="1"/>
        <v>-0.26160337552742619</v>
      </c>
    </row>
    <row r="20" spans="1:6" ht="20.25" customHeight="1" x14ac:dyDescent="0.3">
      <c r="A20" s="256">
        <v>7</v>
      </c>
      <c r="B20" s="257" t="s">
        <v>445</v>
      </c>
      <c r="C20" s="260">
        <v>871</v>
      </c>
      <c r="D20" s="260">
        <v>564</v>
      </c>
      <c r="E20" s="260">
        <f t="shared" si="0"/>
        <v>-307</v>
      </c>
      <c r="F20" s="259">
        <f t="shared" si="1"/>
        <v>-0.35246842709529275</v>
      </c>
    </row>
    <row r="21" spans="1:6" ht="20.25" customHeight="1" x14ac:dyDescent="0.3">
      <c r="A21" s="256">
        <v>8</v>
      </c>
      <c r="B21" s="257" t="s">
        <v>446</v>
      </c>
      <c r="C21" s="260">
        <v>76</v>
      </c>
      <c r="D21" s="260">
        <v>70</v>
      </c>
      <c r="E21" s="260">
        <f t="shared" si="0"/>
        <v>-6</v>
      </c>
      <c r="F21" s="259">
        <f t="shared" si="1"/>
        <v>-7.8947368421052627E-2</v>
      </c>
    </row>
    <row r="22" spans="1:6" ht="20.25" customHeight="1" x14ac:dyDescent="0.3">
      <c r="A22" s="256">
        <v>9</v>
      </c>
      <c r="B22" s="257" t="s">
        <v>447</v>
      </c>
      <c r="C22" s="260">
        <v>23</v>
      </c>
      <c r="D22" s="260">
        <v>22</v>
      </c>
      <c r="E22" s="260">
        <f t="shared" si="0"/>
        <v>-1</v>
      </c>
      <c r="F22" s="259">
        <f t="shared" si="1"/>
        <v>-4.3478260869565216E-2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2107201</v>
      </c>
      <c r="D23" s="263">
        <f>+D14+D16</f>
        <v>1550076</v>
      </c>
      <c r="E23" s="263">
        <f t="shared" si="0"/>
        <v>-557125</v>
      </c>
      <c r="F23" s="264">
        <f t="shared" si="1"/>
        <v>-0.26439100968535989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783291</v>
      </c>
      <c r="D24" s="263">
        <f>+D15+D17</f>
        <v>518146</v>
      </c>
      <c r="E24" s="263">
        <f t="shared" si="0"/>
        <v>-265145</v>
      </c>
      <c r="F24" s="264">
        <f t="shared" si="1"/>
        <v>-0.3385012721964123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5438897</v>
      </c>
      <c r="D40" s="258">
        <v>5951620</v>
      </c>
      <c r="E40" s="258">
        <f t="shared" ref="E40:E50" si="4">D40-C40</f>
        <v>512723</v>
      </c>
      <c r="F40" s="259">
        <f t="shared" ref="F40:F50" si="5">IF(C40=0,0,E40/C40)</f>
        <v>9.4269665338394898E-2</v>
      </c>
    </row>
    <row r="41" spans="1:6" ht="20.25" customHeight="1" x14ac:dyDescent="0.3">
      <c r="A41" s="256">
        <v>2</v>
      </c>
      <c r="B41" s="257" t="s">
        <v>442</v>
      </c>
      <c r="C41" s="258">
        <v>2224229</v>
      </c>
      <c r="D41" s="258">
        <v>2537658</v>
      </c>
      <c r="E41" s="258">
        <f t="shared" si="4"/>
        <v>313429</v>
      </c>
      <c r="F41" s="259">
        <f t="shared" si="5"/>
        <v>0.14091579599043083</v>
      </c>
    </row>
    <row r="42" spans="1:6" ht="20.25" customHeight="1" x14ac:dyDescent="0.3">
      <c r="A42" s="256">
        <v>3</v>
      </c>
      <c r="B42" s="257" t="s">
        <v>443</v>
      </c>
      <c r="C42" s="258">
        <v>5297236</v>
      </c>
      <c r="D42" s="258">
        <v>5928739</v>
      </c>
      <c r="E42" s="258">
        <f t="shared" si="4"/>
        <v>631503</v>
      </c>
      <c r="F42" s="259">
        <f t="shared" si="5"/>
        <v>0.11921368049299673</v>
      </c>
    </row>
    <row r="43" spans="1:6" ht="20.25" customHeight="1" x14ac:dyDescent="0.3">
      <c r="A43" s="256">
        <v>4</v>
      </c>
      <c r="B43" s="257" t="s">
        <v>444</v>
      </c>
      <c r="C43" s="258">
        <v>1311699</v>
      </c>
      <c r="D43" s="258">
        <v>1310153</v>
      </c>
      <c r="E43" s="258">
        <f t="shared" si="4"/>
        <v>-1546</v>
      </c>
      <c r="F43" s="259">
        <f t="shared" si="5"/>
        <v>-1.1786240593306848E-3</v>
      </c>
    </row>
    <row r="44" spans="1:6" ht="20.25" customHeight="1" x14ac:dyDescent="0.3">
      <c r="A44" s="256">
        <v>5</v>
      </c>
      <c r="B44" s="257" t="s">
        <v>381</v>
      </c>
      <c r="C44" s="260">
        <v>207</v>
      </c>
      <c r="D44" s="260">
        <v>255</v>
      </c>
      <c r="E44" s="260">
        <f t="shared" si="4"/>
        <v>48</v>
      </c>
      <c r="F44" s="259">
        <f t="shared" si="5"/>
        <v>0.2318840579710145</v>
      </c>
    </row>
    <row r="45" spans="1:6" ht="20.25" customHeight="1" x14ac:dyDescent="0.3">
      <c r="A45" s="256">
        <v>6</v>
      </c>
      <c r="B45" s="257" t="s">
        <v>380</v>
      </c>
      <c r="C45" s="260">
        <v>1108</v>
      </c>
      <c r="D45" s="260">
        <v>1211</v>
      </c>
      <c r="E45" s="260">
        <f t="shared" si="4"/>
        <v>103</v>
      </c>
      <c r="F45" s="259">
        <f t="shared" si="5"/>
        <v>9.2960288808664263E-2</v>
      </c>
    </row>
    <row r="46" spans="1:6" ht="20.25" customHeight="1" x14ac:dyDescent="0.3">
      <c r="A46" s="256">
        <v>7</v>
      </c>
      <c r="B46" s="257" t="s">
        <v>445</v>
      </c>
      <c r="C46" s="260">
        <v>5501</v>
      </c>
      <c r="D46" s="260">
        <v>6412</v>
      </c>
      <c r="E46" s="260">
        <f t="shared" si="4"/>
        <v>911</v>
      </c>
      <c r="F46" s="259">
        <f t="shared" si="5"/>
        <v>0.16560625340847118</v>
      </c>
    </row>
    <row r="47" spans="1:6" ht="20.25" customHeight="1" x14ac:dyDescent="0.3">
      <c r="A47" s="256">
        <v>8</v>
      </c>
      <c r="B47" s="257" t="s">
        <v>446</v>
      </c>
      <c r="C47" s="260">
        <v>317</v>
      </c>
      <c r="D47" s="260">
        <v>384</v>
      </c>
      <c r="E47" s="260">
        <f t="shared" si="4"/>
        <v>67</v>
      </c>
      <c r="F47" s="259">
        <f t="shared" si="5"/>
        <v>0.2113564668769716</v>
      </c>
    </row>
    <row r="48" spans="1:6" ht="20.25" customHeight="1" x14ac:dyDescent="0.3">
      <c r="A48" s="256">
        <v>9</v>
      </c>
      <c r="B48" s="257" t="s">
        <v>447</v>
      </c>
      <c r="C48" s="260">
        <v>99</v>
      </c>
      <c r="D48" s="260">
        <v>146</v>
      </c>
      <c r="E48" s="260">
        <f t="shared" si="4"/>
        <v>47</v>
      </c>
      <c r="F48" s="259">
        <f t="shared" si="5"/>
        <v>0.47474747474747475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10736133</v>
      </c>
      <c r="D49" s="263">
        <f>+D40+D42</f>
        <v>11880359</v>
      </c>
      <c r="E49" s="263">
        <f t="shared" si="4"/>
        <v>1144226</v>
      </c>
      <c r="F49" s="264">
        <f t="shared" si="5"/>
        <v>0.1065771074184718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3535928</v>
      </c>
      <c r="D50" s="263">
        <f>+D41+D43</f>
        <v>3847811</v>
      </c>
      <c r="E50" s="263">
        <f t="shared" si="4"/>
        <v>311883</v>
      </c>
      <c r="F50" s="264">
        <f t="shared" si="5"/>
        <v>8.820400189144123E-2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0</v>
      </c>
      <c r="D66" s="258">
        <v>0</v>
      </c>
      <c r="E66" s="258">
        <f t="shared" ref="E66:E76" si="8">D66-C66</f>
        <v>0</v>
      </c>
      <c r="F66" s="259">
        <f t="shared" ref="F66:F76" si="9">IF(C66=0,0,E66/C66)</f>
        <v>0</v>
      </c>
    </row>
    <row r="67" spans="1:6" ht="20.25" customHeight="1" x14ac:dyDescent="0.3">
      <c r="A67" s="256">
        <v>2</v>
      </c>
      <c r="B67" s="257" t="s">
        <v>442</v>
      </c>
      <c r="C67" s="258">
        <v>0</v>
      </c>
      <c r="D67" s="258">
        <v>0</v>
      </c>
      <c r="E67" s="258">
        <f t="shared" si="8"/>
        <v>0</v>
      </c>
      <c r="F67" s="259">
        <f t="shared" si="9"/>
        <v>0</v>
      </c>
    </row>
    <row r="68" spans="1:6" ht="20.25" customHeight="1" x14ac:dyDescent="0.3">
      <c r="A68" s="256">
        <v>3</v>
      </c>
      <c r="B68" s="257" t="s">
        <v>443</v>
      </c>
      <c r="C68" s="258">
        <v>0</v>
      </c>
      <c r="D68" s="258">
        <v>0</v>
      </c>
      <c r="E68" s="258">
        <f t="shared" si="8"/>
        <v>0</v>
      </c>
      <c r="F68" s="259">
        <f t="shared" si="9"/>
        <v>0</v>
      </c>
    </row>
    <row r="69" spans="1:6" ht="20.25" customHeight="1" x14ac:dyDescent="0.3">
      <c r="A69" s="256">
        <v>4</v>
      </c>
      <c r="B69" s="257" t="s">
        <v>444</v>
      </c>
      <c r="C69" s="258">
        <v>0</v>
      </c>
      <c r="D69" s="258">
        <v>0</v>
      </c>
      <c r="E69" s="258">
        <f t="shared" si="8"/>
        <v>0</v>
      </c>
      <c r="F69" s="259">
        <f t="shared" si="9"/>
        <v>0</v>
      </c>
    </row>
    <row r="70" spans="1:6" ht="20.25" customHeight="1" x14ac:dyDescent="0.3">
      <c r="A70" s="256">
        <v>5</v>
      </c>
      <c r="B70" s="257" t="s">
        <v>381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0</v>
      </c>
      <c r="D71" s="260">
        <v>0</v>
      </c>
      <c r="E71" s="260">
        <f t="shared" si="8"/>
        <v>0</v>
      </c>
      <c r="F71" s="259">
        <f t="shared" si="9"/>
        <v>0</v>
      </c>
    </row>
    <row r="72" spans="1:6" ht="20.25" customHeight="1" x14ac:dyDescent="0.3">
      <c r="A72" s="256">
        <v>7</v>
      </c>
      <c r="B72" s="257" t="s">
        <v>445</v>
      </c>
      <c r="C72" s="260">
        <v>0</v>
      </c>
      <c r="D72" s="260">
        <v>0</v>
      </c>
      <c r="E72" s="260">
        <f t="shared" si="8"/>
        <v>0</v>
      </c>
      <c r="F72" s="259">
        <f t="shared" si="9"/>
        <v>0</v>
      </c>
    </row>
    <row r="73" spans="1:6" ht="20.25" customHeight="1" x14ac:dyDescent="0.3">
      <c r="A73" s="256">
        <v>8</v>
      </c>
      <c r="B73" s="257" t="s">
        <v>446</v>
      </c>
      <c r="C73" s="260">
        <v>0</v>
      </c>
      <c r="D73" s="260">
        <v>0</v>
      </c>
      <c r="E73" s="260">
        <f t="shared" si="8"/>
        <v>0</v>
      </c>
      <c r="F73" s="259">
        <f t="shared" si="9"/>
        <v>0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0</v>
      </c>
      <c r="D75" s="263">
        <f>+D66+D68</f>
        <v>0</v>
      </c>
      <c r="E75" s="263">
        <f t="shared" si="8"/>
        <v>0</v>
      </c>
      <c r="F75" s="264">
        <f t="shared" si="9"/>
        <v>0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0</v>
      </c>
      <c r="D76" s="263">
        <f>+D67+D69</f>
        <v>0</v>
      </c>
      <c r="E76" s="263">
        <f t="shared" si="8"/>
        <v>0</v>
      </c>
      <c r="F76" s="264">
        <f t="shared" si="9"/>
        <v>0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159514</v>
      </c>
      <c r="D79" s="258">
        <v>468537</v>
      </c>
      <c r="E79" s="258">
        <f t="shared" ref="E79:E89" si="10">D79-C79</f>
        <v>309023</v>
      </c>
      <c r="F79" s="259">
        <f t="shared" ref="F79:F89" si="11">IF(C79=0,0,E79/C79)</f>
        <v>1.9372782326316185</v>
      </c>
    </row>
    <row r="80" spans="1:6" ht="20.25" customHeight="1" x14ac:dyDescent="0.3">
      <c r="A80" s="256">
        <v>2</v>
      </c>
      <c r="B80" s="257" t="s">
        <v>442</v>
      </c>
      <c r="C80" s="258">
        <v>65546</v>
      </c>
      <c r="D80" s="258">
        <v>128597</v>
      </c>
      <c r="E80" s="258">
        <f t="shared" si="10"/>
        <v>63051</v>
      </c>
      <c r="F80" s="259">
        <f t="shared" si="11"/>
        <v>0.96193512952735483</v>
      </c>
    </row>
    <row r="81" spans="1:6" ht="20.25" customHeight="1" x14ac:dyDescent="0.3">
      <c r="A81" s="256">
        <v>3</v>
      </c>
      <c r="B81" s="257" t="s">
        <v>443</v>
      </c>
      <c r="C81" s="258">
        <v>189118</v>
      </c>
      <c r="D81" s="258">
        <v>183889</v>
      </c>
      <c r="E81" s="258">
        <f t="shared" si="10"/>
        <v>-5229</v>
      </c>
      <c r="F81" s="259">
        <f t="shared" si="11"/>
        <v>-2.7649404075762222E-2</v>
      </c>
    </row>
    <row r="82" spans="1:6" ht="20.25" customHeight="1" x14ac:dyDescent="0.3">
      <c r="A82" s="256">
        <v>4</v>
      </c>
      <c r="B82" s="257" t="s">
        <v>444</v>
      </c>
      <c r="C82" s="258">
        <v>38951</v>
      </c>
      <c r="D82" s="258">
        <v>31670</v>
      </c>
      <c r="E82" s="258">
        <f t="shared" si="10"/>
        <v>-7281</v>
      </c>
      <c r="F82" s="259">
        <f t="shared" si="11"/>
        <v>-0.1869271648994891</v>
      </c>
    </row>
    <row r="83" spans="1:6" ht="20.25" customHeight="1" x14ac:dyDescent="0.3">
      <c r="A83" s="256">
        <v>5</v>
      </c>
      <c r="B83" s="257" t="s">
        <v>381</v>
      </c>
      <c r="C83" s="260">
        <v>10</v>
      </c>
      <c r="D83" s="260">
        <v>13</v>
      </c>
      <c r="E83" s="260">
        <f t="shared" si="10"/>
        <v>3</v>
      </c>
      <c r="F83" s="259">
        <f t="shared" si="11"/>
        <v>0.3</v>
      </c>
    </row>
    <row r="84" spans="1:6" ht="20.25" customHeight="1" x14ac:dyDescent="0.3">
      <c r="A84" s="256">
        <v>6</v>
      </c>
      <c r="B84" s="257" t="s">
        <v>380</v>
      </c>
      <c r="C84" s="260">
        <v>38</v>
      </c>
      <c r="D84" s="260">
        <v>101</v>
      </c>
      <c r="E84" s="260">
        <f t="shared" si="10"/>
        <v>63</v>
      </c>
      <c r="F84" s="259">
        <f t="shared" si="11"/>
        <v>1.6578947368421053</v>
      </c>
    </row>
    <row r="85" spans="1:6" ht="20.25" customHeight="1" x14ac:dyDescent="0.3">
      <c r="A85" s="256">
        <v>7</v>
      </c>
      <c r="B85" s="257" t="s">
        <v>445</v>
      </c>
      <c r="C85" s="260">
        <v>54</v>
      </c>
      <c r="D85" s="260">
        <v>76</v>
      </c>
      <c r="E85" s="260">
        <f t="shared" si="10"/>
        <v>22</v>
      </c>
      <c r="F85" s="259">
        <f t="shared" si="11"/>
        <v>0.40740740740740738</v>
      </c>
    </row>
    <row r="86" spans="1:6" ht="20.25" customHeight="1" x14ac:dyDescent="0.3">
      <c r="A86" s="256">
        <v>8</v>
      </c>
      <c r="B86" s="257" t="s">
        <v>446</v>
      </c>
      <c r="C86" s="260">
        <v>33</v>
      </c>
      <c r="D86" s="260">
        <v>59</v>
      </c>
      <c r="E86" s="260">
        <f t="shared" si="10"/>
        <v>26</v>
      </c>
      <c r="F86" s="259">
        <f t="shared" si="11"/>
        <v>0.78787878787878785</v>
      </c>
    </row>
    <row r="87" spans="1:6" ht="20.25" customHeight="1" x14ac:dyDescent="0.3">
      <c r="A87" s="256">
        <v>9</v>
      </c>
      <c r="B87" s="257" t="s">
        <v>447</v>
      </c>
      <c r="C87" s="260">
        <v>6</v>
      </c>
      <c r="D87" s="260">
        <v>8</v>
      </c>
      <c r="E87" s="260">
        <f t="shared" si="10"/>
        <v>2</v>
      </c>
      <c r="F87" s="259">
        <f t="shared" si="11"/>
        <v>0.33333333333333331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348632</v>
      </c>
      <c r="D88" s="263">
        <f>+D79+D81</f>
        <v>652426</v>
      </c>
      <c r="E88" s="263">
        <f t="shared" si="10"/>
        <v>303794</v>
      </c>
      <c r="F88" s="264">
        <f t="shared" si="11"/>
        <v>0.87138874228412766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104497</v>
      </c>
      <c r="D89" s="263">
        <f>+D80+D82</f>
        <v>160267</v>
      </c>
      <c r="E89" s="263">
        <f t="shared" si="10"/>
        <v>55770</v>
      </c>
      <c r="F89" s="264">
        <f t="shared" si="11"/>
        <v>0.53369953204398213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12123923</v>
      </c>
      <c r="D92" s="258">
        <v>12288848</v>
      </c>
      <c r="E92" s="258">
        <f t="shared" ref="E92:E102" si="12">D92-C92</f>
        <v>164925</v>
      </c>
      <c r="F92" s="259">
        <f t="shared" ref="F92:F102" si="13">IF(C92=0,0,E92/C92)</f>
        <v>1.3603270162636303E-2</v>
      </c>
    </row>
    <row r="93" spans="1:6" ht="20.25" customHeight="1" x14ac:dyDescent="0.3">
      <c r="A93" s="256">
        <v>2</v>
      </c>
      <c r="B93" s="257" t="s">
        <v>442</v>
      </c>
      <c r="C93" s="258">
        <v>4794636</v>
      </c>
      <c r="D93" s="258">
        <v>4842451</v>
      </c>
      <c r="E93" s="258">
        <f t="shared" si="12"/>
        <v>47815</v>
      </c>
      <c r="F93" s="259">
        <f t="shared" si="13"/>
        <v>9.9726027168694342E-3</v>
      </c>
    </row>
    <row r="94" spans="1:6" ht="20.25" customHeight="1" x14ac:dyDescent="0.3">
      <c r="A94" s="256">
        <v>3</v>
      </c>
      <c r="B94" s="257" t="s">
        <v>443</v>
      </c>
      <c r="C94" s="258">
        <v>10732980</v>
      </c>
      <c r="D94" s="258">
        <v>13977102</v>
      </c>
      <c r="E94" s="258">
        <f t="shared" si="12"/>
        <v>3244122</v>
      </c>
      <c r="F94" s="259">
        <f t="shared" si="13"/>
        <v>0.30225734139074145</v>
      </c>
    </row>
    <row r="95" spans="1:6" ht="20.25" customHeight="1" x14ac:dyDescent="0.3">
      <c r="A95" s="256">
        <v>4</v>
      </c>
      <c r="B95" s="257" t="s">
        <v>444</v>
      </c>
      <c r="C95" s="258">
        <v>2675049</v>
      </c>
      <c r="D95" s="258">
        <v>3095014</v>
      </c>
      <c r="E95" s="258">
        <f t="shared" si="12"/>
        <v>419965</v>
      </c>
      <c r="F95" s="259">
        <f t="shared" si="13"/>
        <v>0.15699338591554771</v>
      </c>
    </row>
    <row r="96" spans="1:6" ht="20.25" customHeight="1" x14ac:dyDescent="0.3">
      <c r="A96" s="256">
        <v>5</v>
      </c>
      <c r="B96" s="257" t="s">
        <v>381</v>
      </c>
      <c r="C96" s="260">
        <v>471</v>
      </c>
      <c r="D96" s="260">
        <v>495</v>
      </c>
      <c r="E96" s="260">
        <f t="shared" si="12"/>
        <v>24</v>
      </c>
      <c r="F96" s="259">
        <f t="shared" si="13"/>
        <v>5.0955414012738856E-2</v>
      </c>
    </row>
    <row r="97" spans="1:6" ht="20.25" customHeight="1" x14ac:dyDescent="0.3">
      <c r="A97" s="256">
        <v>6</v>
      </c>
      <c r="B97" s="257" t="s">
        <v>380</v>
      </c>
      <c r="C97" s="260">
        <v>2775</v>
      </c>
      <c r="D97" s="260">
        <v>2525</v>
      </c>
      <c r="E97" s="260">
        <f t="shared" si="12"/>
        <v>-250</v>
      </c>
      <c r="F97" s="259">
        <f t="shared" si="13"/>
        <v>-9.0090090090090086E-2</v>
      </c>
    </row>
    <row r="98" spans="1:6" ht="20.25" customHeight="1" x14ac:dyDescent="0.3">
      <c r="A98" s="256">
        <v>7</v>
      </c>
      <c r="B98" s="257" t="s">
        <v>445</v>
      </c>
      <c r="C98" s="260">
        <v>10556</v>
      </c>
      <c r="D98" s="260">
        <v>12692</v>
      </c>
      <c r="E98" s="260">
        <f t="shared" si="12"/>
        <v>2136</v>
      </c>
      <c r="F98" s="259">
        <f t="shared" si="13"/>
        <v>0.20234937476316786</v>
      </c>
    </row>
    <row r="99" spans="1:6" ht="20.25" customHeight="1" x14ac:dyDescent="0.3">
      <c r="A99" s="256">
        <v>8</v>
      </c>
      <c r="B99" s="257" t="s">
        <v>446</v>
      </c>
      <c r="C99" s="260">
        <v>852</v>
      </c>
      <c r="D99" s="260">
        <v>984</v>
      </c>
      <c r="E99" s="260">
        <f t="shared" si="12"/>
        <v>132</v>
      </c>
      <c r="F99" s="259">
        <f t="shared" si="13"/>
        <v>0.15492957746478872</v>
      </c>
    </row>
    <row r="100" spans="1:6" ht="20.25" customHeight="1" x14ac:dyDescent="0.3">
      <c r="A100" s="256">
        <v>9</v>
      </c>
      <c r="B100" s="257" t="s">
        <v>447</v>
      </c>
      <c r="C100" s="260">
        <v>267</v>
      </c>
      <c r="D100" s="260">
        <v>310</v>
      </c>
      <c r="E100" s="260">
        <f t="shared" si="12"/>
        <v>43</v>
      </c>
      <c r="F100" s="259">
        <f t="shared" si="13"/>
        <v>0.16104868913857678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22856903</v>
      </c>
      <c r="D101" s="263">
        <f>+D92+D94</f>
        <v>26265950</v>
      </c>
      <c r="E101" s="263">
        <f t="shared" si="12"/>
        <v>3409047</v>
      </c>
      <c r="F101" s="264">
        <f t="shared" si="13"/>
        <v>0.14914737136522827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7469685</v>
      </c>
      <c r="D102" s="263">
        <f>+D93+D95</f>
        <v>7937465</v>
      </c>
      <c r="E102" s="263">
        <f t="shared" si="12"/>
        <v>467780</v>
      </c>
      <c r="F102" s="264">
        <f t="shared" si="13"/>
        <v>6.2623792034068371E-2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384224</v>
      </c>
      <c r="D118" s="258">
        <v>814175</v>
      </c>
      <c r="E118" s="258">
        <f t="shared" ref="E118:E128" si="16">D118-C118</f>
        <v>429951</v>
      </c>
      <c r="F118" s="259">
        <f t="shared" ref="F118:F128" si="17">IF(C118=0,0,E118/C118)</f>
        <v>1.1190113059048887</v>
      </c>
    </row>
    <row r="119" spans="1:6" ht="20.25" customHeight="1" x14ac:dyDescent="0.3">
      <c r="A119" s="256">
        <v>2</v>
      </c>
      <c r="B119" s="257" t="s">
        <v>442</v>
      </c>
      <c r="C119" s="258">
        <v>144492</v>
      </c>
      <c r="D119" s="258">
        <v>313350</v>
      </c>
      <c r="E119" s="258">
        <f t="shared" si="16"/>
        <v>168858</v>
      </c>
      <c r="F119" s="259">
        <f t="shared" si="17"/>
        <v>1.1686321734075242</v>
      </c>
    </row>
    <row r="120" spans="1:6" ht="20.25" customHeight="1" x14ac:dyDescent="0.3">
      <c r="A120" s="256">
        <v>3</v>
      </c>
      <c r="B120" s="257" t="s">
        <v>443</v>
      </c>
      <c r="C120" s="258">
        <v>186147</v>
      </c>
      <c r="D120" s="258">
        <v>674936</v>
      </c>
      <c r="E120" s="258">
        <f t="shared" si="16"/>
        <v>488789</v>
      </c>
      <c r="F120" s="259">
        <f t="shared" si="17"/>
        <v>2.6258226025667888</v>
      </c>
    </row>
    <row r="121" spans="1:6" ht="20.25" customHeight="1" x14ac:dyDescent="0.3">
      <c r="A121" s="256">
        <v>4</v>
      </c>
      <c r="B121" s="257" t="s">
        <v>444</v>
      </c>
      <c r="C121" s="258">
        <v>51295</v>
      </c>
      <c r="D121" s="258">
        <v>159696</v>
      </c>
      <c r="E121" s="258">
        <f t="shared" si="16"/>
        <v>108401</v>
      </c>
      <c r="F121" s="259">
        <f t="shared" si="17"/>
        <v>2.1132858953114337</v>
      </c>
    </row>
    <row r="122" spans="1:6" ht="20.25" customHeight="1" x14ac:dyDescent="0.3">
      <c r="A122" s="256">
        <v>5</v>
      </c>
      <c r="B122" s="257" t="s">
        <v>381</v>
      </c>
      <c r="C122" s="260">
        <v>15</v>
      </c>
      <c r="D122" s="260">
        <v>30</v>
      </c>
      <c r="E122" s="260">
        <f t="shared" si="16"/>
        <v>15</v>
      </c>
      <c r="F122" s="259">
        <f t="shared" si="17"/>
        <v>1</v>
      </c>
    </row>
    <row r="123" spans="1:6" ht="20.25" customHeight="1" x14ac:dyDescent="0.3">
      <c r="A123" s="256">
        <v>6</v>
      </c>
      <c r="B123" s="257" t="s">
        <v>380</v>
      </c>
      <c r="C123" s="260">
        <v>87</v>
      </c>
      <c r="D123" s="260">
        <v>187</v>
      </c>
      <c r="E123" s="260">
        <f t="shared" si="16"/>
        <v>100</v>
      </c>
      <c r="F123" s="259">
        <f t="shared" si="17"/>
        <v>1.1494252873563218</v>
      </c>
    </row>
    <row r="124" spans="1:6" ht="20.25" customHeight="1" x14ac:dyDescent="0.3">
      <c r="A124" s="256">
        <v>7</v>
      </c>
      <c r="B124" s="257" t="s">
        <v>445</v>
      </c>
      <c r="C124" s="260">
        <v>242</v>
      </c>
      <c r="D124" s="260">
        <v>612</v>
      </c>
      <c r="E124" s="260">
        <f t="shared" si="16"/>
        <v>370</v>
      </c>
      <c r="F124" s="259">
        <f t="shared" si="17"/>
        <v>1.5289256198347108</v>
      </c>
    </row>
    <row r="125" spans="1:6" ht="20.25" customHeight="1" x14ac:dyDescent="0.3">
      <c r="A125" s="256">
        <v>8</v>
      </c>
      <c r="B125" s="257" t="s">
        <v>446</v>
      </c>
      <c r="C125" s="260">
        <v>23</v>
      </c>
      <c r="D125" s="260">
        <v>76</v>
      </c>
      <c r="E125" s="260">
        <f t="shared" si="16"/>
        <v>53</v>
      </c>
      <c r="F125" s="259">
        <f t="shared" si="17"/>
        <v>2.3043478260869565</v>
      </c>
    </row>
    <row r="126" spans="1:6" ht="20.25" customHeight="1" x14ac:dyDescent="0.3">
      <c r="A126" s="256">
        <v>9</v>
      </c>
      <c r="B126" s="257" t="s">
        <v>447</v>
      </c>
      <c r="C126" s="260">
        <v>11</v>
      </c>
      <c r="D126" s="260">
        <v>23</v>
      </c>
      <c r="E126" s="260">
        <f t="shared" si="16"/>
        <v>12</v>
      </c>
      <c r="F126" s="259">
        <f t="shared" si="17"/>
        <v>1.0909090909090908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570371</v>
      </c>
      <c r="D127" s="263">
        <f>+D118+D120</f>
        <v>1489111</v>
      </c>
      <c r="E127" s="263">
        <f t="shared" si="16"/>
        <v>918740</v>
      </c>
      <c r="F127" s="264">
        <f t="shared" si="17"/>
        <v>1.6107761439484125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195787</v>
      </c>
      <c r="D128" s="263">
        <f>+D119+D121</f>
        <v>473046</v>
      </c>
      <c r="E128" s="263">
        <f t="shared" si="16"/>
        <v>277259</v>
      </c>
      <c r="F128" s="264">
        <f t="shared" si="17"/>
        <v>1.4161256876094941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74890</v>
      </c>
      <c r="D131" s="258">
        <v>116453</v>
      </c>
      <c r="E131" s="258">
        <f t="shared" ref="E131:E141" si="18">D131-C131</f>
        <v>41563</v>
      </c>
      <c r="F131" s="259">
        <f t="shared" ref="F131:F141" si="19">IF(C131=0,0,E131/C131)</f>
        <v>0.55498731472826812</v>
      </c>
    </row>
    <row r="132" spans="1:6" ht="20.25" customHeight="1" x14ac:dyDescent="0.3">
      <c r="A132" s="256">
        <v>2</v>
      </c>
      <c r="B132" s="257" t="s">
        <v>442</v>
      </c>
      <c r="C132" s="258">
        <v>37786</v>
      </c>
      <c r="D132" s="258">
        <v>36224</v>
      </c>
      <c r="E132" s="258">
        <f t="shared" si="18"/>
        <v>-1562</v>
      </c>
      <c r="F132" s="259">
        <f t="shared" si="19"/>
        <v>-4.1338061715979466E-2</v>
      </c>
    </row>
    <row r="133" spans="1:6" ht="20.25" customHeight="1" x14ac:dyDescent="0.3">
      <c r="A133" s="256">
        <v>3</v>
      </c>
      <c r="B133" s="257" t="s">
        <v>443</v>
      </c>
      <c r="C133" s="258">
        <v>83879</v>
      </c>
      <c r="D133" s="258">
        <v>105003</v>
      </c>
      <c r="E133" s="258">
        <f t="shared" si="18"/>
        <v>21124</v>
      </c>
      <c r="F133" s="259">
        <f t="shared" si="19"/>
        <v>0.25183895849974369</v>
      </c>
    </row>
    <row r="134" spans="1:6" ht="20.25" customHeight="1" x14ac:dyDescent="0.3">
      <c r="A134" s="256">
        <v>4</v>
      </c>
      <c r="B134" s="257" t="s">
        <v>444</v>
      </c>
      <c r="C134" s="258">
        <v>19866</v>
      </c>
      <c r="D134" s="258">
        <v>16961</v>
      </c>
      <c r="E134" s="258">
        <f t="shared" si="18"/>
        <v>-2905</v>
      </c>
      <c r="F134" s="259">
        <f t="shared" si="19"/>
        <v>-0.14622973925299507</v>
      </c>
    </row>
    <row r="135" spans="1:6" ht="20.25" customHeight="1" x14ac:dyDescent="0.3">
      <c r="A135" s="256">
        <v>5</v>
      </c>
      <c r="B135" s="257" t="s">
        <v>381</v>
      </c>
      <c r="C135" s="260">
        <v>4</v>
      </c>
      <c r="D135" s="260">
        <v>5</v>
      </c>
      <c r="E135" s="260">
        <f t="shared" si="18"/>
        <v>1</v>
      </c>
      <c r="F135" s="259">
        <f t="shared" si="19"/>
        <v>0.25</v>
      </c>
    </row>
    <row r="136" spans="1:6" ht="20.25" customHeight="1" x14ac:dyDescent="0.3">
      <c r="A136" s="256">
        <v>6</v>
      </c>
      <c r="B136" s="257" t="s">
        <v>380</v>
      </c>
      <c r="C136" s="260">
        <v>19</v>
      </c>
      <c r="D136" s="260">
        <v>14</v>
      </c>
      <c r="E136" s="260">
        <f t="shared" si="18"/>
        <v>-5</v>
      </c>
      <c r="F136" s="259">
        <f t="shared" si="19"/>
        <v>-0.26315789473684209</v>
      </c>
    </row>
    <row r="137" spans="1:6" ht="20.25" customHeight="1" x14ac:dyDescent="0.3">
      <c r="A137" s="256">
        <v>7</v>
      </c>
      <c r="B137" s="257" t="s">
        <v>445</v>
      </c>
      <c r="C137" s="260">
        <v>49</v>
      </c>
      <c r="D137" s="260">
        <v>29</v>
      </c>
      <c r="E137" s="260">
        <f t="shared" si="18"/>
        <v>-20</v>
      </c>
      <c r="F137" s="259">
        <f t="shared" si="19"/>
        <v>-0.40816326530612246</v>
      </c>
    </row>
    <row r="138" spans="1:6" ht="20.25" customHeight="1" x14ac:dyDescent="0.3">
      <c r="A138" s="256">
        <v>8</v>
      </c>
      <c r="B138" s="257" t="s">
        <v>446</v>
      </c>
      <c r="C138" s="260">
        <v>16</v>
      </c>
      <c r="D138" s="260">
        <v>27</v>
      </c>
      <c r="E138" s="260">
        <f t="shared" si="18"/>
        <v>11</v>
      </c>
      <c r="F138" s="259">
        <f t="shared" si="19"/>
        <v>0.6875</v>
      </c>
    </row>
    <row r="139" spans="1:6" ht="20.25" customHeight="1" x14ac:dyDescent="0.3">
      <c r="A139" s="256">
        <v>9</v>
      </c>
      <c r="B139" s="257" t="s">
        <v>447</v>
      </c>
      <c r="C139" s="260">
        <v>2</v>
      </c>
      <c r="D139" s="260">
        <v>4</v>
      </c>
      <c r="E139" s="260">
        <f t="shared" si="18"/>
        <v>2</v>
      </c>
      <c r="F139" s="259">
        <f t="shared" si="19"/>
        <v>1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158769</v>
      </c>
      <c r="D140" s="263">
        <f>+D131+D133</f>
        <v>221456</v>
      </c>
      <c r="E140" s="263">
        <f t="shared" si="18"/>
        <v>62687</v>
      </c>
      <c r="F140" s="264">
        <f t="shared" si="19"/>
        <v>0.39483148473568519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57652</v>
      </c>
      <c r="D141" s="263">
        <f>+D132+D134</f>
        <v>53185</v>
      </c>
      <c r="E141" s="263">
        <f t="shared" si="18"/>
        <v>-4467</v>
      </c>
      <c r="F141" s="264">
        <f t="shared" si="19"/>
        <v>-7.7482134184416851E-2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256864</v>
      </c>
      <c r="D144" s="258">
        <v>157821</v>
      </c>
      <c r="E144" s="258">
        <f t="shared" ref="E144:E154" si="20">D144-C144</f>
        <v>-99043</v>
      </c>
      <c r="F144" s="259">
        <f t="shared" ref="F144:F154" si="21">IF(C144=0,0,E144/C144)</f>
        <v>-0.38558536813255262</v>
      </c>
    </row>
    <row r="145" spans="1:6" ht="20.25" customHeight="1" x14ac:dyDescent="0.3">
      <c r="A145" s="256">
        <v>2</v>
      </c>
      <c r="B145" s="257" t="s">
        <v>442</v>
      </c>
      <c r="C145" s="258">
        <v>127183</v>
      </c>
      <c r="D145" s="258">
        <v>64588</v>
      </c>
      <c r="E145" s="258">
        <f t="shared" si="20"/>
        <v>-62595</v>
      </c>
      <c r="F145" s="259">
        <f t="shared" si="21"/>
        <v>-0.49216483335036915</v>
      </c>
    </row>
    <row r="146" spans="1:6" ht="20.25" customHeight="1" x14ac:dyDescent="0.3">
      <c r="A146" s="256">
        <v>3</v>
      </c>
      <c r="B146" s="257" t="s">
        <v>443</v>
      </c>
      <c r="C146" s="258">
        <v>238295</v>
      </c>
      <c r="D146" s="258">
        <v>213335</v>
      </c>
      <c r="E146" s="258">
        <f t="shared" si="20"/>
        <v>-24960</v>
      </c>
      <c r="F146" s="259">
        <f t="shared" si="21"/>
        <v>-0.10474411968358548</v>
      </c>
    </row>
    <row r="147" spans="1:6" ht="20.25" customHeight="1" x14ac:dyDescent="0.3">
      <c r="A147" s="256">
        <v>4</v>
      </c>
      <c r="B147" s="257" t="s">
        <v>444</v>
      </c>
      <c r="C147" s="258">
        <v>65391</v>
      </c>
      <c r="D147" s="258">
        <v>45746</v>
      </c>
      <c r="E147" s="258">
        <f t="shared" si="20"/>
        <v>-19645</v>
      </c>
      <c r="F147" s="259">
        <f t="shared" si="21"/>
        <v>-0.30042360569497334</v>
      </c>
    </row>
    <row r="148" spans="1:6" ht="20.25" customHeight="1" x14ac:dyDescent="0.3">
      <c r="A148" s="256">
        <v>5</v>
      </c>
      <c r="B148" s="257" t="s">
        <v>381</v>
      </c>
      <c r="C148" s="260">
        <v>13</v>
      </c>
      <c r="D148" s="260">
        <v>7</v>
      </c>
      <c r="E148" s="260">
        <f t="shared" si="20"/>
        <v>-6</v>
      </c>
      <c r="F148" s="259">
        <f t="shared" si="21"/>
        <v>-0.46153846153846156</v>
      </c>
    </row>
    <row r="149" spans="1:6" ht="20.25" customHeight="1" x14ac:dyDescent="0.3">
      <c r="A149" s="256">
        <v>6</v>
      </c>
      <c r="B149" s="257" t="s">
        <v>380</v>
      </c>
      <c r="C149" s="260">
        <v>54</v>
      </c>
      <c r="D149" s="260">
        <v>32</v>
      </c>
      <c r="E149" s="260">
        <f t="shared" si="20"/>
        <v>-22</v>
      </c>
      <c r="F149" s="259">
        <f t="shared" si="21"/>
        <v>-0.40740740740740738</v>
      </c>
    </row>
    <row r="150" spans="1:6" ht="20.25" customHeight="1" x14ac:dyDescent="0.3">
      <c r="A150" s="256">
        <v>7</v>
      </c>
      <c r="B150" s="257" t="s">
        <v>445</v>
      </c>
      <c r="C150" s="260">
        <v>297</v>
      </c>
      <c r="D150" s="260">
        <v>160</v>
      </c>
      <c r="E150" s="260">
        <f t="shared" si="20"/>
        <v>-137</v>
      </c>
      <c r="F150" s="259">
        <f t="shared" si="21"/>
        <v>-0.46127946127946129</v>
      </c>
    </row>
    <row r="151" spans="1:6" ht="20.25" customHeight="1" x14ac:dyDescent="0.3">
      <c r="A151" s="256">
        <v>8</v>
      </c>
      <c r="B151" s="257" t="s">
        <v>446</v>
      </c>
      <c r="C151" s="260">
        <v>14</v>
      </c>
      <c r="D151" s="260">
        <v>28</v>
      </c>
      <c r="E151" s="260">
        <f t="shared" si="20"/>
        <v>14</v>
      </c>
      <c r="F151" s="259">
        <f t="shared" si="21"/>
        <v>1</v>
      </c>
    </row>
    <row r="152" spans="1:6" ht="20.25" customHeight="1" x14ac:dyDescent="0.3">
      <c r="A152" s="256">
        <v>9</v>
      </c>
      <c r="B152" s="257" t="s">
        <v>447</v>
      </c>
      <c r="C152" s="260">
        <v>8</v>
      </c>
      <c r="D152" s="260">
        <v>5</v>
      </c>
      <c r="E152" s="260">
        <f t="shared" si="20"/>
        <v>-3</v>
      </c>
      <c r="F152" s="259">
        <f t="shared" si="21"/>
        <v>-0.375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495159</v>
      </c>
      <c r="D153" s="263">
        <f>+D144+D146</f>
        <v>371156</v>
      </c>
      <c r="E153" s="263">
        <f t="shared" si="20"/>
        <v>-124003</v>
      </c>
      <c r="F153" s="264">
        <f t="shared" si="21"/>
        <v>-0.25043066974446593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192574</v>
      </c>
      <c r="D154" s="263">
        <f>+D145+D147</f>
        <v>110334</v>
      </c>
      <c r="E154" s="263">
        <f t="shared" si="20"/>
        <v>-82240</v>
      </c>
      <c r="F154" s="264">
        <f t="shared" si="21"/>
        <v>-0.42705661200369727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19510364</v>
      </c>
      <c r="D198" s="263">
        <f t="shared" si="28"/>
        <v>20626661</v>
      </c>
      <c r="E198" s="263">
        <f t="shared" ref="E198:E208" si="29">D198-C198</f>
        <v>1116297</v>
      </c>
      <c r="F198" s="273">
        <f t="shared" ref="F198:F208" si="30">IF(C198=0,0,E198/C198)</f>
        <v>5.7215590647104277E-2</v>
      </c>
    </row>
    <row r="199" spans="1:9" ht="20.25" customHeight="1" x14ac:dyDescent="0.3">
      <c r="A199" s="271"/>
      <c r="B199" s="272" t="s">
        <v>466</v>
      </c>
      <c r="C199" s="263">
        <f t="shared" si="28"/>
        <v>7828593</v>
      </c>
      <c r="D199" s="263">
        <f t="shared" si="28"/>
        <v>8256110</v>
      </c>
      <c r="E199" s="263">
        <f t="shared" si="29"/>
        <v>427517</v>
      </c>
      <c r="F199" s="273">
        <f t="shared" si="30"/>
        <v>5.4609685290830677E-2</v>
      </c>
    </row>
    <row r="200" spans="1:9" ht="20.25" customHeight="1" x14ac:dyDescent="0.3">
      <c r="A200" s="271"/>
      <c r="B200" s="272" t="s">
        <v>467</v>
      </c>
      <c r="C200" s="263">
        <f t="shared" si="28"/>
        <v>17762804</v>
      </c>
      <c r="D200" s="263">
        <f t="shared" si="28"/>
        <v>21803873</v>
      </c>
      <c r="E200" s="263">
        <f t="shared" si="29"/>
        <v>4041069</v>
      </c>
      <c r="F200" s="273">
        <f t="shared" si="30"/>
        <v>0.22750175028672276</v>
      </c>
    </row>
    <row r="201" spans="1:9" ht="20.25" customHeight="1" x14ac:dyDescent="0.3">
      <c r="A201" s="271"/>
      <c r="B201" s="272" t="s">
        <v>468</v>
      </c>
      <c r="C201" s="263">
        <f t="shared" si="28"/>
        <v>4510821</v>
      </c>
      <c r="D201" s="263">
        <f t="shared" si="28"/>
        <v>4844144</v>
      </c>
      <c r="E201" s="263">
        <f t="shared" si="29"/>
        <v>333323</v>
      </c>
      <c r="F201" s="273">
        <f t="shared" si="30"/>
        <v>7.3894087129593486E-2</v>
      </c>
    </row>
    <row r="202" spans="1:9" ht="20.25" customHeight="1" x14ac:dyDescent="0.3">
      <c r="A202" s="271"/>
      <c r="B202" s="272" t="s">
        <v>138</v>
      </c>
      <c r="C202" s="274">
        <f t="shared" si="28"/>
        <v>763</v>
      </c>
      <c r="D202" s="274">
        <f t="shared" si="28"/>
        <v>844</v>
      </c>
      <c r="E202" s="274">
        <f t="shared" si="29"/>
        <v>81</v>
      </c>
      <c r="F202" s="273">
        <f t="shared" si="30"/>
        <v>0.10615989515072084</v>
      </c>
    </row>
    <row r="203" spans="1:9" ht="20.25" customHeight="1" x14ac:dyDescent="0.3">
      <c r="A203" s="271"/>
      <c r="B203" s="272" t="s">
        <v>140</v>
      </c>
      <c r="C203" s="274">
        <f t="shared" si="28"/>
        <v>4318</v>
      </c>
      <c r="D203" s="274">
        <f t="shared" si="28"/>
        <v>4245</v>
      </c>
      <c r="E203" s="274">
        <f t="shared" si="29"/>
        <v>-73</v>
      </c>
      <c r="F203" s="273">
        <f t="shared" si="30"/>
        <v>-1.6905974988420565E-2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17570</v>
      </c>
      <c r="D204" s="274">
        <f t="shared" si="28"/>
        <v>20545</v>
      </c>
      <c r="E204" s="274">
        <f t="shared" si="29"/>
        <v>2975</v>
      </c>
      <c r="F204" s="273">
        <f t="shared" si="30"/>
        <v>0.1693227091633466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1331</v>
      </c>
      <c r="D205" s="274">
        <f t="shared" si="28"/>
        <v>1628</v>
      </c>
      <c r="E205" s="274">
        <f t="shared" si="29"/>
        <v>297</v>
      </c>
      <c r="F205" s="273">
        <f t="shared" si="30"/>
        <v>0.2231404958677686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416</v>
      </c>
      <c r="D206" s="274">
        <f t="shared" si="28"/>
        <v>518</v>
      </c>
      <c r="E206" s="274">
        <f t="shared" si="29"/>
        <v>102</v>
      </c>
      <c r="F206" s="273">
        <f t="shared" si="30"/>
        <v>0.24519230769230768</v>
      </c>
    </row>
    <row r="207" spans="1:9" ht="20.25" customHeight="1" x14ac:dyDescent="0.3">
      <c r="A207" s="271"/>
      <c r="B207" s="262" t="s">
        <v>471</v>
      </c>
      <c r="C207" s="263">
        <f>+C198+C200</f>
        <v>37273168</v>
      </c>
      <c r="D207" s="263">
        <f>+D198+D200</f>
        <v>42430534</v>
      </c>
      <c r="E207" s="263">
        <f t="shared" si="29"/>
        <v>5157366</v>
      </c>
      <c r="F207" s="273">
        <f t="shared" si="30"/>
        <v>0.13836671999546699</v>
      </c>
    </row>
    <row r="208" spans="1:9" ht="20.25" customHeight="1" x14ac:dyDescent="0.3">
      <c r="A208" s="271"/>
      <c r="B208" s="262" t="s">
        <v>472</v>
      </c>
      <c r="C208" s="263">
        <f>+C199+C201</f>
        <v>12339414</v>
      </c>
      <c r="D208" s="263">
        <f>+D199+D201</f>
        <v>13100254</v>
      </c>
      <c r="E208" s="263">
        <f t="shared" si="29"/>
        <v>760840</v>
      </c>
      <c r="F208" s="273">
        <f t="shared" si="30"/>
        <v>6.1659330013564662E-2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/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2619296</v>
      </c>
      <c r="D26" s="258">
        <v>0</v>
      </c>
      <c r="E26" s="258">
        <f t="shared" ref="E26:E36" si="2">D26-C26</f>
        <v>-2619296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769980</v>
      </c>
      <c r="D27" s="258">
        <v>0</v>
      </c>
      <c r="E27" s="258">
        <f t="shared" si="2"/>
        <v>-769980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6106090</v>
      </c>
      <c r="D28" s="258">
        <v>0</v>
      </c>
      <c r="E28" s="258">
        <f t="shared" si="2"/>
        <v>-6106090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1869376</v>
      </c>
      <c r="D29" s="258">
        <v>0</v>
      </c>
      <c r="E29" s="258">
        <f t="shared" si="2"/>
        <v>-1869376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177</v>
      </c>
      <c r="D30" s="260">
        <v>0</v>
      </c>
      <c r="E30" s="260">
        <f t="shared" si="2"/>
        <v>-177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654</v>
      </c>
      <c r="D31" s="260">
        <v>0</v>
      </c>
      <c r="E31" s="260">
        <f t="shared" si="2"/>
        <v>-654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1410</v>
      </c>
      <c r="D32" s="260">
        <v>0</v>
      </c>
      <c r="E32" s="260">
        <f t="shared" si="2"/>
        <v>-1410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2585</v>
      </c>
      <c r="D33" s="260">
        <v>0</v>
      </c>
      <c r="E33" s="260">
        <f t="shared" si="2"/>
        <v>-2585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29</v>
      </c>
      <c r="D34" s="260">
        <v>0</v>
      </c>
      <c r="E34" s="260">
        <f t="shared" si="2"/>
        <v>-29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8725386</v>
      </c>
      <c r="D35" s="263">
        <f>+D26+D28</f>
        <v>0</v>
      </c>
      <c r="E35" s="263">
        <f t="shared" si="2"/>
        <v>-8725386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2639356</v>
      </c>
      <c r="D36" s="263">
        <f>+D27+D29</f>
        <v>0</v>
      </c>
      <c r="E36" s="263">
        <f t="shared" si="2"/>
        <v>-2639356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569834</v>
      </c>
      <c r="D86" s="258">
        <v>0</v>
      </c>
      <c r="E86" s="258">
        <f t="shared" ref="E86:E96" si="12">D86-C86</f>
        <v>-569834</v>
      </c>
      <c r="F86" s="259">
        <f t="shared" ref="F86:F96" si="13">IF(C86=0,0,E86/C86)</f>
        <v>-1</v>
      </c>
    </row>
    <row r="87" spans="1:6" ht="20.25" customHeight="1" x14ac:dyDescent="0.3">
      <c r="A87" s="256">
        <v>2</v>
      </c>
      <c r="B87" s="257" t="s">
        <v>442</v>
      </c>
      <c r="C87" s="258">
        <v>119088</v>
      </c>
      <c r="D87" s="258">
        <v>0</v>
      </c>
      <c r="E87" s="258">
        <f t="shared" si="12"/>
        <v>-119088</v>
      </c>
      <c r="F87" s="259">
        <f t="shared" si="13"/>
        <v>-1</v>
      </c>
    </row>
    <row r="88" spans="1:6" ht="20.25" customHeight="1" x14ac:dyDescent="0.3">
      <c r="A88" s="256">
        <v>3</v>
      </c>
      <c r="B88" s="257" t="s">
        <v>443</v>
      </c>
      <c r="C88" s="258">
        <v>844635</v>
      </c>
      <c r="D88" s="258">
        <v>0</v>
      </c>
      <c r="E88" s="258">
        <f t="shared" si="12"/>
        <v>-844635</v>
      </c>
      <c r="F88" s="259">
        <f t="shared" si="13"/>
        <v>-1</v>
      </c>
    </row>
    <row r="89" spans="1:6" ht="20.25" customHeight="1" x14ac:dyDescent="0.3">
      <c r="A89" s="256">
        <v>4</v>
      </c>
      <c r="B89" s="257" t="s">
        <v>444</v>
      </c>
      <c r="C89" s="258">
        <v>254860</v>
      </c>
      <c r="D89" s="258">
        <v>0</v>
      </c>
      <c r="E89" s="258">
        <f t="shared" si="12"/>
        <v>-254860</v>
      </c>
      <c r="F89" s="259">
        <f t="shared" si="13"/>
        <v>-1</v>
      </c>
    </row>
    <row r="90" spans="1:6" ht="20.25" customHeight="1" x14ac:dyDescent="0.3">
      <c r="A90" s="256">
        <v>5</v>
      </c>
      <c r="B90" s="257" t="s">
        <v>381</v>
      </c>
      <c r="C90" s="260">
        <v>39</v>
      </c>
      <c r="D90" s="260">
        <v>0</v>
      </c>
      <c r="E90" s="260">
        <f t="shared" si="12"/>
        <v>-39</v>
      </c>
      <c r="F90" s="259">
        <f t="shared" si="13"/>
        <v>-1</v>
      </c>
    </row>
    <row r="91" spans="1:6" ht="20.25" customHeight="1" x14ac:dyDescent="0.3">
      <c r="A91" s="256">
        <v>6</v>
      </c>
      <c r="B91" s="257" t="s">
        <v>380</v>
      </c>
      <c r="C91" s="260">
        <v>135</v>
      </c>
      <c r="D91" s="260">
        <v>0</v>
      </c>
      <c r="E91" s="260">
        <f t="shared" si="12"/>
        <v>-135</v>
      </c>
      <c r="F91" s="259">
        <f t="shared" si="13"/>
        <v>-1</v>
      </c>
    </row>
    <row r="92" spans="1:6" ht="20.25" customHeight="1" x14ac:dyDescent="0.3">
      <c r="A92" s="256">
        <v>7</v>
      </c>
      <c r="B92" s="257" t="s">
        <v>445</v>
      </c>
      <c r="C92" s="260">
        <v>133</v>
      </c>
      <c r="D92" s="260">
        <v>0</v>
      </c>
      <c r="E92" s="260">
        <f t="shared" si="12"/>
        <v>-133</v>
      </c>
      <c r="F92" s="259">
        <f t="shared" si="13"/>
        <v>-1</v>
      </c>
    </row>
    <row r="93" spans="1:6" ht="20.25" customHeight="1" x14ac:dyDescent="0.3">
      <c r="A93" s="256">
        <v>8</v>
      </c>
      <c r="B93" s="257" t="s">
        <v>446</v>
      </c>
      <c r="C93" s="260">
        <v>402</v>
      </c>
      <c r="D93" s="260">
        <v>0</v>
      </c>
      <c r="E93" s="260">
        <f t="shared" si="12"/>
        <v>-402</v>
      </c>
      <c r="F93" s="259">
        <f t="shared" si="13"/>
        <v>-1</v>
      </c>
    </row>
    <row r="94" spans="1:6" ht="20.25" customHeight="1" x14ac:dyDescent="0.3">
      <c r="A94" s="256">
        <v>9</v>
      </c>
      <c r="B94" s="257" t="s">
        <v>447</v>
      </c>
      <c r="C94" s="260">
        <v>7</v>
      </c>
      <c r="D94" s="260">
        <v>0</v>
      </c>
      <c r="E94" s="260">
        <f t="shared" si="12"/>
        <v>-7</v>
      </c>
      <c r="F94" s="259">
        <f t="shared" si="13"/>
        <v>-1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1414469</v>
      </c>
      <c r="D95" s="263">
        <f>+D86+D88</f>
        <v>0</v>
      </c>
      <c r="E95" s="263">
        <f t="shared" si="12"/>
        <v>-1414469</v>
      </c>
      <c r="F95" s="264">
        <f t="shared" si="13"/>
        <v>-1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373948</v>
      </c>
      <c r="D96" s="263">
        <f>+D87+D89</f>
        <v>0</v>
      </c>
      <c r="E96" s="263">
        <f t="shared" si="12"/>
        <v>-373948</v>
      </c>
      <c r="F96" s="264">
        <f t="shared" si="13"/>
        <v>-1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534723</v>
      </c>
      <c r="D98" s="258">
        <v>0</v>
      </c>
      <c r="E98" s="258">
        <f t="shared" ref="E98:E108" si="14">D98-C98</f>
        <v>-534723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164717</v>
      </c>
      <c r="D99" s="258">
        <v>0</v>
      </c>
      <c r="E99" s="258">
        <f t="shared" si="14"/>
        <v>-164717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1419988</v>
      </c>
      <c r="D100" s="258">
        <v>0</v>
      </c>
      <c r="E100" s="258">
        <f t="shared" si="14"/>
        <v>-1419988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436181</v>
      </c>
      <c r="D101" s="258">
        <v>0</v>
      </c>
      <c r="E101" s="258">
        <f t="shared" si="14"/>
        <v>-436181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48</v>
      </c>
      <c r="D102" s="260">
        <v>0</v>
      </c>
      <c r="E102" s="260">
        <f t="shared" si="14"/>
        <v>-48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142</v>
      </c>
      <c r="D103" s="260">
        <v>0</v>
      </c>
      <c r="E103" s="260">
        <f t="shared" si="14"/>
        <v>-142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246</v>
      </c>
      <c r="D104" s="260">
        <v>0</v>
      </c>
      <c r="E104" s="260">
        <f t="shared" si="14"/>
        <v>-246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627</v>
      </c>
      <c r="D105" s="260">
        <v>0</v>
      </c>
      <c r="E105" s="260">
        <f t="shared" si="14"/>
        <v>-627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14</v>
      </c>
      <c r="D106" s="260">
        <v>0</v>
      </c>
      <c r="E106" s="260">
        <f t="shared" si="14"/>
        <v>-14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1954711</v>
      </c>
      <c r="D107" s="263">
        <f>+D98+D100</f>
        <v>0</v>
      </c>
      <c r="E107" s="263">
        <f t="shared" si="14"/>
        <v>-1954711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600898</v>
      </c>
      <c r="D108" s="263">
        <f>+D99+D101</f>
        <v>0</v>
      </c>
      <c r="E108" s="263">
        <f t="shared" si="14"/>
        <v>-600898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3723853</v>
      </c>
      <c r="D112" s="263">
        <f t="shared" si="16"/>
        <v>0</v>
      </c>
      <c r="E112" s="263">
        <f t="shared" ref="E112:E122" si="17">D112-C112</f>
        <v>-3723853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1053785</v>
      </c>
      <c r="D113" s="263">
        <f t="shared" si="16"/>
        <v>0</v>
      </c>
      <c r="E113" s="263">
        <f t="shared" si="17"/>
        <v>-1053785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8370713</v>
      </c>
      <c r="D114" s="263">
        <f t="shared" si="16"/>
        <v>0</v>
      </c>
      <c r="E114" s="263">
        <f t="shared" si="17"/>
        <v>-8370713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2560417</v>
      </c>
      <c r="D115" s="263">
        <f t="shared" si="16"/>
        <v>0</v>
      </c>
      <c r="E115" s="263">
        <f t="shared" si="17"/>
        <v>-2560417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264</v>
      </c>
      <c r="D116" s="287">
        <f t="shared" si="16"/>
        <v>0</v>
      </c>
      <c r="E116" s="287">
        <f t="shared" si="17"/>
        <v>-264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931</v>
      </c>
      <c r="D117" s="287">
        <f t="shared" si="16"/>
        <v>0</v>
      </c>
      <c r="E117" s="287">
        <f t="shared" si="17"/>
        <v>-931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1789</v>
      </c>
      <c r="D118" s="287">
        <f t="shared" si="16"/>
        <v>0</v>
      </c>
      <c r="E118" s="287">
        <f t="shared" si="17"/>
        <v>-1789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3614</v>
      </c>
      <c r="D119" s="287">
        <f t="shared" si="16"/>
        <v>0</v>
      </c>
      <c r="E119" s="287">
        <f t="shared" si="17"/>
        <v>-3614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50</v>
      </c>
      <c r="D120" s="287">
        <f t="shared" si="16"/>
        <v>0</v>
      </c>
      <c r="E120" s="287">
        <f t="shared" si="17"/>
        <v>-50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12094566</v>
      </c>
      <c r="D121" s="263">
        <f>+D112+D114</f>
        <v>0</v>
      </c>
      <c r="E121" s="263">
        <f t="shared" si="17"/>
        <v>-12094566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3614202</v>
      </c>
      <c r="D122" s="263">
        <f>+D113+D115</f>
        <v>0</v>
      </c>
      <c r="E122" s="263">
        <f t="shared" si="17"/>
        <v>-3614202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15956015</v>
      </c>
      <c r="D13" s="22">
        <v>11532247</v>
      </c>
      <c r="E13" s="22">
        <f t="shared" ref="E13:E22" si="0">D13-C13</f>
        <v>-4423768</v>
      </c>
      <c r="F13" s="306">
        <f t="shared" ref="F13:F22" si="1">IF(C13=0,0,E13/C13)</f>
        <v>-0.27724767117604238</v>
      </c>
    </row>
    <row r="14" spans="1:8" ht="24" customHeight="1" x14ac:dyDescent="0.2">
      <c r="A14" s="304">
        <v>2</v>
      </c>
      <c r="B14" s="305" t="s">
        <v>17</v>
      </c>
      <c r="C14" s="22">
        <v>207930544</v>
      </c>
      <c r="D14" s="22">
        <v>181339986</v>
      </c>
      <c r="E14" s="22">
        <f t="shared" si="0"/>
        <v>-26590558</v>
      </c>
      <c r="F14" s="306">
        <f t="shared" si="1"/>
        <v>-0.1278819238793508</v>
      </c>
    </row>
    <row r="15" spans="1:8" ht="35.1" customHeight="1" x14ac:dyDescent="0.2">
      <c r="A15" s="304">
        <v>3</v>
      </c>
      <c r="B15" s="305" t="s">
        <v>18</v>
      </c>
      <c r="C15" s="22">
        <v>32312475</v>
      </c>
      <c r="D15" s="22">
        <v>42732035</v>
      </c>
      <c r="E15" s="22">
        <f t="shared" si="0"/>
        <v>10419560</v>
      </c>
      <c r="F15" s="306">
        <f t="shared" si="1"/>
        <v>0.32246245451640582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4503709</v>
      </c>
      <c r="D19" s="22">
        <v>7501154</v>
      </c>
      <c r="E19" s="22">
        <f t="shared" si="0"/>
        <v>2997445</v>
      </c>
      <c r="F19" s="306">
        <f t="shared" si="1"/>
        <v>0.6655503275189405</v>
      </c>
    </row>
    <row r="20" spans="1:11" ht="24" customHeight="1" x14ac:dyDescent="0.2">
      <c r="A20" s="304">
        <v>8</v>
      </c>
      <c r="B20" s="305" t="s">
        <v>23</v>
      </c>
      <c r="C20" s="22">
        <v>3094289</v>
      </c>
      <c r="D20" s="22">
        <v>3557507</v>
      </c>
      <c r="E20" s="22">
        <f t="shared" si="0"/>
        <v>463218</v>
      </c>
      <c r="F20" s="306">
        <f t="shared" si="1"/>
        <v>0.14970094907101439</v>
      </c>
    </row>
    <row r="21" spans="1:11" ht="24" customHeight="1" x14ac:dyDescent="0.2">
      <c r="A21" s="304">
        <v>9</v>
      </c>
      <c r="B21" s="305" t="s">
        <v>24</v>
      </c>
      <c r="C21" s="22">
        <v>8205212</v>
      </c>
      <c r="D21" s="22">
        <v>9175134</v>
      </c>
      <c r="E21" s="22">
        <f t="shared" si="0"/>
        <v>969922</v>
      </c>
      <c r="F21" s="306">
        <f t="shared" si="1"/>
        <v>0.11820803655042673</v>
      </c>
    </row>
    <row r="22" spans="1:11" ht="24" customHeight="1" x14ac:dyDescent="0.25">
      <c r="A22" s="307"/>
      <c r="B22" s="308" t="s">
        <v>25</v>
      </c>
      <c r="C22" s="309">
        <f>SUM(C13:C21)</f>
        <v>272002244</v>
      </c>
      <c r="D22" s="309">
        <f>SUM(D13:D21)</f>
        <v>255838063</v>
      </c>
      <c r="E22" s="309">
        <f t="shared" si="0"/>
        <v>-16164181</v>
      </c>
      <c r="F22" s="310">
        <f t="shared" si="1"/>
        <v>-5.942664575958425E-2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1471261</v>
      </c>
      <c r="D25" s="22">
        <v>985034</v>
      </c>
      <c r="E25" s="22">
        <f>D25-C25</f>
        <v>-486227</v>
      </c>
      <c r="F25" s="306">
        <f>IF(C25=0,0,E25/C25)</f>
        <v>-0.33048317055913262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2247125</v>
      </c>
      <c r="D27" s="22">
        <v>2247255</v>
      </c>
      <c r="E27" s="22">
        <f>D27-C27</f>
        <v>130</v>
      </c>
      <c r="F27" s="306">
        <f>IF(C27=0,0,E27/C27)</f>
        <v>5.7851699393669687E-5</v>
      </c>
    </row>
    <row r="28" spans="1:11" ht="35.1" customHeight="1" x14ac:dyDescent="0.2">
      <c r="A28" s="304">
        <v>4</v>
      </c>
      <c r="B28" s="305" t="s">
        <v>31</v>
      </c>
      <c r="C28" s="22">
        <v>32364792</v>
      </c>
      <c r="D28" s="22">
        <v>57539269</v>
      </c>
      <c r="E28" s="22">
        <f>D28-C28</f>
        <v>25174477</v>
      </c>
      <c r="F28" s="306">
        <f>IF(C28=0,0,E28/C28)</f>
        <v>0.77783527853353729</v>
      </c>
    </row>
    <row r="29" spans="1:11" ht="35.1" customHeight="1" x14ac:dyDescent="0.25">
      <c r="A29" s="307"/>
      <c r="B29" s="308" t="s">
        <v>32</v>
      </c>
      <c r="C29" s="309">
        <f>SUM(C25:C28)</f>
        <v>36083178</v>
      </c>
      <c r="D29" s="309">
        <f>SUM(D25:D28)</f>
        <v>60771558</v>
      </c>
      <c r="E29" s="309">
        <f>D29-C29</f>
        <v>24688380</v>
      </c>
      <c r="F29" s="310">
        <f>IF(C29=0,0,E29/C29)</f>
        <v>0.68420747196934817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0</v>
      </c>
      <c r="D32" s="22">
        <v>0</v>
      </c>
      <c r="E32" s="22">
        <f>D32-C32</f>
        <v>0</v>
      </c>
      <c r="F32" s="306">
        <f>IF(C32=0,0,E32/C32)</f>
        <v>0</v>
      </c>
    </row>
    <row r="33" spans="1:8" ht="24" customHeight="1" x14ac:dyDescent="0.2">
      <c r="A33" s="304">
        <v>7</v>
      </c>
      <c r="B33" s="305" t="s">
        <v>35</v>
      </c>
      <c r="C33" s="22">
        <v>1857504</v>
      </c>
      <c r="D33" s="22">
        <v>5129051</v>
      </c>
      <c r="E33" s="22">
        <f>D33-C33</f>
        <v>3271547</v>
      </c>
      <c r="F33" s="306">
        <f>IF(C33=0,0,E33/C33)</f>
        <v>1.7612597334918256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353562008</v>
      </c>
      <c r="D36" s="22">
        <v>412504108</v>
      </c>
      <c r="E36" s="22">
        <f>D36-C36</f>
        <v>58942100</v>
      </c>
      <c r="F36" s="306">
        <f>IF(C36=0,0,E36/C36)</f>
        <v>0.16670937110414871</v>
      </c>
    </row>
    <row r="37" spans="1:8" ht="24" customHeight="1" x14ac:dyDescent="0.2">
      <c r="A37" s="304">
        <v>2</v>
      </c>
      <c r="B37" s="305" t="s">
        <v>39</v>
      </c>
      <c r="C37" s="22">
        <v>227405684</v>
      </c>
      <c r="D37" s="22">
        <v>250099034</v>
      </c>
      <c r="E37" s="22">
        <f>D37-C37</f>
        <v>22693350</v>
      </c>
      <c r="F37" s="22">
        <f>IF(C37=0,0,E37/C37)</f>
        <v>9.9792360511094344E-2</v>
      </c>
    </row>
    <row r="38" spans="1:8" ht="24" customHeight="1" x14ac:dyDescent="0.25">
      <c r="A38" s="307"/>
      <c r="B38" s="308" t="s">
        <v>40</v>
      </c>
      <c r="C38" s="309">
        <f>C36-C37</f>
        <v>126156324</v>
      </c>
      <c r="D38" s="309">
        <f>D36-D37</f>
        <v>162405074</v>
      </c>
      <c r="E38" s="309">
        <f>D38-C38</f>
        <v>36248750</v>
      </c>
      <c r="F38" s="310">
        <f>IF(C38=0,0,E38/C38)</f>
        <v>0.28733200881788534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22337285</v>
      </c>
      <c r="D40" s="22">
        <v>45776965</v>
      </c>
      <c r="E40" s="22">
        <f>D40-C40</f>
        <v>23439680</v>
      </c>
      <c r="F40" s="306">
        <f>IF(C40=0,0,E40/C40)</f>
        <v>1.0493522377495743</v>
      </c>
    </row>
    <row r="41" spans="1:8" ht="24" customHeight="1" x14ac:dyDescent="0.25">
      <c r="A41" s="307"/>
      <c r="B41" s="308" t="s">
        <v>42</v>
      </c>
      <c r="C41" s="309">
        <f>+C38+C40</f>
        <v>148493609</v>
      </c>
      <c r="D41" s="309">
        <f>+D38+D40</f>
        <v>208182039</v>
      </c>
      <c r="E41" s="309">
        <f>D41-C41</f>
        <v>59688430</v>
      </c>
      <c r="F41" s="310">
        <f>IF(C41=0,0,E41/C41)</f>
        <v>0.40195958871199633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458436535</v>
      </c>
      <c r="D43" s="309">
        <f>D22+D29+D31+D32+D33+D41</f>
        <v>529920711</v>
      </c>
      <c r="E43" s="309">
        <f>D43-C43</f>
        <v>71484176</v>
      </c>
      <c r="F43" s="310">
        <f>IF(C43=0,0,E43/C43)</f>
        <v>0.15593036449418238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40092715</v>
      </c>
      <c r="D49" s="22">
        <v>53513758</v>
      </c>
      <c r="E49" s="22">
        <f t="shared" ref="E49:E56" si="2">D49-C49</f>
        <v>13421043</v>
      </c>
      <c r="F49" s="306">
        <f t="shared" ref="F49:F56" si="3">IF(C49=0,0,E49/C49)</f>
        <v>0.33475016595907758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5389708</v>
      </c>
      <c r="D50" s="22">
        <v>10101654</v>
      </c>
      <c r="E50" s="22">
        <f t="shared" si="2"/>
        <v>4711946</v>
      </c>
      <c r="F50" s="306">
        <f t="shared" si="3"/>
        <v>0.87424884613415055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5646905</v>
      </c>
      <c r="D51" s="22">
        <v>5870981</v>
      </c>
      <c r="E51" s="22">
        <f t="shared" si="2"/>
        <v>224076</v>
      </c>
      <c r="F51" s="306">
        <f t="shared" si="3"/>
        <v>3.9681205899514869E-2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2762007</v>
      </c>
      <c r="D53" s="22">
        <v>9347876</v>
      </c>
      <c r="E53" s="22">
        <f t="shared" si="2"/>
        <v>6585869</v>
      </c>
      <c r="F53" s="306">
        <f t="shared" si="3"/>
        <v>2.3844505100819804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358122</v>
      </c>
      <c r="D55" s="22">
        <v>123017</v>
      </c>
      <c r="E55" s="22">
        <f t="shared" si="2"/>
        <v>-235105</v>
      </c>
      <c r="F55" s="306">
        <f t="shared" si="3"/>
        <v>-0.65649415562294411</v>
      </c>
    </row>
    <row r="56" spans="1:6" ht="24" customHeight="1" x14ac:dyDescent="0.25">
      <c r="A56" s="307"/>
      <c r="B56" s="308" t="s">
        <v>54</v>
      </c>
      <c r="C56" s="309">
        <f>SUM(C49:C55)</f>
        <v>54249457</v>
      </c>
      <c r="D56" s="309">
        <f>SUM(D49:D55)</f>
        <v>78957286</v>
      </c>
      <c r="E56" s="309">
        <f t="shared" si="2"/>
        <v>24707829</v>
      </c>
      <c r="F56" s="310">
        <f t="shared" si="3"/>
        <v>0.4554484112163556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79507217</v>
      </c>
      <c r="D59" s="22">
        <v>101001797</v>
      </c>
      <c r="E59" s="22">
        <f>D59-C59</f>
        <v>21494580</v>
      </c>
      <c r="F59" s="306">
        <f>IF(C59=0,0,E59/C59)</f>
        <v>0.27034753335662598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79507217</v>
      </c>
      <c r="D61" s="309">
        <f>SUM(D59:D60)</f>
        <v>101001797</v>
      </c>
      <c r="E61" s="309">
        <f>D61-C61</f>
        <v>21494580</v>
      </c>
      <c r="F61" s="310">
        <f>IF(C61=0,0,E61/C61)</f>
        <v>0.27034753335662598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51185800</v>
      </c>
      <c r="D63" s="22">
        <v>42309345</v>
      </c>
      <c r="E63" s="22">
        <f>D63-C63</f>
        <v>-8876455</v>
      </c>
      <c r="F63" s="306">
        <f>IF(C63=0,0,E63/C63)</f>
        <v>-0.17341635766169525</v>
      </c>
    </row>
    <row r="64" spans="1:6" ht="24" customHeight="1" x14ac:dyDescent="0.2">
      <c r="A64" s="304">
        <v>4</v>
      </c>
      <c r="B64" s="305" t="s">
        <v>60</v>
      </c>
      <c r="C64" s="22">
        <v>20384647</v>
      </c>
      <c r="D64" s="22">
        <v>21676677</v>
      </c>
      <c r="E64" s="22">
        <f>D64-C64</f>
        <v>1292030</v>
      </c>
      <c r="F64" s="306">
        <f>IF(C64=0,0,E64/C64)</f>
        <v>6.3382505470906611E-2</v>
      </c>
    </row>
    <row r="65" spans="1:6" ht="24" customHeight="1" x14ac:dyDescent="0.25">
      <c r="A65" s="307"/>
      <c r="B65" s="308" t="s">
        <v>61</v>
      </c>
      <c r="C65" s="309">
        <f>SUM(C61:C64)</f>
        <v>151077664</v>
      </c>
      <c r="D65" s="309">
        <f>SUM(D61:D64)</f>
        <v>164987819</v>
      </c>
      <c r="E65" s="309">
        <f>D65-C65</f>
        <v>13910155</v>
      </c>
      <c r="F65" s="310">
        <f>IF(C65=0,0,E65/C65)</f>
        <v>9.2072875842189358E-2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225862751</v>
      </c>
      <c r="D70" s="22">
        <v>246531146</v>
      </c>
      <c r="E70" s="22">
        <f>D70-C70</f>
        <v>20668395</v>
      </c>
      <c r="F70" s="306">
        <f>IF(C70=0,0,E70/C70)</f>
        <v>9.1508648099305229E-2</v>
      </c>
    </row>
    <row r="71" spans="1:6" ht="24" customHeight="1" x14ac:dyDescent="0.2">
      <c r="A71" s="304">
        <v>2</v>
      </c>
      <c r="B71" s="305" t="s">
        <v>65</v>
      </c>
      <c r="C71" s="22">
        <v>21354856</v>
      </c>
      <c r="D71" s="22">
        <v>24154982</v>
      </c>
      <c r="E71" s="22">
        <f>D71-C71</f>
        <v>2800126</v>
      </c>
      <c r="F71" s="306">
        <f>IF(C71=0,0,E71/C71)</f>
        <v>0.1311236189089732</v>
      </c>
    </row>
    <row r="72" spans="1:6" ht="24" customHeight="1" x14ac:dyDescent="0.2">
      <c r="A72" s="304">
        <v>3</v>
      </c>
      <c r="B72" s="305" t="s">
        <v>66</v>
      </c>
      <c r="C72" s="22">
        <v>5891807</v>
      </c>
      <c r="D72" s="22">
        <v>15289478</v>
      </c>
      <c r="E72" s="22">
        <f>D72-C72</f>
        <v>9397671</v>
      </c>
      <c r="F72" s="306">
        <f>IF(C72=0,0,E72/C72)</f>
        <v>1.595040536799661</v>
      </c>
    </row>
    <row r="73" spans="1:6" ht="24" customHeight="1" x14ac:dyDescent="0.25">
      <c r="A73" s="304"/>
      <c r="B73" s="308" t="s">
        <v>67</v>
      </c>
      <c r="C73" s="309">
        <f>SUM(C70:C72)</f>
        <v>253109414</v>
      </c>
      <c r="D73" s="309">
        <f>SUM(D70:D72)</f>
        <v>285975606</v>
      </c>
      <c r="E73" s="309">
        <f>D73-C73</f>
        <v>32866192</v>
      </c>
      <c r="F73" s="310">
        <f>IF(C73=0,0,E73/C73)</f>
        <v>0.12984974158250787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458436535</v>
      </c>
      <c r="D75" s="309">
        <f>D56+D65+D67+D73</f>
        <v>529920711</v>
      </c>
      <c r="E75" s="309">
        <f>D75-C75</f>
        <v>71484176</v>
      </c>
      <c r="F75" s="310">
        <f>IF(C75=0,0,E75/C75)</f>
        <v>0.15593036449418238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747825592</v>
      </c>
      <c r="D11" s="76">
        <v>837486803</v>
      </c>
      <c r="E11" s="76">
        <f t="shared" ref="E11:E20" si="0">D11-C11</f>
        <v>89661211</v>
      </c>
      <c r="F11" s="77">
        <f t="shared" ref="F11:F20" si="1">IF(C11=0,0,E11/C11)</f>
        <v>0.1198958847613228</v>
      </c>
    </row>
    <row r="12" spans="1:7" ht="23.1" customHeight="1" x14ac:dyDescent="0.2">
      <c r="A12" s="74">
        <v>2</v>
      </c>
      <c r="B12" s="75" t="s">
        <v>72</v>
      </c>
      <c r="C12" s="76">
        <v>388047782</v>
      </c>
      <c r="D12" s="76">
        <v>456969027</v>
      </c>
      <c r="E12" s="76">
        <f t="shared" si="0"/>
        <v>68921245</v>
      </c>
      <c r="F12" s="77">
        <f t="shared" si="1"/>
        <v>0.17761020213742645</v>
      </c>
    </row>
    <row r="13" spans="1:7" ht="23.1" customHeight="1" x14ac:dyDescent="0.2">
      <c r="A13" s="74">
        <v>3</v>
      </c>
      <c r="B13" s="75" t="s">
        <v>73</v>
      </c>
      <c r="C13" s="76">
        <v>5735791</v>
      </c>
      <c r="D13" s="76">
        <v>7772037</v>
      </c>
      <c r="E13" s="76">
        <f t="shared" si="0"/>
        <v>2036246</v>
      </c>
      <c r="F13" s="77">
        <f t="shared" si="1"/>
        <v>0.35500700775185151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354042019</v>
      </c>
      <c r="D15" s="79">
        <f>D11-D12-D13-D14</f>
        <v>372745739</v>
      </c>
      <c r="E15" s="79">
        <f t="shared" si="0"/>
        <v>18703720</v>
      </c>
      <c r="F15" s="80">
        <f t="shared" si="1"/>
        <v>5.2829096537267237E-2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14555970</v>
      </c>
      <c r="E16" s="76">
        <f t="shared" si="0"/>
        <v>14555970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354042019</v>
      </c>
      <c r="D17" s="79">
        <f>D15-D16</f>
        <v>358189769</v>
      </c>
      <c r="E17" s="79">
        <f t="shared" si="0"/>
        <v>4147750</v>
      </c>
      <c r="F17" s="80">
        <f t="shared" si="1"/>
        <v>1.1715417316044625E-2</v>
      </c>
    </row>
    <row r="18" spans="1:7" ht="23.1" customHeight="1" x14ac:dyDescent="0.2">
      <c r="A18" s="74">
        <v>6</v>
      </c>
      <c r="B18" s="75" t="s">
        <v>78</v>
      </c>
      <c r="C18" s="76">
        <v>14772422</v>
      </c>
      <c r="D18" s="76">
        <v>21448860</v>
      </c>
      <c r="E18" s="76">
        <f t="shared" si="0"/>
        <v>6676438</v>
      </c>
      <c r="F18" s="77">
        <f t="shared" si="1"/>
        <v>0.45195283481611886</v>
      </c>
      <c r="G18" s="65"/>
    </row>
    <row r="19" spans="1:7" ht="33" customHeight="1" x14ac:dyDescent="0.2">
      <c r="A19" s="74">
        <v>7</v>
      </c>
      <c r="B19" s="82" t="s">
        <v>79</v>
      </c>
      <c r="C19" s="76">
        <v>1308521</v>
      </c>
      <c r="D19" s="76">
        <v>748784</v>
      </c>
      <c r="E19" s="76">
        <f t="shared" si="0"/>
        <v>-559737</v>
      </c>
      <c r="F19" s="77">
        <f t="shared" si="1"/>
        <v>-0.42776310047756205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370122962</v>
      </c>
      <c r="D20" s="79">
        <f>SUM(D17:D19)</f>
        <v>380387413</v>
      </c>
      <c r="E20" s="79">
        <f t="shared" si="0"/>
        <v>10264451</v>
      </c>
      <c r="F20" s="80">
        <f t="shared" si="1"/>
        <v>2.7732543110902695E-2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180787943</v>
      </c>
      <c r="D23" s="76">
        <v>193780844</v>
      </c>
      <c r="E23" s="76">
        <f t="shared" ref="E23:E32" si="2">D23-C23</f>
        <v>12992901</v>
      </c>
      <c r="F23" s="77">
        <f t="shared" ref="F23:F32" si="3">IF(C23=0,0,E23/C23)</f>
        <v>7.1868183156439808E-2</v>
      </c>
    </row>
    <row r="24" spans="1:7" ht="23.1" customHeight="1" x14ac:dyDescent="0.2">
      <c r="A24" s="74">
        <v>2</v>
      </c>
      <c r="B24" s="75" t="s">
        <v>83</v>
      </c>
      <c r="C24" s="76">
        <v>45920442</v>
      </c>
      <c r="D24" s="76">
        <v>49062244</v>
      </c>
      <c r="E24" s="76">
        <f t="shared" si="2"/>
        <v>3141802</v>
      </c>
      <c r="F24" s="77">
        <f t="shared" si="3"/>
        <v>6.8418374544391369E-2</v>
      </c>
    </row>
    <row r="25" spans="1:7" ht="23.1" customHeight="1" x14ac:dyDescent="0.2">
      <c r="A25" s="74">
        <v>3</v>
      </c>
      <c r="B25" s="75" t="s">
        <v>84</v>
      </c>
      <c r="C25" s="76">
        <v>6398966</v>
      </c>
      <c r="D25" s="76">
        <v>9298451</v>
      </c>
      <c r="E25" s="76">
        <f t="shared" si="2"/>
        <v>2899485</v>
      </c>
      <c r="F25" s="77">
        <f t="shared" si="3"/>
        <v>0.4531177380845593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49112557</v>
      </c>
      <c r="D26" s="76">
        <v>49529083</v>
      </c>
      <c r="E26" s="76">
        <f t="shared" si="2"/>
        <v>416526</v>
      </c>
      <c r="F26" s="77">
        <f t="shared" si="3"/>
        <v>8.4810489504751306E-3</v>
      </c>
    </row>
    <row r="27" spans="1:7" ht="23.1" customHeight="1" x14ac:dyDescent="0.2">
      <c r="A27" s="74">
        <v>5</v>
      </c>
      <c r="B27" s="75" t="s">
        <v>86</v>
      </c>
      <c r="C27" s="76">
        <v>19255553</v>
      </c>
      <c r="D27" s="76">
        <v>23023433</v>
      </c>
      <c r="E27" s="76">
        <f t="shared" si="2"/>
        <v>3767880</v>
      </c>
      <c r="F27" s="77">
        <f t="shared" si="3"/>
        <v>0.19567757934555294</v>
      </c>
    </row>
    <row r="28" spans="1:7" ht="23.1" customHeight="1" x14ac:dyDescent="0.2">
      <c r="A28" s="74">
        <v>6</v>
      </c>
      <c r="B28" s="75" t="s">
        <v>87</v>
      </c>
      <c r="C28" s="76">
        <v>12408255</v>
      </c>
      <c r="D28" s="76">
        <v>0</v>
      </c>
      <c r="E28" s="76">
        <f t="shared" si="2"/>
        <v>-12408255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2316341</v>
      </c>
      <c r="D29" s="76">
        <v>2865011</v>
      </c>
      <c r="E29" s="76">
        <f t="shared" si="2"/>
        <v>548670</v>
      </c>
      <c r="F29" s="77">
        <f t="shared" si="3"/>
        <v>0.23686926924835333</v>
      </c>
    </row>
    <row r="30" spans="1:7" ht="23.1" customHeight="1" x14ac:dyDescent="0.2">
      <c r="A30" s="74">
        <v>8</v>
      </c>
      <c r="B30" s="75" t="s">
        <v>89</v>
      </c>
      <c r="C30" s="76">
        <v>10132903</v>
      </c>
      <c r="D30" s="76">
        <v>11940143</v>
      </c>
      <c r="E30" s="76">
        <f t="shared" si="2"/>
        <v>1807240</v>
      </c>
      <c r="F30" s="77">
        <f t="shared" si="3"/>
        <v>0.17835362679382208</v>
      </c>
    </row>
    <row r="31" spans="1:7" ht="23.1" customHeight="1" x14ac:dyDescent="0.2">
      <c r="A31" s="74">
        <v>9</v>
      </c>
      <c r="B31" s="75" t="s">
        <v>90</v>
      </c>
      <c r="C31" s="76">
        <v>43082531</v>
      </c>
      <c r="D31" s="76">
        <v>48305868</v>
      </c>
      <c r="E31" s="76">
        <f t="shared" si="2"/>
        <v>5223337</v>
      </c>
      <c r="F31" s="77">
        <f t="shared" si="3"/>
        <v>0.12124025396743753</v>
      </c>
    </row>
    <row r="32" spans="1:7" ht="23.1" customHeight="1" x14ac:dyDescent="0.25">
      <c r="A32" s="71"/>
      <c r="B32" s="78" t="s">
        <v>91</v>
      </c>
      <c r="C32" s="79">
        <f>SUM(C23:C31)</f>
        <v>369415491</v>
      </c>
      <c r="D32" s="79">
        <f>SUM(D23:D31)</f>
        <v>387805077</v>
      </c>
      <c r="E32" s="79">
        <f t="shared" si="2"/>
        <v>18389586</v>
      </c>
      <c r="F32" s="80">
        <f t="shared" si="3"/>
        <v>4.9780224294925415E-2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707471</v>
      </c>
      <c r="D34" s="79">
        <f>+D20-D32</f>
        <v>-7417664</v>
      </c>
      <c r="E34" s="79">
        <f>D34-C34</f>
        <v>-8125135</v>
      </c>
      <c r="F34" s="80">
        <f>IF(C34=0,0,E34/C34)</f>
        <v>-11.484760506084349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7013860</v>
      </c>
      <c r="D37" s="76">
        <v>9671018</v>
      </c>
      <c r="E37" s="76">
        <f>D37-C37</f>
        <v>2657158</v>
      </c>
      <c r="F37" s="77">
        <f>IF(C37=0,0,E37/C37)</f>
        <v>0.37884388909958283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5">
      <c r="A40" s="83"/>
      <c r="B40" s="78" t="s">
        <v>97</v>
      </c>
      <c r="C40" s="79">
        <f>SUM(C37:C39)</f>
        <v>7013860</v>
      </c>
      <c r="D40" s="79">
        <f>SUM(D37:D39)</f>
        <v>9671018</v>
      </c>
      <c r="E40" s="79">
        <f>D40-C40</f>
        <v>2657158</v>
      </c>
      <c r="F40" s="80">
        <f>IF(C40=0,0,E40/C40)</f>
        <v>0.37884388909958283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7721331</v>
      </c>
      <c r="D42" s="79">
        <f>D34+D40</f>
        <v>2253354</v>
      </c>
      <c r="E42" s="79">
        <f>D42-C42</f>
        <v>-5467977</v>
      </c>
      <c r="F42" s="80">
        <f>IF(C42=0,0,E42/C42)</f>
        <v>-0.70816508190103489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7721331</v>
      </c>
      <c r="D49" s="79">
        <f>D42+D47</f>
        <v>2253354</v>
      </c>
      <c r="E49" s="79">
        <f>D49-C49</f>
        <v>-5467977</v>
      </c>
      <c r="F49" s="80">
        <f>IF(C49=0,0,E49/C49)</f>
        <v>-0.70816508190103489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2014-10-07T12:46:48Z</cp:lastPrinted>
  <dcterms:created xsi:type="dcterms:W3CDTF">2014-10-06T18:36:43Z</dcterms:created>
  <dcterms:modified xsi:type="dcterms:W3CDTF">2014-10-09T18:20:53Z</dcterms:modified>
</cp:coreProperties>
</file>