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7" i="14" s="1"/>
  <c r="D223" i="14"/>
  <c r="D204" i="14"/>
  <c r="D269" i="14"/>
  <c r="D203" i="14"/>
  <c r="D205" i="14" s="1"/>
  <c r="D267" i="14"/>
  <c r="D270" i="14" s="1"/>
  <c r="D198" i="14"/>
  <c r="D290" i="14" s="1"/>
  <c r="D191" i="14"/>
  <c r="D264" i="14" s="1"/>
  <c r="D189" i="14"/>
  <c r="D278" i="14" s="1"/>
  <c r="D188" i="14"/>
  <c r="D206" i="14" s="1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/>
  <c r="D135" i="14"/>
  <c r="D130" i="14"/>
  <c r="D129" i="14"/>
  <c r="D123" i="14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 s="1"/>
  <c r="D96" i="19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/>
  <c r="C86" i="19"/>
  <c r="C88" i="19"/>
  <c r="E83" i="19"/>
  <c r="D83" i="19"/>
  <c r="C83" i="19"/>
  <c r="E76" i="19"/>
  <c r="E102" i="19" s="1"/>
  <c r="D76" i="19"/>
  <c r="C76" i="19"/>
  <c r="E75" i="19"/>
  <c r="D75" i="19"/>
  <c r="D101" i="19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23" i="19" s="1"/>
  <c r="D46" i="19" s="1"/>
  <c r="C12" i="19"/>
  <c r="C34" i="19" s="1"/>
  <c r="D21" i="18"/>
  <c r="C21" i="18"/>
  <c r="E21" i="18" s="1"/>
  <c r="F21" i="18" s="1"/>
  <c r="D19" i="18"/>
  <c r="C19" i="18"/>
  <c r="E19" i="18" s="1"/>
  <c r="F19" i="18" s="1"/>
  <c r="E17" i="18"/>
  <c r="F17" i="18"/>
  <c r="E15" i="18"/>
  <c r="F15" i="18" s="1"/>
  <c r="D45" i="17"/>
  <c r="C45" i="17"/>
  <c r="D44" i="17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6" i="17"/>
  <c r="F36" i="17" s="1"/>
  <c r="E30" i="17"/>
  <c r="F30" i="17" s="1"/>
  <c r="E29" i="17"/>
  <c r="F29" i="17" s="1"/>
  <c r="F28" i="17"/>
  <c r="E28" i="17"/>
  <c r="E27" i="17"/>
  <c r="F27" i="17" s="1"/>
  <c r="D25" i="17"/>
  <c r="D39" i="17" s="1"/>
  <c r="C25" i="17"/>
  <c r="C39" i="17" s="1"/>
  <c r="E24" i="17"/>
  <c r="F24" i="17" s="1"/>
  <c r="E23" i="17"/>
  <c r="F23" i="17"/>
  <c r="E22" i="17"/>
  <c r="F22" i="17" s="1"/>
  <c r="D19" i="17"/>
  <c r="D20" i="17" s="1"/>
  <c r="E20" i="17" s="1"/>
  <c r="C19" i="17"/>
  <c r="C20" i="17" s="1"/>
  <c r="E18" i="17"/>
  <c r="F18" i="17" s="1"/>
  <c r="D16" i="17"/>
  <c r="E16" i="17" s="1"/>
  <c r="F16" i="17" s="1"/>
  <c r="C16" i="17"/>
  <c r="F15" i="17"/>
  <c r="E15" i="17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C291" i="15"/>
  <c r="D290" i="15"/>
  <c r="E290" i="15" s="1"/>
  <c r="C290" i="15"/>
  <c r="D288" i="15"/>
  <c r="E288" i="15" s="1"/>
  <c r="C288" i="15"/>
  <c r="D287" i="15"/>
  <c r="C287" i="15"/>
  <c r="E287" i="15" s="1"/>
  <c r="D282" i="15"/>
  <c r="E282" i="15" s="1"/>
  <c r="C282" i="15"/>
  <c r="D281" i="15"/>
  <c r="C281" i="15"/>
  <c r="E281" i="15" s="1"/>
  <c r="D280" i="15"/>
  <c r="E280" i="15" s="1"/>
  <c r="C280" i="15"/>
  <c r="D279" i="15"/>
  <c r="C279" i="15"/>
  <c r="E279" i="15" s="1"/>
  <c r="D278" i="15"/>
  <c r="E278" i="15"/>
  <c r="C278" i="15"/>
  <c r="D277" i="15"/>
  <c r="C277" i="15"/>
  <c r="E277" i="15"/>
  <c r="D276" i="15"/>
  <c r="E276" i="15"/>
  <c r="C276" i="15"/>
  <c r="E270" i="15"/>
  <c r="D265" i="15"/>
  <c r="C265" i="15"/>
  <c r="C302" i="15" s="1"/>
  <c r="C303" i="15" s="1"/>
  <c r="C306" i="15" s="1"/>
  <c r="C310" i="15" s="1"/>
  <c r="D262" i="15"/>
  <c r="E262" i="15" s="1"/>
  <c r="C262" i="15"/>
  <c r="D251" i="15"/>
  <c r="C251" i="15"/>
  <c r="D233" i="15"/>
  <c r="D253" i="15" s="1"/>
  <c r="C233" i="15"/>
  <c r="C253" i="15" s="1"/>
  <c r="D232" i="15"/>
  <c r="C232" i="15"/>
  <c r="E232" i="15"/>
  <c r="D231" i="15"/>
  <c r="C231" i="15"/>
  <c r="D230" i="15"/>
  <c r="C230" i="15"/>
  <c r="E230" i="15" s="1"/>
  <c r="D228" i="15"/>
  <c r="C228" i="15"/>
  <c r="E228" i="15" s="1"/>
  <c r="D227" i="15"/>
  <c r="C227" i="15"/>
  <c r="D221" i="15"/>
  <c r="D245" i="15" s="1"/>
  <c r="C221" i="15"/>
  <c r="C245" i="15" s="1"/>
  <c r="E245" i="15" s="1"/>
  <c r="D220" i="15"/>
  <c r="E220" i="15"/>
  <c r="C220" i="15"/>
  <c r="C244" i="15" s="1"/>
  <c r="D219" i="15"/>
  <c r="D243" i="15" s="1"/>
  <c r="C219" i="15"/>
  <c r="C243" i="15"/>
  <c r="C252" i="15" s="1"/>
  <c r="D218" i="15"/>
  <c r="D242" i="15" s="1"/>
  <c r="C218" i="15"/>
  <c r="C217" i="15" s="1"/>
  <c r="C241" i="15" s="1"/>
  <c r="D216" i="15"/>
  <c r="E216" i="15" s="1"/>
  <c r="C216" i="15"/>
  <c r="C240" i="15" s="1"/>
  <c r="D215" i="15"/>
  <c r="C215" i="15"/>
  <c r="E209" i="15"/>
  <c r="E208" i="15"/>
  <c r="E207" i="15"/>
  <c r="E206" i="15"/>
  <c r="D205" i="15"/>
  <c r="E205" i="15" s="1"/>
  <c r="C205" i="15"/>
  <c r="C229" i="15" s="1"/>
  <c r="E204" i="15"/>
  <c r="E203" i="15"/>
  <c r="E197" i="15"/>
  <c r="E196" i="15"/>
  <c r="D195" i="15"/>
  <c r="D260" i="15" s="1"/>
  <c r="C195" i="15"/>
  <c r="E194" i="15"/>
  <c r="E193" i="15"/>
  <c r="E192" i="15"/>
  <c r="E191" i="15"/>
  <c r="E190" i="15"/>
  <c r="D188" i="15"/>
  <c r="D189" i="15" s="1"/>
  <c r="C188" i="15"/>
  <c r="C261" i="15" s="1"/>
  <c r="E186" i="15"/>
  <c r="E185" i="15"/>
  <c r="D179" i="15"/>
  <c r="C179" i="15"/>
  <c r="E179" i="15" s="1"/>
  <c r="D178" i="15"/>
  <c r="E178" i="15"/>
  <c r="C178" i="15"/>
  <c r="D177" i="15"/>
  <c r="C177" i="15"/>
  <c r="E177" i="15"/>
  <c r="D176" i="15"/>
  <c r="E176" i="15"/>
  <c r="C176" i="15"/>
  <c r="D174" i="15"/>
  <c r="E174" i="15" s="1"/>
  <c r="C174" i="15"/>
  <c r="D173" i="15"/>
  <c r="C173" i="15"/>
  <c r="E173" i="15" s="1"/>
  <c r="D167" i="15"/>
  <c r="E167" i="15" s="1"/>
  <c r="C167" i="15"/>
  <c r="D166" i="15"/>
  <c r="C166" i="15"/>
  <c r="E166" i="15" s="1"/>
  <c r="D165" i="15"/>
  <c r="E165" i="15" s="1"/>
  <c r="C165" i="15"/>
  <c r="D164" i="15"/>
  <c r="C164" i="15"/>
  <c r="E164" i="15" s="1"/>
  <c r="D162" i="15"/>
  <c r="C162" i="15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C139" i="15"/>
  <c r="C144" i="15" s="1"/>
  <c r="C163" i="15"/>
  <c r="E138" i="15"/>
  <c r="E137" i="15"/>
  <c r="D75" i="15"/>
  <c r="C75" i="15"/>
  <c r="D74" i="15"/>
  <c r="C74" i="15"/>
  <c r="D73" i="15"/>
  <c r="C73" i="15"/>
  <c r="E73" i="15" s="1"/>
  <c r="D72" i="15"/>
  <c r="C72" i="15"/>
  <c r="D70" i="15"/>
  <c r="C70" i="15"/>
  <c r="D69" i="15"/>
  <c r="C69" i="15"/>
  <c r="E64" i="15"/>
  <c r="E63" i="15"/>
  <c r="E62" i="15"/>
  <c r="E61" i="15"/>
  <c r="D60" i="15"/>
  <c r="C60" i="15"/>
  <c r="C71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/>
  <c r="C40" i="15"/>
  <c r="D39" i="15"/>
  <c r="C39" i="15"/>
  <c r="E39" i="15"/>
  <c r="D38" i="15"/>
  <c r="C38" i="15"/>
  <c r="D37" i="15"/>
  <c r="C37" i="15"/>
  <c r="E37" i="15" s="1"/>
  <c r="D36" i="15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/>
  <c r="F311" i="14" s="1"/>
  <c r="E308" i="14"/>
  <c r="F308" i="14"/>
  <c r="C307" i="14"/>
  <c r="E299" i="14"/>
  <c r="C299" i="14"/>
  <c r="C298" i="14"/>
  <c r="E298" i="14" s="1"/>
  <c r="F298" i="14" s="1"/>
  <c r="C297" i="14"/>
  <c r="E297" i="14" s="1"/>
  <c r="F297" i="14" s="1"/>
  <c r="C296" i="14"/>
  <c r="E296" i="14" s="1"/>
  <c r="F296" i="14" s="1"/>
  <c r="C295" i="14"/>
  <c r="E295" i="14" s="1"/>
  <c r="C294" i="14"/>
  <c r="E294" i="14" s="1"/>
  <c r="F294" i="14" s="1"/>
  <c r="C250" i="14"/>
  <c r="E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4" i="14"/>
  <c r="F234" i="14"/>
  <c r="E233" i="14"/>
  <c r="F233" i="14"/>
  <c r="C230" i="14"/>
  <c r="C229" i="14"/>
  <c r="E229" i="14" s="1"/>
  <c r="E228" i="14"/>
  <c r="F228" i="14" s="1"/>
  <c r="C226" i="14"/>
  <c r="C227" i="14" s="1"/>
  <c r="E225" i="14"/>
  <c r="F225" i="14" s="1"/>
  <c r="E224" i="14"/>
  <c r="F224" i="14" s="1"/>
  <c r="C223" i="14"/>
  <c r="E223" i="14" s="1"/>
  <c r="E222" i="14"/>
  <c r="F222" i="14" s="1"/>
  <c r="E221" i="14"/>
  <c r="F221" i="14"/>
  <c r="C204" i="14"/>
  <c r="E204" i="14" s="1"/>
  <c r="C203" i="14"/>
  <c r="E203" i="14" s="1"/>
  <c r="C198" i="14"/>
  <c r="C191" i="14"/>
  <c r="C189" i="14"/>
  <c r="C278" i="14" s="1"/>
  <c r="E278" i="14" s="1"/>
  <c r="C188" i="14"/>
  <c r="C277" i="14" s="1"/>
  <c r="C180" i="14"/>
  <c r="E180" i="14" s="1"/>
  <c r="C179" i="14"/>
  <c r="E179" i="14" s="1"/>
  <c r="C171" i="14"/>
  <c r="C172" i="14" s="1"/>
  <c r="C170" i="14"/>
  <c r="E170" i="14" s="1"/>
  <c r="E169" i="14"/>
  <c r="F169" i="14" s="1"/>
  <c r="E168" i="14"/>
  <c r="F168" i="14" s="1"/>
  <c r="C165" i="14"/>
  <c r="E165" i="14" s="1"/>
  <c r="C164" i="14"/>
  <c r="E163" i="14"/>
  <c r="F163" i="14"/>
  <c r="C158" i="14"/>
  <c r="E158" i="14"/>
  <c r="E157" i="14"/>
  <c r="F157" i="14"/>
  <c r="E156" i="14"/>
  <c r="F156" i="14"/>
  <c r="C155" i="14"/>
  <c r="E154" i="14"/>
  <c r="F154" i="14" s="1"/>
  <c r="F153" i="14"/>
  <c r="E153" i="14"/>
  <c r="C145" i="14"/>
  <c r="E145" i="14" s="1"/>
  <c r="F145" i="14" s="1"/>
  <c r="E144" i="14"/>
  <c r="C144" i="14"/>
  <c r="C136" i="14"/>
  <c r="E136" i="14" s="1"/>
  <c r="C135" i="14"/>
  <c r="E134" i="14"/>
  <c r="F134" i="14" s="1"/>
  <c r="E133" i="14"/>
  <c r="F133" i="14" s="1"/>
  <c r="C130" i="14"/>
  <c r="E130" i="14" s="1"/>
  <c r="F130" i="14" s="1"/>
  <c r="C129" i="14"/>
  <c r="E129" i="14" s="1"/>
  <c r="E128" i="14"/>
  <c r="F128" i="14" s="1"/>
  <c r="C123" i="14"/>
  <c r="E122" i="14"/>
  <c r="F122" i="14" s="1"/>
  <c r="F121" i="14"/>
  <c r="E121" i="14"/>
  <c r="C120" i="14"/>
  <c r="E120" i="14" s="1"/>
  <c r="E119" i="14"/>
  <c r="F119" i="14"/>
  <c r="E118" i="14"/>
  <c r="F118" i="14"/>
  <c r="C110" i="14"/>
  <c r="F110" i="14" s="1"/>
  <c r="C109" i="14"/>
  <c r="C101" i="14"/>
  <c r="C102" i="14" s="1"/>
  <c r="E102" i="14" s="1"/>
  <c r="C100" i="14"/>
  <c r="E100" i="14" s="1"/>
  <c r="F99" i="14"/>
  <c r="E99" i="14"/>
  <c r="E98" i="14"/>
  <c r="F98" i="14"/>
  <c r="C95" i="14"/>
  <c r="E95" i="14" s="1"/>
  <c r="E94" i="14"/>
  <c r="C94" i="14"/>
  <c r="F94" i="14"/>
  <c r="E93" i="14"/>
  <c r="F93" i="14"/>
  <c r="C88" i="14"/>
  <c r="C89" i="14" s="1"/>
  <c r="F87" i="14"/>
  <c r="E87" i="14"/>
  <c r="F86" i="14"/>
  <c r="E86" i="14"/>
  <c r="F85" i="14"/>
  <c r="C85" i="14"/>
  <c r="F84" i="14"/>
  <c r="E84" i="14"/>
  <c r="E83" i="14"/>
  <c r="F83" i="14" s="1"/>
  <c r="C76" i="14"/>
  <c r="E76" i="14" s="1"/>
  <c r="F76" i="14" s="1"/>
  <c r="E74" i="14"/>
  <c r="F74" i="14" s="1"/>
  <c r="E73" i="14"/>
  <c r="F73" i="14" s="1"/>
  <c r="C67" i="14"/>
  <c r="C66" i="14"/>
  <c r="E66" i="14" s="1"/>
  <c r="F66" i="14" s="1"/>
  <c r="C59" i="14"/>
  <c r="C58" i="14"/>
  <c r="E58" i="14" s="1"/>
  <c r="E57" i="14"/>
  <c r="F57" i="14" s="1"/>
  <c r="E56" i="14"/>
  <c r="F56" i="14" s="1"/>
  <c r="C53" i="14"/>
  <c r="E53" i="14"/>
  <c r="C52" i="14"/>
  <c r="E52" i="14" s="1"/>
  <c r="F52" i="14" s="1"/>
  <c r="E51" i="14"/>
  <c r="F51" i="14" s="1"/>
  <c r="E47" i="14"/>
  <c r="C47" i="14"/>
  <c r="C48" i="14" s="1"/>
  <c r="F46" i="14"/>
  <c r="E46" i="14"/>
  <c r="F45" i="14"/>
  <c r="E45" i="14"/>
  <c r="C44" i="14"/>
  <c r="E44" i="14" s="1"/>
  <c r="E43" i="14"/>
  <c r="F43" i="14" s="1"/>
  <c r="E42" i="14"/>
  <c r="F42" i="14" s="1"/>
  <c r="C36" i="14"/>
  <c r="C35" i="14"/>
  <c r="E35" i="14" s="1"/>
  <c r="C30" i="14"/>
  <c r="E29" i="14"/>
  <c r="C29" i="14"/>
  <c r="F29" i="14"/>
  <c r="E28" i="14"/>
  <c r="F28" i="14"/>
  <c r="E27" i="14"/>
  <c r="F27" i="14"/>
  <c r="C24" i="14"/>
  <c r="E24" i="14"/>
  <c r="C23" i="14"/>
  <c r="F22" i="14"/>
  <c r="E22" i="14"/>
  <c r="C20" i="14"/>
  <c r="E19" i="14"/>
  <c r="F19" i="14"/>
  <c r="E18" i="14"/>
  <c r="F18" i="14"/>
  <c r="C17" i="14"/>
  <c r="E17" i="14"/>
  <c r="F17" i="14" s="1"/>
  <c r="E16" i="14"/>
  <c r="F16" i="14" s="1"/>
  <c r="E15" i="14"/>
  <c r="F15" i="14" s="1"/>
  <c r="D23" i="13"/>
  <c r="C23" i="13"/>
  <c r="E23" i="13" s="1"/>
  <c r="E22" i="13"/>
  <c r="F22" i="13" s="1"/>
  <c r="E21" i="13"/>
  <c r="F21" i="13" s="1"/>
  <c r="D18" i="13"/>
  <c r="C18" i="13"/>
  <c r="E17" i="13"/>
  <c r="F17" i="13" s="1"/>
  <c r="D14" i="13"/>
  <c r="C14" i="13"/>
  <c r="E14" i="13" s="1"/>
  <c r="E13" i="13"/>
  <c r="F13" i="13" s="1"/>
  <c r="E12" i="13"/>
  <c r="F12" i="13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 s="1"/>
  <c r="F83" i="12"/>
  <c r="E83" i="12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 s="1"/>
  <c r="F59" i="12"/>
  <c r="E59" i="12"/>
  <c r="F58" i="12"/>
  <c r="E58" i="12"/>
  <c r="E60" i="12" s="1"/>
  <c r="D55" i="12"/>
  <c r="E55" i="12" s="1"/>
  <c r="C55" i="12"/>
  <c r="F54" i="12"/>
  <c r="E54" i="12"/>
  <c r="E53" i="12"/>
  <c r="F53" i="12" s="1"/>
  <c r="D50" i="12"/>
  <c r="C50" i="12"/>
  <c r="E50" i="12" s="1"/>
  <c r="F50" i="12" s="1"/>
  <c r="E49" i="12"/>
  <c r="F49" i="12" s="1"/>
  <c r="E48" i="12"/>
  <c r="F48" i="12" s="1"/>
  <c r="D45" i="12"/>
  <c r="C45" i="12"/>
  <c r="E44" i="12"/>
  <c r="F44" i="12" s="1"/>
  <c r="E43" i="12"/>
  <c r="F43" i="12" s="1"/>
  <c r="D37" i="12"/>
  <c r="C37" i="12"/>
  <c r="F36" i="12"/>
  <c r="E36" i="12"/>
  <c r="F35" i="12"/>
  <c r="E35" i="12"/>
  <c r="E34" i="12"/>
  <c r="F34" i="12" s="1"/>
  <c r="E33" i="12"/>
  <c r="F33" i="12" s="1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1" i="11" s="1"/>
  <c r="E17" i="11"/>
  <c r="E31" i="11"/>
  <c r="D17" i="11"/>
  <c r="D31" i="11" s="1"/>
  <c r="D33" i="1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D50" i="10" s="1"/>
  <c r="C54" i="10"/>
  <c r="E50" i="10"/>
  <c r="E46" i="10"/>
  <c r="D46" i="10"/>
  <c r="D48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 s="1"/>
  <c r="F45" i="9"/>
  <c r="E45" i="9"/>
  <c r="F44" i="9"/>
  <c r="E44" i="9"/>
  <c r="D39" i="9"/>
  <c r="C39" i="9"/>
  <c r="E39" i="9"/>
  <c r="E38" i="9"/>
  <c r="F38" i="9"/>
  <c r="F37" i="9"/>
  <c r="E37" i="9"/>
  <c r="E36" i="9"/>
  <c r="F36" i="9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D19" i="9" s="1"/>
  <c r="D33" i="9" s="1"/>
  <c r="D41" i="9" s="1"/>
  <c r="D48" i="9" s="1"/>
  <c r="C16" i="9"/>
  <c r="C19" i="9"/>
  <c r="F15" i="9"/>
  <c r="E15" i="9"/>
  <c r="E14" i="9"/>
  <c r="F14" i="9"/>
  <c r="E13" i="9"/>
  <c r="F13" i="9"/>
  <c r="E12" i="9"/>
  <c r="F12" i="9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E61" i="8"/>
  <c r="D61" i="8"/>
  <c r="D65" i="8"/>
  <c r="C61" i="8"/>
  <c r="F61" i="8"/>
  <c r="F60" i="8"/>
  <c r="E60" i="8"/>
  <c r="E59" i="8"/>
  <c r="F59" i="8"/>
  <c r="D56" i="8"/>
  <c r="D75" i="8"/>
  <c r="C56" i="8"/>
  <c r="E55" i="8"/>
  <c r="F55" i="8" s="1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/>
  <c r="D38" i="8"/>
  <c r="D41" i="8" s="1"/>
  <c r="C38" i="8"/>
  <c r="E37" i="8"/>
  <c r="F37" i="8"/>
  <c r="E36" i="8"/>
  <c r="F36" i="8"/>
  <c r="E33" i="8"/>
  <c r="F33" i="8"/>
  <c r="F32" i="8"/>
  <c r="E32" i="8"/>
  <c r="F31" i="8"/>
  <c r="E31" i="8"/>
  <c r="D29" i="8"/>
  <c r="C29" i="8"/>
  <c r="E29" i="8" s="1"/>
  <c r="E28" i="8"/>
  <c r="F28" i="8" s="1"/>
  <c r="E27" i="8"/>
  <c r="F27" i="8" s="1"/>
  <c r="F26" i="8"/>
  <c r="E26" i="8"/>
  <c r="E25" i="8"/>
  <c r="F25" i="8" s="1"/>
  <c r="D22" i="8"/>
  <c r="C22" i="8"/>
  <c r="E21" i="8"/>
  <c r="F21" i="8" s="1"/>
  <c r="E20" i="8"/>
  <c r="F20" i="8" s="1"/>
  <c r="E19" i="8"/>
  <c r="F19" i="8" s="1"/>
  <c r="F18" i="8"/>
  <c r="E18" i="8"/>
  <c r="E17" i="8"/>
  <c r="F17" i="8" s="1"/>
  <c r="F16" i="8"/>
  <c r="E16" i="8"/>
  <c r="E15" i="8"/>
  <c r="F15" i="8" s="1"/>
  <c r="E14" i="8"/>
  <c r="F14" i="8" s="1"/>
  <c r="E13" i="8"/>
  <c r="F13" i="8" s="1"/>
  <c r="D120" i="7"/>
  <c r="C120" i="7"/>
  <c r="D119" i="7"/>
  <c r="E119" i="7" s="1"/>
  <c r="C119" i="7"/>
  <c r="D118" i="7"/>
  <c r="C118" i="7"/>
  <c r="D117" i="7"/>
  <c r="C117" i="7"/>
  <c r="E117" i="7" s="1"/>
  <c r="D116" i="7"/>
  <c r="C116" i="7"/>
  <c r="D115" i="7"/>
  <c r="C115" i="7"/>
  <c r="E115" i="7" s="1"/>
  <c r="D114" i="7"/>
  <c r="C114" i="7"/>
  <c r="D113" i="7"/>
  <c r="D122" i="7" s="1"/>
  <c r="C113" i="7"/>
  <c r="C122" i="7" s="1"/>
  <c r="D112" i="7"/>
  <c r="D121" i="7" s="1"/>
  <c r="C112" i="7"/>
  <c r="D108" i="7"/>
  <c r="E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/>
  <c r="E100" i="7"/>
  <c r="F100" i="7"/>
  <c r="E99" i="7"/>
  <c r="F99" i="7"/>
  <c r="E98" i="7"/>
  <c r="F98" i="7"/>
  <c r="D96" i="7"/>
  <c r="C96" i="7"/>
  <c r="D95" i="7"/>
  <c r="C95" i="7"/>
  <c r="E95" i="7" s="1"/>
  <c r="F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E71" i="7" s="1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E205" i="6" s="1"/>
  <c r="D204" i="6"/>
  <c r="C204" i="6"/>
  <c r="D203" i="6"/>
  <c r="C203" i="6"/>
  <c r="E203" i="6"/>
  <c r="D202" i="6"/>
  <c r="C202" i="6"/>
  <c r="D201" i="6"/>
  <c r="E201" i="6" s="1"/>
  <c r="F201" i="6" s="1"/>
  <c r="C201" i="6"/>
  <c r="D200" i="6"/>
  <c r="C200" i="6"/>
  <c r="D199" i="6"/>
  <c r="D208" i="6" s="1"/>
  <c r="C199" i="6"/>
  <c r="C208" i="6" s="1"/>
  <c r="D198" i="6"/>
  <c r="D207" i="6" s="1"/>
  <c r="C198" i="6"/>
  <c r="D193" i="6"/>
  <c r="C193" i="6"/>
  <c r="F193" i="6" s="1"/>
  <c r="D192" i="6"/>
  <c r="E192" i="6" s="1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D153" i="6"/>
  <c r="C153" i="6"/>
  <c r="E152" i="6"/>
  <c r="F152" i="6" s="1"/>
  <c r="E151" i="6"/>
  <c r="F151" i="6" s="1"/>
  <c r="E150" i="6"/>
  <c r="F150" i="6" s="1"/>
  <c r="E149" i="6"/>
  <c r="F149" i="6" s="1"/>
  <c r="E148" i="6"/>
  <c r="F148" i="6" s="1"/>
  <c r="F147" i="6"/>
  <c r="E147" i="6"/>
  <c r="E146" i="6"/>
  <c r="F146" i="6" s="1"/>
  <c r="E145" i="6"/>
  <c r="F145" i="6" s="1"/>
  <c r="E144" i="6"/>
  <c r="F144" i="6" s="1"/>
  <c r="D141" i="6"/>
  <c r="C141" i="6"/>
  <c r="E141" i="6" s="1"/>
  <c r="F141" i="6" s="1"/>
  <c r="D140" i="6"/>
  <c r="C140" i="6"/>
  <c r="E140" i="6"/>
  <c r="F140" i="6" s="1"/>
  <c r="E139" i="6"/>
  <c r="F139" i="6" s="1"/>
  <c r="E138" i="6"/>
  <c r="F138" i="6" s="1"/>
  <c r="E137" i="6"/>
  <c r="F137" i="6" s="1"/>
  <c r="E136" i="6"/>
  <c r="F136" i="6" s="1"/>
  <c r="F135" i="6"/>
  <c r="E135" i="6"/>
  <c r="E134" i="6"/>
  <c r="F134" i="6" s="1"/>
  <c r="E133" i="6"/>
  <c r="F133" i="6" s="1"/>
  <c r="E132" i="6"/>
  <c r="F132" i="6" s="1"/>
  <c r="E131" i="6"/>
  <c r="F131" i="6" s="1"/>
  <c r="D128" i="6"/>
  <c r="C128" i="6"/>
  <c r="E128" i="6" s="1"/>
  <c r="F128" i="6" s="1"/>
  <c r="D127" i="6"/>
  <c r="E127" i="6" s="1"/>
  <c r="F127" i="6" s="1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E115" i="6"/>
  <c r="D114" i="6"/>
  <c r="C114" i="6"/>
  <c r="E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E102" i="6" s="1"/>
  <c r="F102" i="6" s="1"/>
  <c r="D101" i="6"/>
  <c r="E101" i="6" s="1"/>
  <c r="F101" i="6" s="1"/>
  <c r="C101" i="6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C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F76" i="6" s="1"/>
  <c r="D75" i="6"/>
  <c r="C75" i="6"/>
  <c r="E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F37" i="6" s="1"/>
  <c r="C37" i="6"/>
  <c r="D36" i="6"/>
  <c r="E36" i="6" s="1"/>
  <c r="F36" i="6" s="1"/>
  <c r="C36" i="6"/>
  <c r="F35" i="6"/>
  <c r="E35" i="6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E166" i="5" s="1"/>
  <c r="D164" i="5"/>
  <c r="D160" i="5" s="1"/>
  <c r="D166" i="5" s="1"/>
  <c r="C164" i="5"/>
  <c r="C160" i="5"/>
  <c r="E162" i="5"/>
  <c r="D162" i="5"/>
  <c r="C162" i="5"/>
  <c r="E161" i="5"/>
  <c r="D161" i="5"/>
  <c r="C161" i="5"/>
  <c r="E147" i="5"/>
  <c r="E143" i="5" s="1"/>
  <c r="D147" i="5"/>
  <c r="C147" i="5"/>
  <c r="C143" i="5" s="1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D94" i="5" s="1"/>
  <c r="C95" i="5"/>
  <c r="E94" i="5"/>
  <c r="C94" i="5"/>
  <c r="E89" i="5"/>
  <c r="D89" i="5"/>
  <c r="C89" i="5"/>
  <c r="E87" i="5"/>
  <c r="D87" i="5"/>
  <c r="C87" i="5"/>
  <c r="E84" i="5"/>
  <c r="D84" i="5"/>
  <c r="D79" i="5" s="1"/>
  <c r="C84" i="5"/>
  <c r="E83" i="5"/>
  <c r="E79" i="5" s="1"/>
  <c r="D83" i="5"/>
  <c r="C83" i="5"/>
  <c r="E75" i="5"/>
  <c r="E77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38" i="5"/>
  <c r="E43" i="5" s="1"/>
  <c r="D38" i="5"/>
  <c r="D43" i="5" s="1"/>
  <c r="C38" i="5"/>
  <c r="C53" i="5" s="1"/>
  <c r="E33" i="5"/>
  <c r="E34" i="5" s="1"/>
  <c r="D33" i="5"/>
  <c r="D34" i="5" s="1"/>
  <c r="E26" i="5"/>
  <c r="D26" i="5"/>
  <c r="C26" i="5"/>
  <c r="E13" i="5"/>
  <c r="E15" i="5" s="1"/>
  <c r="D13" i="5"/>
  <c r="D25" i="5" s="1"/>
  <c r="D27" i="5" s="1"/>
  <c r="C13" i="5"/>
  <c r="C25" i="5"/>
  <c r="C27" i="5" s="1"/>
  <c r="C21" i="5" s="1"/>
  <c r="E174" i="4"/>
  <c r="F174" i="4" s="1"/>
  <c r="D171" i="4"/>
  <c r="C171" i="4"/>
  <c r="E170" i="4"/>
  <c r="F170" i="4" s="1"/>
  <c r="F169" i="4"/>
  <c r="E169" i="4"/>
  <c r="F168" i="4"/>
  <c r="E168" i="4"/>
  <c r="E167" i="4"/>
  <c r="F167" i="4" s="1"/>
  <c r="E166" i="4"/>
  <c r="F166" i="4" s="1"/>
  <c r="E165" i="4"/>
  <c r="F165" i="4" s="1"/>
  <c r="F164" i="4"/>
  <c r="E164" i="4"/>
  <c r="E163" i="4"/>
  <c r="F163" i="4" s="1"/>
  <c r="F162" i="4"/>
  <c r="E162" i="4"/>
  <c r="E161" i="4"/>
  <c r="F161" i="4" s="1"/>
  <c r="E160" i="4"/>
  <c r="F160" i="4" s="1"/>
  <c r="E159" i="4"/>
  <c r="F159" i="4" s="1"/>
  <c r="E158" i="4"/>
  <c r="F158" i="4" s="1"/>
  <c r="D155" i="4"/>
  <c r="E155" i="4" s="1"/>
  <c r="F155" i="4" s="1"/>
  <c r="C155" i="4"/>
  <c r="E154" i="4"/>
  <c r="F154" i="4"/>
  <c r="F153" i="4"/>
  <c r="E153" i="4"/>
  <c r="E152" i="4"/>
  <c r="F152" i="4"/>
  <c r="E151" i="4"/>
  <c r="F151" i="4"/>
  <c r="F150" i="4"/>
  <c r="E150" i="4"/>
  <c r="E149" i="4"/>
  <c r="F149" i="4"/>
  <c r="E148" i="4"/>
  <c r="F148" i="4"/>
  <c r="F147" i="4"/>
  <c r="E147" i="4"/>
  <c r="F146" i="4"/>
  <c r="E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F139" i="4"/>
  <c r="E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102" i="4"/>
  <c r="E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F58" i="4"/>
  <c r="E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E40" i="4"/>
  <c r="F40" i="4" s="1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D93" i="3"/>
  <c r="C93" i="3"/>
  <c r="D92" i="3"/>
  <c r="C92" i="3"/>
  <c r="F92" i="3" s="1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E84" i="3" s="1"/>
  <c r="C84" i="3"/>
  <c r="F84" i="3" s="1"/>
  <c r="D81" i="3"/>
  <c r="E81" i="3" s="1"/>
  <c r="F81" i="3" s="1"/>
  <c r="C81" i="3"/>
  <c r="E80" i="3"/>
  <c r="F80" i="3" s="1"/>
  <c r="E79" i="3"/>
  <c r="F79" i="3" s="1"/>
  <c r="F78" i="3"/>
  <c r="E78" i="3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F65" i="3"/>
  <c r="E65" i="3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F51" i="3" s="1"/>
  <c r="C51" i="3"/>
  <c r="D50" i="3"/>
  <c r="E50" i="3" s="1"/>
  <c r="F50" i="3" s="1"/>
  <c r="C50" i="3"/>
  <c r="D49" i="3"/>
  <c r="E49" i="3" s="1"/>
  <c r="F49" i="3" s="1"/>
  <c r="C49" i="3"/>
  <c r="D48" i="3"/>
  <c r="E48" i="3" s="1"/>
  <c r="F48" i="3" s="1"/>
  <c r="C48" i="3"/>
  <c r="D47" i="3"/>
  <c r="E47" i="3" s="1"/>
  <c r="F47" i="3" s="1"/>
  <c r="C47" i="3"/>
  <c r="D46" i="3"/>
  <c r="E46" i="3" s="1"/>
  <c r="F46" i="3" s="1"/>
  <c r="C46" i="3"/>
  <c r="D45" i="3"/>
  <c r="E45" i="3" s="1"/>
  <c r="F45" i="3" s="1"/>
  <c r="C45" i="3"/>
  <c r="D44" i="3"/>
  <c r="E44" i="3" s="1"/>
  <c r="F44" i="3" s="1"/>
  <c r="C44" i="3"/>
  <c r="D43" i="3"/>
  <c r="E43" i="3" s="1"/>
  <c r="F43" i="3" s="1"/>
  <c r="C43" i="3"/>
  <c r="D42" i="3"/>
  <c r="E42" i="3" s="1"/>
  <c r="F42" i="3" s="1"/>
  <c r="C42" i="3"/>
  <c r="D41" i="3"/>
  <c r="E41" i="3" s="1"/>
  <c r="C41" i="3"/>
  <c r="D38" i="3"/>
  <c r="C38" i="3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6" i="2" s="1"/>
  <c r="F45" i="2"/>
  <c r="E45" i="2"/>
  <c r="F44" i="2"/>
  <c r="E44" i="2"/>
  <c r="D39" i="2"/>
  <c r="C39" i="2"/>
  <c r="F38" i="2"/>
  <c r="E38" i="2"/>
  <c r="F37" i="2"/>
  <c r="E37" i="2"/>
  <c r="E36" i="2"/>
  <c r="F36" i="2" s="1"/>
  <c r="D31" i="2"/>
  <c r="E31" i="2" s="1"/>
  <c r="F31" i="2" s="1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D33" i="2" s="1"/>
  <c r="C16" i="2"/>
  <c r="E15" i="2"/>
  <c r="F15" i="2" s="1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D65" i="1" s="1"/>
  <c r="C61" i="1"/>
  <c r="F60" i="1"/>
  <c r="E60" i="1"/>
  <c r="E59" i="1"/>
  <c r="F59" i="1" s="1"/>
  <c r="D56" i="1"/>
  <c r="C56" i="1"/>
  <c r="F55" i="1"/>
  <c r="E55" i="1"/>
  <c r="F54" i="1"/>
  <c r="E54" i="1"/>
  <c r="E53" i="1"/>
  <c r="F53" i="1" s="1"/>
  <c r="E52" i="1"/>
  <c r="F52" i="1" s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/>
  <c r="E41" i="1" s="1"/>
  <c r="C38" i="1"/>
  <c r="C41" i="1" s="1"/>
  <c r="E37" i="1"/>
  <c r="F37" i="1" s="1"/>
  <c r="E36" i="1"/>
  <c r="F36" i="1" s="1"/>
  <c r="E33" i="1"/>
  <c r="F33" i="1" s="1"/>
  <c r="F32" i="1"/>
  <c r="E32" i="1"/>
  <c r="F31" i="1"/>
  <c r="E31" i="1"/>
  <c r="D29" i="1"/>
  <c r="C29" i="1"/>
  <c r="E28" i="1"/>
  <c r="F28" i="1" s="1"/>
  <c r="E27" i="1"/>
  <c r="F27" i="1" s="1"/>
  <c r="F26" i="1"/>
  <c r="E26" i="1"/>
  <c r="E25" i="1"/>
  <c r="F25" i="1" s="1"/>
  <c r="D22" i="1"/>
  <c r="D43" i="1" s="1"/>
  <c r="C22" i="1"/>
  <c r="E21" i="1"/>
  <c r="F21" i="1" s="1"/>
  <c r="E20" i="1"/>
  <c r="F20" i="1" s="1"/>
  <c r="E19" i="1"/>
  <c r="F19" i="1" s="1"/>
  <c r="F18" i="1"/>
  <c r="E18" i="1"/>
  <c r="E17" i="1"/>
  <c r="F17" i="1" s="1"/>
  <c r="F16" i="1"/>
  <c r="E16" i="1"/>
  <c r="E15" i="1"/>
  <c r="F15" i="1" s="1"/>
  <c r="E14" i="1"/>
  <c r="F14" i="1" s="1"/>
  <c r="E13" i="1"/>
  <c r="F13" i="1" s="1"/>
  <c r="F47" i="14"/>
  <c r="F58" i="14"/>
  <c r="E85" i="14"/>
  <c r="F120" i="14"/>
  <c r="E226" i="14"/>
  <c r="F226" i="14" s="1"/>
  <c r="D192" i="14"/>
  <c r="D199" i="14"/>
  <c r="D214" i="14"/>
  <c r="D283" i="14"/>
  <c r="D261" i="14"/>
  <c r="D268" i="14" s="1"/>
  <c r="F129" i="14"/>
  <c r="E237" i="14"/>
  <c r="E67" i="14"/>
  <c r="E135" i="14"/>
  <c r="D190" i="14"/>
  <c r="D137" i="5"/>
  <c r="D140" i="5"/>
  <c r="D136" i="5"/>
  <c r="D139" i="5"/>
  <c r="D135" i="5"/>
  <c r="D138" i="5"/>
  <c r="E19" i="9"/>
  <c r="F19" i="9" s="1"/>
  <c r="C33" i="9"/>
  <c r="E122" i="7"/>
  <c r="D21" i="10"/>
  <c r="F122" i="7"/>
  <c r="C15" i="10"/>
  <c r="C25" i="10"/>
  <c r="C27" i="10" s="1"/>
  <c r="E48" i="10"/>
  <c r="E42" i="10" s="1"/>
  <c r="E59" i="10"/>
  <c r="E61" i="10" s="1"/>
  <c r="E57" i="10" s="1"/>
  <c r="C31" i="11"/>
  <c r="H31" i="11"/>
  <c r="H17" i="11"/>
  <c r="C65" i="1"/>
  <c r="C19" i="2"/>
  <c r="E29" i="1"/>
  <c r="F29" i="1" s="1"/>
  <c r="E56" i="1"/>
  <c r="E61" i="1"/>
  <c r="F61" i="1" s="1"/>
  <c r="E16" i="2"/>
  <c r="F16" i="2" s="1"/>
  <c r="E39" i="2"/>
  <c r="F39" i="2" s="1"/>
  <c r="E46" i="2"/>
  <c r="E25" i="3"/>
  <c r="F25" i="3" s="1"/>
  <c r="C52" i="3"/>
  <c r="E68" i="3"/>
  <c r="F68" i="3" s="1"/>
  <c r="C95" i="3"/>
  <c r="E111" i="3"/>
  <c r="F111" i="3" s="1"/>
  <c r="E137" i="3"/>
  <c r="F137" i="3" s="1"/>
  <c r="E166" i="3"/>
  <c r="F166" i="3" s="1"/>
  <c r="E18" i="4"/>
  <c r="F18" i="4" s="1"/>
  <c r="E30" i="4"/>
  <c r="F30" i="4" s="1"/>
  <c r="E35" i="4"/>
  <c r="F35" i="4" s="1"/>
  <c r="E59" i="4"/>
  <c r="F59" i="4" s="1"/>
  <c r="E78" i="4"/>
  <c r="F78" i="4" s="1"/>
  <c r="C83" i="4"/>
  <c r="E171" i="4"/>
  <c r="F171" i="4" s="1"/>
  <c r="C176" i="4"/>
  <c r="D49" i="5"/>
  <c r="E23" i="6"/>
  <c r="F23" i="6" s="1"/>
  <c r="E24" i="6"/>
  <c r="F24" i="6" s="1"/>
  <c r="E49" i="6"/>
  <c r="F49" i="6" s="1"/>
  <c r="E50" i="6"/>
  <c r="F50" i="6" s="1"/>
  <c r="E76" i="6"/>
  <c r="C15" i="5"/>
  <c r="E25" i="5"/>
  <c r="E27" i="5"/>
  <c r="C49" i="5"/>
  <c r="D53" i="5"/>
  <c r="C77" i="5"/>
  <c r="C71" i="5"/>
  <c r="E88" i="5"/>
  <c r="E90" i="5"/>
  <c r="E86" i="5" s="1"/>
  <c r="F88" i="6"/>
  <c r="F114" i="6"/>
  <c r="F115" i="6"/>
  <c r="E199" i="6"/>
  <c r="F199" i="6" s="1"/>
  <c r="F205" i="6"/>
  <c r="E48" i="7"/>
  <c r="E60" i="7"/>
  <c r="E72" i="7"/>
  <c r="E84" i="7"/>
  <c r="F108" i="7"/>
  <c r="E113" i="7"/>
  <c r="F113" i="7" s="1"/>
  <c r="F115" i="7"/>
  <c r="F119" i="7"/>
  <c r="C65" i="8"/>
  <c r="C75" i="8" s="1"/>
  <c r="G33" i="11"/>
  <c r="F16" i="12"/>
  <c r="F55" i="12"/>
  <c r="E75" i="12"/>
  <c r="F75" i="12" s="1"/>
  <c r="E22" i="8"/>
  <c r="F22" i="8" s="1"/>
  <c r="C41" i="8"/>
  <c r="E56" i="8"/>
  <c r="E16" i="9"/>
  <c r="F16" i="9"/>
  <c r="E25" i="10"/>
  <c r="E27" i="10"/>
  <c r="E15" i="10"/>
  <c r="C59" i="10"/>
  <c r="C61" i="10" s="1"/>
  <c r="C57" i="10" s="1"/>
  <c r="C48" i="10"/>
  <c r="C42" i="10"/>
  <c r="D57" i="5"/>
  <c r="D62" i="5" s="1"/>
  <c r="F75" i="6"/>
  <c r="F154" i="6"/>
  <c r="F166" i="6"/>
  <c r="F167" i="6"/>
  <c r="F203" i="6"/>
  <c r="C207" i="6"/>
  <c r="F36" i="7"/>
  <c r="F117" i="7"/>
  <c r="C121" i="7"/>
  <c r="F39" i="9"/>
  <c r="E33" i="11"/>
  <c r="E36" i="11" s="1"/>
  <c r="E38" i="11" s="1"/>
  <c r="E16" i="12"/>
  <c r="E65" i="12"/>
  <c r="F65" i="12"/>
  <c r="F84" i="12"/>
  <c r="E198" i="6"/>
  <c r="F198" i="6" s="1"/>
  <c r="E202" i="6"/>
  <c r="F202" i="6"/>
  <c r="E206" i="6"/>
  <c r="F206" i="6" s="1"/>
  <c r="E24" i="7"/>
  <c r="E35" i="7"/>
  <c r="F35" i="7"/>
  <c r="E47" i="7"/>
  <c r="E83" i="7"/>
  <c r="E112" i="7"/>
  <c r="F112" i="7" s="1"/>
  <c r="E116" i="7"/>
  <c r="F116" i="7" s="1"/>
  <c r="E120" i="7"/>
  <c r="F120" i="7"/>
  <c r="F29" i="8"/>
  <c r="E38" i="8"/>
  <c r="F38" i="8" s="1"/>
  <c r="F56" i="8"/>
  <c r="F31" i="9"/>
  <c r="E46" i="9"/>
  <c r="E30" i="12"/>
  <c r="F70" i="12"/>
  <c r="C261" i="14"/>
  <c r="C254" i="14"/>
  <c r="E188" i="14"/>
  <c r="F188" i="14" s="1"/>
  <c r="C285" i="14"/>
  <c r="C269" i="14"/>
  <c r="D43" i="15"/>
  <c r="E38" i="15"/>
  <c r="D71" i="15"/>
  <c r="D65" i="15"/>
  <c r="D289" i="15"/>
  <c r="E60" i="15"/>
  <c r="D163" i="15"/>
  <c r="E163" i="15" s="1"/>
  <c r="D144" i="15"/>
  <c r="D175" i="15"/>
  <c r="E139" i="15"/>
  <c r="D207" i="14"/>
  <c r="D138" i="14"/>
  <c r="D140" i="14" s="1"/>
  <c r="F99" i="12"/>
  <c r="F14" i="13"/>
  <c r="E30" i="14"/>
  <c r="F30" i="14" s="1"/>
  <c r="E36" i="14"/>
  <c r="F36" i="14" s="1"/>
  <c r="E48" i="14"/>
  <c r="E59" i="14"/>
  <c r="F59" i="14" s="1"/>
  <c r="C68" i="14"/>
  <c r="C90" i="14"/>
  <c r="F102" i="14"/>
  <c r="E109" i="14"/>
  <c r="E172" i="14"/>
  <c r="F172" i="14" s="1"/>
  <c r="F179" i="14"/>
  <c r="C190" i="14"/>
  <c r="C193" i="14"/>
  <c r="E198" i="14"/>
  <c r="C200" i="14"/>
  <c r="C288" i="14"/>
  <c r="F295" i="14"/>
  <c r="F299" i="14"/>
  <c r="C254" i="15"/>
  <c r="C287" i="14"/>
  <c r="C279" i="14"/>
  <c r="C283" i="15"/>
  <c r="C22" i="15"/>
  <c r="C284" i="15" s="1"/>
  <c r="D33" i="15"/>
  <c r="E32" i="15"/>
  <c r="D175" i="14"/>
  <c r="D62" i="14"/>
  <c r="D105" i="14"/>
  <c r="F24" i="14"/>
  <c r="F44" i="14"/>
  <c r="F53" i="14"/>
  <c r="F67" i="14"/>
  <c r="F89" i="14"/>
  <c r="F136" i="14"/>
  <c r="C159" i="14"/>
  <c r="F170" i="14"/>
  <c r="C181" i="14"/>
  <c r="F238" i="14"/>
  <c r="C266" i="14"/>
  <c r="F278" i="14"/>
  <c r="C290" i="14"/>
  <c r="E290" i="14" s="1"/>
  <c r="C76" i="15"/>
  <c r="C215" i="14"/>
  <c r="C283" i="14"/>
  <c r="C205" i="14"/>
  <c r="F203" i="14"/>
  <c r="C306" i="14"/>
  <c r="F250" i="14"/>
  <c r="E22" i="15"/>
  <c r="D55" i="15"/>
  <c r="E55" i="15"/>
  <c r="E54" i="15"/>
  <c r="C108" i="19"/>
  <c r="C109" i="19"/>
  <c r="F92" i="12"/>
  <c r="F23" i="13"/>
  <c r="C31" i="14"/>
  <c r="F35" i="14"/>
  <c r="C37" i="14"/>
  <c r="C60" i="14"/>
  <c r="C103" i="14"/>
  <c r="F135" i="14"/>
  <c r="C146" i="14"/>
  <c r="F158" i="14"/>
  <c r="F165" i="14"/>
  <c r="E171" i="14"/>
  <c r="F171" i="14" s="1"/>
  <c r="C173" i="14"/>
  <c r="E173" i="14" s="1"/>
  <c r="C192" i="14"/>
  <c r="F204" i="14"/>
  <c r="C214" i="14"/>
  <c r="F237" i="14"/>
  <c r="C262" i="14"/>
  <c r="C284" i="14"/>
  <c r="E69" i="15"/>
  <c r="E253" i="15"/>
  <c r="F20" i="17"/>
  <c r="E40" i="17"/>
  <c r="F40" i="17" s="1"/>
  <c r="C168" i="15"/>
  <c r="C145" i="15"/>
  <c r="E156" i="15"/>
  <c r="D157" i="15"/>
  <c r="E157" i="15" s="1"/>
  <c r="D320" i="15"/>
  <c r="E320" i="15" s="1"/>
  <c r="E316" i="15"/>
  <c r="D330" i="15"/>
  <c r="E330" i="15"/>
  <c r="E326" i="15"/>
  <c r="C41" i="17"/>
  <c r="D139" i="14"/>
  <c r="D104" i="14"/>
  <c r="D174" i="14"/>
  <c r="F48" i="14"/>
  <c r="F109" i="14"/>
  <c r="C137" i="14"/>
  <c r="C160" i="14"/>
  <c r="F180" i="14"/>
  <c r="F198" i="14"/>
  <c r="F223" i="14"/>
  <c r="C239" i="14"/>
  <c r="C274" i="14"/>
  <c r="E21" i="15"/>
  <c r="D44" i="15"/>
  <c r="E188" i="15"/>
  <c r="D210" i="15"/>
  <c r="D217" i="15"/>
  <c r="E218" i="15"/>
  <c r="E233" i="15"/>
  <c r="D239" i="15"/>
  <c r="C242" i="15"/>
  <c r="E242" i="15" s="1"/>
  <c r="E251" i="15"/>
  <c r="C260" i="15"/>
  <c r="D261" i="15"/>
  <c r="E261" i="15" s="1"/>
  <c r="C22" i="16"/>
  <c r="E22" i="19"/>
  <c r="D34" i="19"/>
  <c r="D54" i="19"/>
  <c r="D77" i="19"/>
  <c r="C101" i="19"/>
  <c r="D161" i="14"/>
  <c r="D193" i="14"/>
  <c r="D282" i="14" s="1"/>
  <c r="D271" i="14"/>
  <c r="D277" i="14"/>
  <c r="D285" i="14"/>
  <c r="E285" i="14" s="1"/>
  <c r="E215" i="15"/>
  <c r="E219" i="15"/>
  <c r="D222" i="15"/>
  <c r="D246" i="15" s="1"/>
  <c r="D229" i="15"/>
  <c r="E229" i="15"/>
  <c r="C239" i="15"/>
  <c r="D240" i="15"/>
  <c r="E240" i="15" s="1"/>
  <c r="D244" i="15"/>
  <c r="E244" i="15" s="1"/>
  <c r="E314" i="15"/>
  <c r="F33" i="17"/>
  <c r="D22" i="19"/>
  <c r="E23" i="19"/>
  <c r="D111" i="19"/>
  <c r="D124" i="14"/>
  <c r="D160" i="14"/>
  <c r="E160" i="14"/>
  <c r="D200" i="14"/>
  <c r="E200" i="14"/>
  <c r="D262" i="14"/>
  <c r="D263" i="14"/>
  <c r="D274" i="14"/>
  <c r="D300" i="14"/>
  <c r="D280" i="14"/>
  <c r="E231" i="15"/>
  <c r="E324" i="15"/>
  <c r="E19" i="17"/>
  <c r="F19" i="17" s="1"/>
  <c r="E39" i="17"/>
  <c r="E41" i="17" s="1"/>
  <c r="F41" i="17" s="1"/>
  <c r="E43" i="17"/>
  <c r="D30" i="19"/>
  <c r="D113" i="19" s="1"/>
  <c r="E33" i="19"/>
  <c r="D36" i="19"/>
  <c r="D40" i="19"/>
  <c r="D49" i="14"/>
  <c r="D91" i="14"/>
  <c r="D92" i="14" s="1"/>
  <c r="E221" i="15"/>
  <c r="E77" i="19"/>
  <c r="D254" i="14"/>
  <c r="E254" i="14" s="1"/>
  <c r="F254" i="14" s="1"/>
  <c r="E75" i="8"/>
  <c r="F75" i="8" s="1"/>
  <c r="D281" i="14"/>
  <c r="D287" i="14"/>
  <c r="D279" i="14"/>
  <c r="E279" i="14"/>
  <c r="D284" i="14"/>
  <c r="E284" i="14"/>
  <c r="F284" i="14" s="1"/>
  <c r="E277" i="14"/>
  <c r="F277" i="14" s="1"/>
  <c r="D162" i="14"/>
  <c r="E217" i="15"/>
  <c r="D241" i="15"/>
  <c r="E241" i="15" s="1"/>
  <c r="C272" i="14"/>
  <c r="C61" i="14"/>
  <c r="E60" i="14"/>
  <c r="F60" i="14" s="1"/>
  <c r="C32" i="14"/>
  <c r="E31" i="14"/>
  <c r="F31" i="14" s="1"/>
  <c r="E205" i="14"/>
  <c r="F205" i="14" s="1"/>
  <c r="E190" i="14"/>
  <c r="F190" i="14" s="1"/>
  <c r="E207" i="6"/>
  <c r="F207" i="6" s="1"/>
  <c r="C33" i="2"/>
  <c r="C24" i="10"/>
  <c r="C17" i="10"/>
  <c r="C28" i="10" s="1"/>
  <c r="C70" i="10" s="1"/>
  <c r="C72" i="10" s="1"/>
  <c r="C69" i="10" s="1"/>
  <c r="F290" i="14"/>
  <c r="C77" i="15"/>
  <c r="D50" i="14"/>
  <c r="D53" i="19"/>
  <c r="D45" i="19"/>
  <c r="D39" i="19"/>
  <c r="D35" i="19"/>
  <c r="D29" i="19"/>
  <c r="D110" i="19"/>
  <c r="D56" i="19"/>
  <c r="D38" i="19"/>
  <c r="D272" i="14"/>
  <c r="E272" i="14" s="1"/>
  <c r="F272" i="14" s="1"/>
  <c r="E262" i="14"/>
  <c r="F262" i="14" s="1"/>
  <c r="E54" i="19"/>
  <c r="E46" i="19"/>
  <c r="E40" i="19"/>
  <c r="E36" i="19"/>
  <c r="E30" i="19"/>
  <c r="E111" i="19"/>
  <c r="D194" i="14"/>
  <c r="E193" i="14"/>
  <c r="F193" i="14" s="1"/>
  <c r="D109" i="19"/>
  <c r="D108" i="19"/>
  <c r="E110" i="19"/>
  <c r="E53" i="19"/>
  <c r="E45" i="19"/>
  <c r="E39" i="19"/>
  <c r="E35" i="19"/>
  <c r="E29" i="19"/>
  <c r="C138" i="14"/>
  <c r="E137" i="14"/>
  <c r="F137" i="14"/>
  <c r="C207" i="14"/>
  <c r="C169" i="15"/>
  <c r="E103" i="14"/>
  <c r="F103" i="14"/>
  <c r="D106" i="14"/>
  <c r="D176" i="14"/>
  <c r="C289" i="14"/>
  <c r="C291" i="14"/>
  <c r="C194" i="14"/>
  <c r="D208" i="14"/>
  <c r="E207" i="14"/>
  <c r="D76" i="15"/>
  <c r="E71" i="15"/>
  <c r="E121" i="7"/>
  <c r="F121" i="7" s="1"/>
  <c r="E21" i="10"/>
  <c r="G36" i="11"/>
  <c r="G38" i="11" s="1"/>
  <c r="G40" i="11" s="1"/>
  <c r="I33" i="11"/>
  <c r="I36" i="11"/>
  <c r="I38" i="11" s="1"/>
  <c r="I40" i="11" s="1"/>
  <c r="C24" i="5"/>
  <c r="C20" i="5" s="1"/>
  <c r="C17" i="5"/>
  <c r="C22" i="10"/>
  <c r="C20" i="10"/>
  <c r="C21" i="10"/>
  <c r="D41" i="2"/>
  <c r="E33" i="2"/>
  <c r="D126" i="14"/>
  <c r="D252" i="15"/>
  <c r="D284" i="15"/>
  <c r="E284" i="15" s="1"/>
  <c r="E192" i="14"/>
  <c r="F192" i="14" s="1"/>
  <c r="F285" i="14"/>
  <c r="D99" i="15"/>
  <c r="D95" i="15"/>
  <c r="D88" i="15"/>
  <c r="D84" i="15"/>
  <c r="D258" i="15"/>
  <c r="D101" i="15"/>
  <c r="D97" i="15"/>
  <c r="D86" i="15"/>
  <c r="D100" i="15"/>
  <c r="D89" i="15"/>
  <c r="D98" i="15"/>
  <c r="D87" i="15"/>
  <c r="D96" i="15"/>
  <c r="D85" i="15"/>
  <c r="D83" i="15"/>
  <c r="C216" i="14"/>
  <c r="E214" i="14"/>
  <c r="F214" i="14" s="1"/>
  <c r="E37" i="14"/>
  <c r="F37" i="14" s="1"/>
  <c r="E306" i="14"/>
  <c r="E181" i="14"/>
  <c r="F181" i="14" s="1"/>
  <c r="D141" i="14"/>
  <c r="E33" i="15"/>
  <c r="D180" i="15"/>
  <c r="D168" i="15"/>
  <c r="E168" i="15" s="1"/>
  <c r="E144" i="15"/>
  <c r="D145" i="15"/>
  <c r="D66" i="15"/>
  <c r="D295" i="15" s="1"/>
  <c r="E269" i="14"/>
  <c r="F269" i="14" s="1"/>
  <c r="C263" i="14"/>
  <c r="E261" i="14"/>
  <c r="F261" i="14"/>
  <c r="E17" i="10"/>
  <c r="E28" i="10"/>
  <c r="E22" i="10" s="1"/>
  <c r="E24" i="10"/>
  <c r="E20" i="10" s="1"/>
  <c r="E41" i="8"/>
  <c r="F41" i="8" s="1"/>
  <c r="C41" i="9"/>
  <c r="E33" i="9"/>
  <c r="F33" i="9" s="1"/>
  <c r="F160" i="14"/>
  <c r="F279" i="14"/>
  <c r="D288" i="14"/>
  <c r="E288" i="14" s="1"/>
  <c r="F288" i="14" s="1"/>
  <c r="C304" i="14"/>
  <c r="E138" i="14"/>
  <c r="C43" i="8"/>
  <c r="E65" i="1"/>
  <c r="F65" i="1" s="1"/>
  <c r="E19" i="2"/>
  <c r="F19" i="2" s="1"/>
  <c r="D141" i="5"/>
  <c r="E239" i="14"/>
  <c r="F239" i="14" s="1"/>
  <c r="E109" i="19"/>
  <c r="E108" i="19"/>
  <c r="F43" i="17"/>
  <c r="D304" i="14"/>
  <c r="D273" i="14"/>
  <c r="D234" i="15"/>
  <c r="D211" i="15"/>
  <c r="E146" i="14"/>
  <c r="F146" i="14" s="1"/>
  <c r="C286" i="14"/>
  <c r="E283" i="14"/>
  <c r="F283" i="14" s="1"/>
  <c r="E159" i="14"/>
  <c r="F159" i="14" s="1"/>
  <c r="D63" i="14"/>
  <c r="D259" i="15"/>
  <c r="E65" i="8"/>
  <c r="F65" i="8" s="1"/>
  <c r="E21" i="5"/>
  <c r="E263" i="14"/>
  <c r="E260" i="15"/>
  <c r="E274" i="14"/>
  <c r="F274" i="14" s="1"/>
  <c r="D125" i="14"/>
  <c r="E239" i="15"/>
  <c r="D223" i="15"/>
  <c r="F173" i="14"/>
  <c r="D294" i="15"/>
  <c r="F200" i="14"/>
  <c r="C282" i="14"/>
  <c r="C75" i="1"/>
  <c r="D247" i="15"/>
  <c r="E304" i="14"/>
  <c r="D235" i="15"/>
  <c r="D181" i="15"/>
  <c r="E145" i="15"/>
  <c r="D169" i="15"/>
  <c r="E169" i="15" s="1"/>
  <c r="D102" i="15"/>
  <c r="D103" i="15" s="1"/>
  <c r="D105" i="15" s="1"/>
  <c r="D48" i="2"/>
  <c r="C112" i="5"/>
  <c r="C111" i="5"/>
  <c r="C28" i="5"/>
  <c r="D209" i="14"/>
  <c r="D210" i="14"/>
  <c r="D47" i="19"/>
  <c r="D37" i="19"/>
  <c r="D112" i="19"/>
  <c r="D55" i="19"/>
  <c r="C125" i="15"/>
  <c r="C121" i="15"/>
  <c r="C114" i="15"/>
  <c r="C110" i="15"/>
  <c r="C127" i="15"/>
  <c r="C123" i="15"/>
  <c r="C112" i="15"/>
  <c r="C126" i="15"/>
  <c r="C115" i="15"/>
  <c r="C124" i="15"/>
  <c r="C113" i="15"/>
  <c r="C122" i="15"/>
  <c r="C111" i="15"/>
  <c r="C109" i="15"/>
  <c r="D183" i="14"/>
  <c r="D323" i="14"/>
  <c r="D291" i="14"/>
  <c r="D289" i="14"/>
  <c r="E289" i="14" s="1"/>
  <c r="F289" i="14" s="1"/>
  <c r="E287" i="14"/>
  <c r="F287" i="14" s="1"/>
  <c r="F263" i="14"/>
  <c r="F138" i="14"/>
  <c r="C305" i="14"/>
  <c r="C175" i="14"/>
  <c r="E32" i="14"/>
  <c r="F32" i="14"/>
  <c r="C105" i="14"/>
  <c r="C140" i="14"/>
  <c r="C62" i="14"/>
  <c r="F304" i="14"/>
  <c r="C48" i="9"/>
  <c r="E41" i="9"/>
  <c r="F41" i="9" s="1"/>
  <c r="D263" i="15"/>
  <c r="D91" i="15"/>
  <c r="D90" i="15"/>
  <c r="D127" i="14"/>
  <c r="E76" i="15"/>
  <c r="D77" i="15"/>
  <c r="D126" i="15" s="1"/>
  <c r="F207" i="14"/>
  <c r="C208" i="14"/>
  <c r="C209" i="14" s="1"/>
  <c r="E194" i="14"/>
  <c r="D196" i="14"/>
  <c r="D195" i="14"/>
  <c r="E48" i="19"/>
  <c r="E38" i="19"/>
  <c r="E113" i="19"/>
  <c r="E56" i="19"/>
  <c r="D324" i="14"/>
  <c r="D113" i="14"/>
  <c r="D70" i="14"/>
  <c r="F33" i="2"/>
  <c r="C41" i="2"/>
  <c r="C104" i="14"/>
  <c r="C139" i="14"/>
  <c r="E61" i="14"/>
  <c r="F61" i="14" s="1"/>
  <c r="C174" i="14"/>
  <c r="E174" i="14" s="1"/>
  <c r="F174" i="14" s="1"/>
  <c r="E282" i="14"/>
  <c r="F282" i="14"/>
  <c r="D322" i="14"/>
  <c r="E252" i="15"/>
  <c r="D254" i="15"/>
  <c r="E254" i="15" s="1"/>
  <c r="F194" i="14"/>
  <c r="C195" i="14"/>
  <c r="E47" i="19"/>
  <c r="E37" i="19"/>
  <c r="E112" i="19"/>
  <c r="E55" i="19"/>
  <c r="E104" i="14"/>
  <c r="F104" i="14" s="1"/>
  <c r="E48" i="9"/>
  <c r="F48" i="9" s="1"/>
  <c r="C63" i="14"/>
  <c r="E62" i="14"/>
  <c r="F62" i="14" s="1"/>
  <c r="D305" i="14"/>
  <c r="E291" i="14"/>
  <c r="F291" i="14" s="1"/>
  <c r="D211" i="14"/>
  <c r="D122" i="15"/>
  <c r="D124" i="15"/>
  <c r="E124" i="15"/>
  <c r="D113" i="15"/>
  <c r="E113" i="15"/>
  <c r="D109" i="15"/>
  <c r="D123" i="15"/>
  <c r="E123" i="15" s="1"/>
  <c r="D112" i="15"/>
  <c r="E112" i="15" s="1"/>
  <c r="D121" i="15"/>
  <c r="D110" i="15"/>
  <c r="D127" i="15"/>
  <c r="E127" i="15" s="1"/>
  <c r="E77" i="15"/>
  <c r="D125" i="15"/>
  <c r="E125" i="15" s="1"/>
  <c r="D114" i="15"/>
  <c r="E114" i="15" s="1"/>
  <c r="C106" i="14"/>
  <c r="F106" i="14" s="1"/>
  <c r="E105" i="14"/>
  <c r="F105" i="14" s="1"/>
  <c r="C309" i="14"/>
  <c r="C310" i="14" s="1"/>
  <c r="C99" i="5"/>
  <c r="C101" i="5"/>
  <c r="C98" i="5" s="1"/>
  <c r="C22" i="5"/>
  <c r="D264" i="15"/>
  <c r="E139" i="14"/>
  <c r="F139" i="14" s="1"/>
  <c r="C48" i="2"/>
  <c r="E48" i="2" s="1"/>
  <c r="F48" i="2" s="1"/>
  <c r="D197" i="14"/>
  <c r="D148" i="14"/>
  <c r="C210" i="14"/>
  <c r="C128" i="15"/>
  <c r="C129" i="15" s="1"/>
  <c r="C116" i="15"/>
  <c r="C117" i="15" s="1"/>
  <c r="E208" i="14"/>
  <c r="F208" i="14" s="1"/>
  <c r="C141" i="14"/>
  <c r="E140" i="14"/>
  <c r="F140" i="14" s="1"/>
  <c r="C176" i="14"/>
  <c r="E176" i="14" s="1"/>
  <c r="F176" i="14" s="1"/>
  <c r="E175" i="14"/>
  <c r="F175" i="14" s="1"/>
  <c r="E195" i="14"/>
  <c r="F195" i="14"/>
  <c r="E41" i="2"/>
  <c r="F41" i="2" s="1"/>
  <c r="D266" i="15"/>
  <c r="D267" i="15" s="1"/>
  <c r="E106" i="14"/>
  <c r="E63" i="14"/>
  <c r="F63" i="14" s="1"/>
  <c r="C322" i="14"/>
  <c r="E322" i="14" s="1"/>
  <c r="F322" i="14" s="1"/>
  <c r="E121" i="15"/>
  <c r="E122" i="15"/>
  <c r="E210" i="14"/>
  <c r="F210" i="14" s="1"/>
  <c r="E110" i="15"/>
  <c r="E109" i="15"/>
  <c r="D309" i="14"/>
  <c r="E305" i="14"/>
  <c r="F305" i="14" s="1"/>
  <c r="E309" i="14"/>
  <c r="F309" i="14" s="1"/>
  <c r="D310" i="14"/>
  <c r="E310" i="14" s="1"/>
  <c r="D312" i="14"/>
  <c r="D268" i="15" l="1"/>
  <c r="D271" i="15" s="1"/>
  <c r="D269" i="15"/>
  <c r="E126" i="15"/>
  <c r="D128" i="15"/>
  <c r="F310" i="14"/>
  <c r="C312" i="14"/>
  <c r="C313" i="14" s="1"/>
  <c r="E312" i="14"/>
  <c r="F312" i="14" s="1"/>
  <c r="C211" i="14"/>
  <c r="D111" i="15"/>
  <c r="D115" i="15"/>
  <c r="E115" i="15" s="1"/>
  <c r="D325" i="14"/>
  <c r="D266" i="14"/>
  <c r="D75" i="1"/>
  <c r="E75" i="1" s="1"/>
  <c r="F75" i="1" s="1"/>
  <c r="E53" i="5"/>
  <c r="D77" i="5"/>
  <c r="D71" i="5" s="1"/>
  <c r="C149" i="5"/>
  <c r="E149" i="5"/>
  <c r="C166" i="5"/>
  <c r="E107" i="7"/>
  <c r="F107" i="7" s="1"/>
  <c r="E118" i="7"/>
  <c r="F118" i="7" s="1"/>
  <c r="C50" i="10"/>
  <c r="E73" i="1"/>
  <c r="F73" i="1" s="1"/>
  <c r="D95" i="3"/>
  <c r="E95" i="3" s="1"/>
  <c r="F95" i="3" s="1"/>
  <c r="E41" i="4"/>
  <c r="F41" i="4" s="1"/>
  <c r="E109" i="4"/>
  <c r="F109" i="4" s="1"/>
  <c r="E118" i="4"/>
  <c r="F118" i="4" s="1"/>
  <c r="E57" i="5"/>
  <c r="E62" i="5" s="1"/>
  <c r="E49" i="5"/>
  <c r="E71" i="5"/>
  <c r="C79" i="5"/>
  <c r="E89" i="6"/>
  <c r="F89" i="6" s="1"/>
  <c r="E167" i="6"/>
  <c r="E179" i="6"/>
  <c r="E193" i="6"/>
  <c r="E200" i="6"/>
  <c r="F200" i="6" s="1"/>
  <c r="E204" i="6"/>
  <c r="F204" i="6" s="1"/>
  <c r="E114" i="7"/>
  <c r="F114" i="7" s="1"/>
  <c r="D43" i="8"/>
  <c r="E43" i="8" s="1"/>
  <c r="F43" i="8" s="1"/>
  <c r="E73" i="8"/>
  <c r="F73" i="8" s="1"/>
  <c r="D42" i="10"/>
  <c r="I17" i="11"/>
  <c r="E23" i="12"/>
  <c r="F23" i="12" s="1"/>
  <c r="E37" i="12"/>
  <c r="F37" i="12" s="1"/>
  <c r="E45" i="12"/>
  <c r="F45" i="12" s="1"/>
  <c r="C124" i="14"/>
  <c r="C125" i="14" s="1"/>
  <c r="E125" i="14" s="1"/>
  <c r="F125" i="14" s="1"/>
  <c r="C267" i="14"/>
  <c r="C33" i="19"/>
  <c r="D33" i="19"/>
  <c r="C23" i="19"/>
  <c r="C102" i="19"/>
  <c r="C103" i="19" s="1"/>
  <c r="E101" i="19"/>
  <c r="E103" i="19" s="1"/>
  <c r="D90" i="14"/>
  <c r="E90" i="14" s="1"/>
  <c r="F90" i="14" s="1"/>
  <c r="D68" i="14"/>
  <c r="E68" i="14" s="1"/>
  <c r="F68" i="14" s="1"/>
  <c r="D111" i="14"/>
  <c r="E18" i="13"/>
  <c r="F18" i="13" s="1"/>
  <c r="C77" i="14"/>
  <c r="E77" i="14" s="1"/>
  <c r="E89" i="14"/>
  <c r="E101" i="14"/>
  <c r="F101" i="14" s="1"/>
  <c r="C111" i="14"/>
  <c r="E110" i="14"/>
  <c r="E123" i="14"/>
  <c r="F123" i="14" s="1"/>
  <c r="F144" i="14"/>
  <c r="E155" i="14"/>
  <c r="F155" i="14" s="1"/>
  <c r="C199" i="14"/>
  <c r="E199" i="14" s="1"/>
  <c r="F199" i="14" s="1"/>
  <c r="F229" i="14"/>
  <c r="E230" i="14"/>
  <c r="F230" i="14" s="1"/>
  <c r="E36" i="15"/>
  <c r="E70" i="15"/>
  <c r="E72" i="15"/>
  <c r="E74" i="15"/>
  <c r="E75" i="15"/>
  <c r="E162" i="15"/>
  <c r="E195" i="15"/>
  <c r="E227" i="15"/>
  <c r="E265" i="15"/>
  <c r="E291" i="15"/>
  <c r="D41" i="17"/>
  <c r="C22" i="19"/>
  <c r="D102" i="19"/>
  <c r="D103" i="19" s="1"/>
  <c r="D98" i="19"/>
  <c r="E209" i="14"/>
  <c r="F209" i="14" s="1"/>
  <c r="E211" i="14"/>
  <c r="F211" i="14" s="1"/>
  <c r="C131" i="15"/>
  <c r="D313" i="14"/>
  <c r="E141" i="14"/>
  <c r="F141" i="14" s="1"/>
  <c r="E70" i="10"/>
  <c r="E72" i="10" s="1"/>
  <c r="E69" i="10" s="1"/>
  <c r="D48" i="19"/>
  <c r="D286" i="14"/>
  <c r="E286" i="14" s="1"/>
  <c r="F286" i="14" s="1"/>
  <c r="F39" i="17"/>
  <c r="C43" i="1"/>
  <c r="F41" i="1"/>
  <c r="F56" i="1"/>
  <c r="F41" i="3"/>
  <c r="E24" i="5"/>
  <c r="E20" i="5" s="1"/>
  <c r="E17" i="5"/>
  <c r="D157" i="5"/>
  <c r="D156" i="5"/>
  <c r="D154" i="5"/>
  <c r="D153" i="5"/>
  <c r="D152" i="5"/>
  <c r="D155" i="5"/>
  <c r="E154" i="5"/>
  <c r="E153" i="5"/>
  <c r="E152" i="5"/>
  <c r="E155" i="5"/>
  <c r="E157" i="5"/>
  <c r="E156" i="5"/>
  <c r="E208" i="6"/>
  <c r="F208" i="6" s="1"/>
  <c r="D21" i="5"/>
  <c r="C136" i="5"/>
  <c r="C135" i="5"/>
  <c r="C137" i="5"/>
  <c r="C140" i="5"/>
  <c r="C139" i="5"/>
  <c r="C138" i="5"/>
  <c r="E138" i="5"/>
  <c r="E140" i="5"/>
  <c r="E139" i="5"/>
  <c r="E137" i="5"/>
  <c r="E136" i="5"/>
  <c r="E135" i="5"/>
  <c r="E141" i="5" s="1"/>
  <c r="C153" i="5"/>
  <c r="C152" i="5"/>
  <c r="C155" i="5"/>
  <c r="C157" i="5"/>
  <c r="C156" i="5"/>
  <c r="C154" i="5"/>
  <c r="E38" i="1"/>
  <c r="E38" i="3"/>
  <c r="F38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E93" i="3"/>
  <c r="F93" i="3" s="1"/>
  <c r="E94" i="3"/>
  <c r="F94" i="3" s="1"/>
  <c r="E124" i="3"/>
  <c r="F124" i="3" s="1"/>
  <c r="E153" i="3"/>
  <c r="F153" i="3" s="1"/>
  <c r="E179" i="3"/>
  <c r="F179" i="3" s="1"/>
  <c r="E24" i="4"/>
  <c r="F24" i="4" s="1"/>
  <c r="D176" i="4"/>
  <c r="E176" i="4" s="1"/>
  <c r="F176" i="4" s="1"/>
  <c r="D15" i="5"/>
  <c r="C43" i="5"/>
  <c r="E153" i="6"/>
  <c r="F153" i="6" s="1"/>
  <c r="E23" i="7"/>
  <c r="E59" i="7"/>
  <c r="E22" i="1"/>
  <c r="F22" i="1" s="1"/>
  <c r="F38" i="1"/>
  <c r="D52" i="3"/>
  <c r="E52" i="3" s="1"/>
  <c r="F52" i="3" s="1"/>
  <c r="D83" i="4"/>
  <c r="E83" i="4" s="1"/>
  <c r="F83" i="4" s="1"/>
  <c r="C57" i="5"/>
  <c r="C62" i="5" s="1"/>
  <c r="E96" i="7"/>
  <c r="F96" i="7" s="1"/>
  <c r="D59" i="10"/>
  <c r="D61" i="10" s="1"/>
  <c r="D57" i="10" s="1"/>
  <c r="F33" i="11"/>
  <c r="E20" i="14"/>
  <c r="F20" i="14" s="1"/>
  <c r="C21" i="14"/>
  <c r="E191" i="14"/>
  <c r="F191" i="14" s="1"/>
  <c r="C264" i="14"/>
  <c r="C280" i="14"/>
  <c r="C43" i="15"/>
  <c r="E151" i="15"/>
  <c r="C175" i="15"/>
  <c r="E175" i="15" s="1"/>
  <c r="C210" i="15"/>
  <c r="E243" i="15"/>
  <c r="E164" i="14"/>
  <c r="F164" i="14" s="1"/>
  <c r="E307" i="14"/>
  <c r="D15" i="10"/>
  <c r="G31" i="11"/>
  <c r="I31" i="11" s="1"/>
  <c r="E23" i="14"/>
  <c r="F23" i="14" s="1"/>
  <c r="E88" i="14"/>
  <c r="F88" i="14" s="1"/>
  <c r="F95" i="14"/>
  <c r="F100" i="14"/>
  <c r="E189" i="14"/>
  <c r="F189" i="14" s="1"/>
  <c r="C206" i="14"/>
  <c r="C255" i="14"/>
  <c r="F307" i="14"/>
  <c r="D283" i="15"/>
  <c r="E283" i="15" s="1"/>
  <c r="C289" i="15"/>
  <c r="E289" i="15" s="1"/>
  <c r="C65" i="15"/>
  <c r="C189" i="15"/>
  <c r="E189" i="15" s="1"/>
  <c r="C222" i="15"/>
  <c r="C246" i="15" s="1"/>
  <c r="E246" i="15" s="1"/>
  <c r="E227" i="14"/>
  <c r="F227" i="14" s="1"/>
  <c r="C64" i="16"/>
  <c r="C65" i="16" s="1"/>
  <c r="C114" i="16" s="1"/>
  <c r="C116" i="16" s="1"/>
  <c r="C119" i="16" s="1"/>
  <c r="C123" i="16" s="1"/>
  <c r="E44" i="17"/>
  <c r="E45" i="17"/>
  <c r="F45" i="17" s="1"/>
  <c r="D215" i="14"/>
  <c r="D302" i="15"/>
  <c r="E25" i="17"/>
  <c r="F25" i="17" s="1"/>
  <c r="E267" i="14" l="1"/>
  <c r="C270" i="14"/>
  <c r="F267" i="14"/>
  <c r="C271" i="14"/>
  <c r="C268" i="14"/>
  <c r="E268" i="14" s="1"/>
  <c r="F268" i="14" s="1"/>
  <c r="E124" i="14"/>
  <c r="F124" i="14" s="1"/>
  <c r="E111" i="15"/>
  <c r="D116" i="15"/>
  <c r="C251" i="14"/>
  <c r="C315" i="14"/>
  <c r="C256" i="14"/>
  <c r="C314" i="14"/>
  <c r="C318" i="14" s="1"/>
  <c r="E128" i="15"/>
  <c r="D129" i="15"/>
  <c r="E129" i="15" s="1"/>
  <c r="C45" i="19"/>
  <c r="C53" i="19"/>
  <c r="C110" i="19"/>
  <c r="C35" i="19"/>
  <c r="C39" i="19"/>
  <c r="C29" i="19"/>
  <c r="E111" i="14"/>
  <c r="F111" i="14" s="1"/>
  <c r="C46" i="19"/>
  <c r="C54" i="19"/>
  <c r="C111" i="19"/>
  <c r="C30" i="19"/>
  <c r="C40" i="19"/>
  <c r="C36" i="19"/>
  <c r="E266" i="14"/>
  <c r="F266" i="14" s="1"/>
  <c r="D265" i="14"/>
  <c r="E302" i="15"/>
  <c r="D303" i="15"/>
  <c r="C66" i="15"/>
  <c r="C294" i="15"/>
  <c r="E294" i="15" s="1"/>
  <c r="E65" i="15"/>
  <c r="C257" i="14"/>
  <c r="C259" i="15"/>
  <c r="C44" i="15"/>
  <c r="E43" i="15"/>
  <c r="E264" i="14"/>
  <c r="F264" i="14" s="1"/>
  <c r="C265" i="14"/>
  <c r="C300" i="14"/>
  <c r="E158" i="5"/>
  <c r="D158" i="5"/>
  <c r="E222" i="15"/>
  <c r="D255" i="14"/>
  <c r="E255" i="14" s="1"/>
  <c r="F255" i="14" s="1"/>
  <c r="D216" i="14"/>
  <c r="E216" i="14" s="1"/>
  <c r="F216" i="14" s="1"/>
  <c r="E215" i="14"/>
  <c r="F215" i="14" s="1"/>
  <c r="E46" i="17"/>
  <c r="F46" i="17" s="1"/>
  <c r="F44" i="17"/>
  <c r="E206" i="14"/>
  <c r="F206" i="14" s="1"/>
  <c r="D24" i="10"/>
  <c r="D20" i="10" s="1"/>
  <c r="D17" i="10"/>
  <c r="D28" i="10" s="1"/>
  <c r="C234" i="15"/>
  <c r="E234" i="15" s="1"/>
  <c r="C180" i="15"/>
  <c r="E180" i="15" s="1"/>
  <c r="C211" i="15"/>
  <c r="E210" i="15"/>
  <c r="F280" i="14"/>
  <c r="E280" i="14"/>
  <c r="C281" i="14"/>
  <c r="C126" i="14"/>
  <c r="C49" i="14"/>
  <c r="C161" i="14"/>
  <c r="C91" i="14"/>
  <c r="E21" i="14"/>
  <c r="F21" i="14" s="1"/>
  <c r="C196" i="14"/>
  <c r="F36" i="11"/>
  <c r="F38" i="11" s="1"/>
  <c r="F40" i="11" s="1"/>
  <c r="H33" i="11"/>
  <c r="H36" i="11" s="1"/>
  <c r="H38" i="11" s="1"/>
  <c r="H40" i="11" s="1"/>
  <c r="C223" i="15"/>
  <c r="D24" i="5"/>
  <c r="D20" i="5" s="1"/>
  <c r="D17" i="5"/>
  <c r="C158" i="5"/>
  <c r="C141" i="5"/>
  <c r="E112" i="5"/>
  <c r="E111" i="5" s="1"/>
  <c r="E28" i="5"/>
  <c r="E43" i="1"/>
  <c r="F43" i="1" s="1"/>
  <c r="E313" i="14"/>
  <c r="F313" i="14" s="1"/>
  <c r="D314" i="14"/>
  <c r="D251" i="14"/>
  <c r="E251" i="14" s="1"/>
  <c r="F251" i="14" s="1"/>
  <c r="D315" i="14"/>
  <c r="E315" i="14" s="1"/>
  <c r="F315" i="14" s="1"/>
  <c r="D256" i="14"/>
  <c r="C48" i="19" l="1"/>
  <c r="C38" i="19"/>
  <c r="C56" i="19"/>
  <c r="C113" i="19"/>
  <c r="C112" i="19"/>
  <c r="C47" i="19"/>
  <c r="C55" i="19"/>
  <c r="C37" i="19"/>
  <c r="D117" i="15"/>
  <c r="E116" i="15"/>
  <c r="C273" i="14"/>
  <c r="E271" i="14"/>
  <c r="F271" i="14"/>
  <c r="E270" i="14"/>
  <c r="F270" i="14"/>
  <c r="D257" i="14"/>
  <c r="E257" i="14" s="1"/>
  <c r="E256" i="14"/>
  <c r="F256" i="14" s="1"/>
  <c r="E196" i="14"/>
  <c r="F196" i="14" s="1"/>
  <c r="F91" i="14"/>
  <c r="E91" i="14"/>
  <c r="C92" i="14"/>
  <c r="C50" i="14"/>
  <c r="E49" i="14"/>
  <c r="F49" i="14" s="1"/>
  <c r="C127" i="14"/>
  <c r="E126" i="14"/>
  <c r="F126" i="14" s="1"/>
  <c r="D70" i="10"/>
  <c r="D72" i="10" s="1"/>
  <c r="D69" i="10" s="1"/>
  <c r="D22" i="10"/>
  <c r="E300" i="14"/>
  <c r="F300" i="14" s="1"/>
  <c r="C263" i="15"/>
  <c r="E263" i="15" s="1"/>
  <c r="E259" i="15"/>
  <c r="D306" i="15"/>
  <c r="E303" i="15"/>
  <c r="E314" i="14"/>
  <c r="F314" i="14" s="1"/>
  <c r="D318" i="14"/>
  <c r="E318" i="14" s="1"/>
  <c r="F318" i="14" s="1"/>
  <c r="E99" i="5"/>
  <c r="E101" i="5" s="1"/>
  <c r="E98" i="5" s="1"/>
  <c r="E22" i="5"/>
  <c r="D112" i="5"/>
  <c r="D111" i="5" s="1"/>
  <c r="D28" i="5"/>
  <c r="C247" i="15"/>
  <c r="E247" i="15" s="1"/>
  <c r="E223" i="15"/>
  <c r="C162" i="14"/>
  <c r="E161" i="14"/>
  <c r="F161" i="14" s="1"/>
  <c r="E281" i="14"/>
  <c r="F281" i="14" s="1"/>
  <c r="C235" i="15"/>
  <c r="E235" i="15" s="1"/>
  <c r="C181" i="15"/>
  <c r="E181" i="15" s="1"/>
  <c r="E211" i="15"/>
  <c r="F265" i="14"/>
  <c r="E265" i="14"/>
  <c r="C98" i="15"/>
  <c r="E98" i="15" s="1"/>
  <c r="C83" i="15"/>
  <c r="C96" i="15"/>
  <c r="C85" i="15"/>
  <c r="E85" i="15" s="1"/>
  <c r="C84" i="15"/>
  <c r="C99" i="15"/>
  <c r="E99" i="15" s="1"/>
  <c r="C97" i="15"/>
  <c r="E97" i="15" s="1"/>
  <c r="C258" i="15"/>
  <c r="C100" i="15"/>
  <c r="E100" i="15" s="1"/>
  <c r="C95" i="15"/>
  <c r="C88" i="15"/>
  <c r="E88" i="15" s="1"/>
  <c r="E44" i="15"/>
  <c r="C87" i="15"/>
  <c r="E87" i="15" s="1"/>
  <c r="C89" i="15"/>
  <c r="E89" i="15" s="1"/>
  <c r="C101" i="15"/>
  <c r="E101" i="15" s="1"/>
  <c r="C86" i="15"/>
  <c r="E86" i="15" s="1"/>
  <c r="F257" i="14"/>
  <c r="C295" i="15"/>
  <c r="E295" i="15" s="1"/>
  <c r="E66" i="15"/>
  <c r="E273" i="14" l="1"/>
  <c r="F273" i="14" s="1"/>
  <c r="D131" i="15"/>
  <c r="E131" i="15" s="1"/>
  <c r="E117" i="15"/>
  <c r="E84" i="15"/>
  <c r="C90" i="15"/>
  <c r="E90" i="15" s="1"/>
  <c r="E96" i="15"/>
  <c r="C102" i="15"/>
  <c r="E102" i="15" s="1"/>
  <c r="C183" i="14"/>
  <c r="E162" i="14"/>
  <c r="F162" i="14" s="1"/>
  <c r="C323" i="14"/>
  <c r="D310" i="15"/>
  <c r="E310" i="15" s="1"/>
  <c r="E306" i="15"/>
  <c r="F50" i="14"/>
  <c r="E50" i="14"/>
  <c r="C70" i="14"/>
  <c r="C103" i="15"/>
  <c r="E103" i="15" s="1"/>
  <c r="E95" i="15"/>
  <c r="E258" i="15"/>
  <c r="C264" i="15"/>
  <c r="E83" i="15"/>
  <c r="C91" i="15"/>
  <c r="D99" i="5"/>
  <c r="D101" i="5" s="1"/>
  <c r="D98" i="5" s="1"/>
  <c r="D22" i="5"/>
  <c r="C197" i="14"/>
  <c r="E127" i="14"/>
  <c r="C148" i="14"/>
  <c r="F127" i="14"/>
  <c r="E92" i="14"/>
  <c r="C324" i="14"/>
  <c r="F92" i="14"/>
  <c r="C113" i="14"/>
  <c r="E113" i="14" l="1"/>
  <c r="F113" i="14" s="1"/>
  <c r="C325" i="14"/>
  <c r="E324" i="14"/>
  <c r="F324" i="14" s="1"/>
  <c r="C105" i="15"/>
  <c r="E105" i="15" s="1"/>
  <c r="E91" i="15"/>
  <c r="C266" i="15"/>
  <c r="E264" i="15"/>
  <c r="E323" i="14"/>
  <c r="F323" i="14" s="1"/>
  <c r="E183" i="14"/>
  <c r="F183" i="14" s="1"/>
  <c r="E148" i="14"/>
  <c r="F148" i="14" s="1"/>
  <c r="E197" i="14"/>
  <c r="F197" i="14"/>
  <c r="E70" i="14"/>
  <c r="F70" i="14" s="1"/>
  <c r="E266" i="15" l="1"/>
  <c r="C267" i="15"/>
  <c r="E325" i="14"/>
  <c r="F325" i="14" s="1"/>
  <c r="C269" i="15" l="1"/>
  <c r="E269" i="15" s="1"/>
  <c r="C268" i="15"/>
  <c r="E267" i="15"/>
  <c r="C271" i="15" l="1"/>
  <c r="E271" i="15" s="1"/>
  <c r="E268" i="15"/>
</calcChain>
</file>

<file path=xl/sharedStrings.xml><?xml version="1.0" encoding="utf-8"?>
<sst xmlns="http://schemas.openxmlformats.org/spreadsheetml/2006/main" count="2309" uniqueCount="985">
  <si>
    <t>LAWRENCE AND MEMORIAL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</si>
  <si>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</si>
  <si>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</si>
  <si>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</si>
  <si>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</si>
  <si>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</si>
  <si>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</si>
  <si>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</si>
  <si>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</si>
  <si>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</si>
  <si>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</si>
  <si>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</si>
  <si>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</si>
  <si>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</si>
  <si>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</si>
  <si>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</si>
  <si>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</si>
  <si>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</si>
  <si>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</si>
  <si>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</si>
  <si>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</si>
  <si>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</si>
  <si>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</si>
  <si>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</si>
  <si>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</si>
  <si>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</si>
  <si>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</si>
  <si>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</si>
  <si>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</si>
  <si>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</si>
  <si>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</si>
  <si>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</si>
  <si>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</si>
  <si>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</si>
  <si>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</si>
  <si>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</si>
  <si>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</si>
  <si>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</si>
  <si>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</si>
  <si>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</si>
  <si>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</si>
  <si>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</si>
  <si>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</si>
  <si>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</si>
  <si>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</si>
  <si>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</si>
  <si>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</si>
  <si>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</si>
  <si>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</si>
  <si>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</si>
  <si>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</si>
  <si>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</si>
  <si>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</si>
  <si>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</si>
  <si>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</si>
  <si>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</si>
  <si>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</si>
  <si>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</si>
  <si>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</si>
  <si>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</si>
  <si>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</si>
  <si>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</si>
  <si>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</si>
  <si>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</si>
  <si>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</si>
  <si>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</si>
  <si>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</si>
  <si>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</si>
  <si>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</si>
  <si>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</si>
  <si>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</si>
  <si>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</si>
  <si>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</si>
  <si>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</si>
  <si>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</si>
  <si>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</si>
  <si>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</si>
  <si>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</si>
  <si>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</si>
  <si>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</si>
  <si>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</si>
  <si>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</si>
  <si>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</si>
  <si>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</si>
  <si>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</si>
  <si>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</si>
  <si>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</si>
  <si>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</si>
  <si>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</si>
  <si>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</si>
  <si>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</si>
  <si>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</si>
  <si>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</si>
  <si>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</si>
  <si>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</si>
  <si>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</si>
  <si>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</si>
  <si>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</si>
  <si>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</si>
  <si>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</si>
  <si>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</si>
  <si>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</si>
  <si>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</si>
  <si>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</si>
  <si>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</si>
  <si>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</si>
  <si>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</si>
  <si>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</si>
  <si>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</si>
  <si>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</si>
  <si>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</si>
  <si>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</si>
  <si>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</si>
  <si>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</si>
  <si>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</si>
  <si>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</si>
  <si>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</si>
  <si>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</si>
  <si>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</si>
  <si>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</si>
  <si>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</si>
  <si>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</si>
  <si>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</si>
  <si>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</si>
  <si>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</si>
  <si>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</si>
  <si>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</si>
  <si>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</si>
  <si>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</si>
  <si>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</si>
  <si>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</si>
  <si>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</si>
  <si>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</si>
  <si>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</si>
  <si>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</si>
  <si>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</si>
  <si>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</si>
  <si>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</si>
  <si>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</si>
  <si>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</si>
  <si>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</si>
  <si>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</si>
  <si>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</si>
  <si>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</si>
  <si>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</si>
  <si>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</si>
  <si>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</si>
  <si>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</si>
  <si>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</si>
  <si>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</si>
  <si>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</si>
  <si>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</si>
  <si>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</si>
  <si>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</si>
  <si>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</si>
  <si>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</si>
  <si>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</si>
  <si>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</si>
  <si>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</si>
  <si>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</si>
  <si>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</si>
  <si>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</si>
  <si>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</si>
  <si>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</si>
  <si>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</si>
  <si>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</si>
  <si>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</si>
  <si>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</si>
  <si>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</si>
  <si>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</si>
  <si>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</si>
  <si>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</si>
  <si>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</si>
  <si>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</si>
  <si>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</si>
  <si>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</si>
  <si>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</si>
  <si>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</si>
  <si>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</si>
  <si>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</si>
  <si>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</si>
  <si>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</si>
  <si>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</si>
  <si>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</si>
  <si>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</si>
  <si>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</si>
  <si>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</si>
  <si>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</si>
  <si>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</si>
  <si>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</si>
  <si>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</si>
  <si>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</si>
  <si>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</si>
  <si>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</si>
  <si>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</si>
  <si>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</si>
  <si>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</si>
  <si>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</si>
  <si>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</si>
  <si>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</si>
  <si>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</si>
  <si>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</si>
  <si>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</si>
  <si>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</si>
  <si>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</si>
  <si>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</si>
  <si>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</si>
  <si>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</si>
  <si>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</si>
  <si>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</si>
  <si>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</si>
  <si>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</si>
  <si>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</si>
  <si>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</si>
  <si>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</si>
  <si>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</si>
  <si>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</si>
  <si>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</si>
  <si>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</si>
  <si>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</si>
  <si>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</si>
  <si>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</si>
  <si>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</si>
  <si>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</si>
  <si>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</si>
  <si>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</si>
  <si>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</si>
  <si>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</si>
  <si>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</si>
  <si>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</si>
  <si>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</si>
  <si>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</si>
  <si>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</si>
  <si>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</si>
  <si>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</si>
  <si>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</si>
  <si>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</si>
  <si>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</si>
  <si>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</si>
  <si>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</si>
  <si>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</si>
  <si>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</si>
  <si>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</si>
  <si>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</si>
  <si>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</si>
  <si>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</si>
  <si>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</si>
  <si>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</si>
  <si>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</si>
  <si>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</si>
  <si>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</si>
  <si>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</si>
  <si>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</si>
  <si>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</si>
  <si>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</si>
  <si>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</si>
  <si>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</si>
  <si>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</si>
  <si>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</si>
  <si>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</si>
  <si>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</si>
  <si>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</si>
  <si>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</si>
  <si>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</si>
  <si>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</si>
  <si>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</si>
  <si>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</si>
  <si>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</si>
  <si>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</si>
  <si>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</si>
  <si>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</si>
  <si>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</si>
  <si>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</si>
  <si>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</si>
  <si>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</si>
  <si>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</si>
  <si>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</si>
  <si>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</si>
  <si>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</si>
  <si>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</si>
  <si>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</si>
  <si>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</si>
  <si>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</si>
  <si>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</si>
  <si>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</si>
  <si>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</si>
  <si>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</si>
  <si>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</si>
  <si>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</si>
  <si>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</si>
  <si>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</si>
  <si>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</si>
  <si>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</si>
  <si>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</si>
  <si>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</si>
  <si>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</si>
  <si>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</si>
  <si>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</si>
  <si>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</si>
  <si>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</si>
  <si>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</si>
  <si>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</si>
  <si>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</si>
  <si>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</si>
  <si>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</si>
  <si>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</si>
  <si>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</si>
  <si>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</si>
  <si>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</si>
  <si>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</si>
  <si>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</si>
  <si>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</si>
  <si>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</si>
  <si>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</si>
  <si>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</si>
  <si>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</si>
  <si>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</si>
  <si>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</si>
  <si>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</si>
  <si>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</si>
  <si>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</si>
  <si>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</si>
  <si>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</si>
  <si>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</si>
  <si>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</si>
  <si>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</si>
  <si>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</si>
  <si>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</si>
  <si>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</si>
  <si>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</si>
  <si>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</si>
  <si>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</si>
  <si>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</si>
  <si>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</si>
  <si>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</si>
  <si>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</si>
  <si>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</si>
  <si>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</si>
  <si>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</si>
  <si>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</si>
  <si>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</si>
  <si>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</si>
  <si>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</si>
  <si>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</si>
  <si>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</si>
  <si>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</si>
  <si>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</si>
  <si>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</si>
  <si>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</si>
  <si>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</si>
  <si>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</si>
  <si>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</si>
  <si>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</si>
  <si>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</si>
  <si>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</si>
  <si>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</si>
  <si>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</si>
  <si>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</si>
  <si>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</si>
  <si>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</si>
  <si>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</si>
  <si>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</si>
  <si>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</si>
  <si>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</si>
  <si>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</si>
  <si>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</si>
  <si>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</si>
  <si>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</si>
  <si>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</si>
  <si>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</si>
  <si>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</si>
  <si>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</si>
  <si>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</si>
  <si>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</si>
  <si>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</si>
  <si>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</si>
  <si>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</si>
  <si>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</si>
  <si>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</si>
  <si>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</si>
  <si>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</si>
  <si>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</si>
  <si>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</si>
  <si>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</si>
  <si>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</si>
  <si>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</si>
  <si>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</si>
  <si>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</si>
  <si>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</si>
  <si>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</si>
  <si>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</si>
  <si>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</si>
  <si>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</si>
  <si>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</si>
  <si>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</si>
  <si>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</si>
  <si>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</si>
  <si>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</si>
  <si>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</si>
  <si>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</si>
  <si>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</si>
  <si>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</si>
  <si>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</si>
  <si>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</si>
  <si>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</si>
  <si>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</si>
  <si>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</si>
  <si>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</si>
  <si>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</si>
  <si>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</si>
  <si>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</si>
  <si>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</si>
  <si>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</si>
  <si>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</si>
  <si>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</si>
  <si>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</si>
  <si>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</si>
  <si>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</si>
  <si>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</si>
  <si>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</si>
  <si>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</si>
  <si>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</si>
  <si>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</si>
  <si>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</si>
  <si>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</si>
  <si>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</si>
  <si>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</si>
  <si>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</si>
  <si>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</si>
  <si>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</si>
  <si>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</si>
  <si>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</si>
  <si>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</si>
  <si>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</si>
  <si>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</si>
  <si>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</si>
  <si>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</si>
  <si>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</si>
  <si>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</si>
  <si>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</si>
  <si>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</si>
  <si>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</si>
  <si>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</si>
  <si>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</si>
  <si>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</si>
  <si>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</si>
  <si>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</si>
  <si>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</si>
  <si>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</si>
  <si>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</si>
  <si>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</si>
  <si>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</si>
  <si>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</si>
  <si>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</si>
  <si>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</si>
  <si>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</si>
  <si>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</si>
  <si>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</si>
  <si>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</si>
  <si>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</si>
  <si>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</si>
  <si>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</si>
  <si>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</si>
  <si>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</si>
  <si>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</si>
  <si>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</si>
  <si>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</si>
  <si>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</si>
  <si>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</si>
  <si>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</si>
  <si>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</si>
  <si>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</si>
  <si>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</si>
  <si>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</si>
  <si>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</si>
  <si>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</si>
  <si>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</si>
  <si>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L&amp;M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</si>
  <si>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</si>
  <si>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</si>
  <si>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</si>
  <si>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</si>
  <si>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</si>
  <si>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</si>
  <si>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</si>
  <si>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</si>
  <si>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</si>
  <si>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</si>
  <si>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</si>
  <si>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</si>
  <si>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</si>
  <si>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</si>
  <si>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</si>
  <si>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</si>
  <si>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</si>
  <si>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</si>
  <si>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</si>
  <si>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</si>
  <si>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</si>
  <si>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</si>
  <si>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</si>
  <si>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</si>
  <si>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</si>
  <si>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</si>
  <si>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</si>
  <si>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</si>
  <si>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</si>
  <si>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</si>
  <si>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</si>
  <si>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</si>
  <si>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</si>
  <si>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</si>
  <si>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</si>
  <si>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</si>
  <si>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</si>
  <si>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</si>
  <si>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</si>
  <si>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</si>
  <si>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</si>
  <si>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</si>
  <si>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</si>
  <si>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</si>
  <si>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</si>
  <si>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</si>
  <si>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</si>
  <si>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</si>
  <si>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</si>
  <si>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</si>
  <si>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</si>
  <si>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</si>
  <si>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</si>
  <si>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</si>
  <si>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</si>
  <si>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</si>
  <si>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</si>
  <si>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</si>
  <si>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</si>
  <si>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</si>
  <si>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</si>
  <si>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</si>
  <si>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</si>
  <si>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</si>
  <si>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</si>
  <si>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</si>
  <si>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</si>
  <si>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</si>
  <si>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</si>
  <si>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</si>
  <si>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</si>
  <si>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</si>
  <si>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</si>
  <si>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</si>
  <si>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</si>
  <si>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</si>
  <si>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</si>
  <si>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</si>
  <si>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</si>
  <si>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</si>
  <si>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</si>
  <si>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</si>
  <si>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</si>
  <si>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</si>
  <si>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</si>
  <si>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</si>
  <si>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</si>
  <si>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</si>
  <si>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</si>
  <si>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</si>
  <si>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</si>
  <si>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</si>
  <si>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</si>
  <si>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</si>
  <si>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</si>
  <si>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</si>
  <si>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</si>
  <si>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</si>
  <si>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</si>
  <si>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</si>
  <si>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</si>
  <si>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</si>
  <si>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</si>
  <si>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</si>
  <si>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</si>
  <si>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</si>
  <si>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</si>
  <si>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</si>
  <si>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Pequot Health Center Groton</t>
  </si>
  <si>
    <t xml:space="preserve">      Total Outpatient Surgical Procedures(A)     </t>
  </si>
  <si>
    <t>L&amp;M 365 Montauk Ave Hospital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</si>
  <si>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</si>
  <si>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</si>
  <si>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</si>
  <si>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</si>
  <si>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</si>
  <si>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</si>
  <si>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</si>
  <si>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</si>
  <si>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</si>
  <si>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</si>
  <si>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</si>
  <si>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</si>
  <si>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</si>
  <si>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</si>
  <si>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</si>
  <si>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</si>
  <si>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</si>
  <si>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</si>
  <si>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</si>
  <si>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</si>
  <si>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</si>
  <si>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</si>
  <si>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</si>
  <si>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</si>
  <si>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</si>
  <si>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</si>
  <si>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</si>
  <si>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</si>
  <si>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</si>
  <si>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</si>
  <si>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</si>
  <si>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</si>
  <si>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</si>
  <si>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</si>
  <si>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</si>
  <si>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</si>
  <si>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</si>
  <si>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</si>
  <si>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</si>
  <si>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</si>
  <si>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</si>
  <si>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</si>
  <si>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</si>
  <si>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</si>
  <si>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</si>
  <si>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</si>
  <si>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</si>
  <si>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</si>
  <si>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</si>
  <si>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</si>
  <si>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</si>
  <si>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</si>
  <si>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</si>
  <si>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</si>
  <si>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</si>
  <si>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</si>
  <si>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</si>
  <si>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</si>
  <si>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</si>
  <si>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</si>
  <si>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</si>
  <si>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</si>
  <si>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</si>
  <si>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</si>
  <si>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</si>
  <si>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</si>
  <si>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</si>
  <si>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</si>
  <si>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</si>
  <si>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</si>
  <si>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</si>
  <si>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</si>
  <si>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</si>
  <si>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</si>
  <si>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</si>
  <si>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</si>
  <si>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</si>
  <si>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</si>
  <si>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</si>
  <si>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</si>
  <si>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</si>
  <si>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</si>
  <si>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</si>
  <si>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</si>
  <si>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</si>
  <si>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</si>
  <si>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</si>
  <si>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</si>
  <si>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</si>
  <si>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</si>
  <si>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</si>
  <si>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</si>
  <si>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</si>
  <si>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</si>
  <si>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</si>
  <si>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</si>
  <si>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</si>
  <si>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</si>
  <si>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</si>
  <si>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</si>
  <si>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</si>
  <si>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</si>
  <si>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</si>
  <si>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</si>
  <si>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</si>
  <si>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</si>
  <si>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</si>
  <si>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</si>
  <si>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</si>
  <si>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</si>
  <si>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</si>
  <si>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</si>
  <si>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</si>
  <si>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</si>
  <si>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</si>
  <si>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</si>
  <si>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</si>
  <si>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</si>
  <si>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</si>
  <si>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</si>
  <si>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</si>
  <si>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</si>
  <si>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</si>
  <si>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</si>
  <si>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</si>
  <si>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</si>
  <si>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</si>
  <si>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</si>
  <si>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</si>
  <si>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</si>
  <si>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</si>
  <si>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</si>
  <si>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</si>
  <si>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</si>
  <si>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</si>
  <si>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</si>
  <si>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</si>
  <si>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</si>
  <si>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</si>
  <si>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</si>
  <si>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</si>
  <si>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</si>
  <si>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</si>
  <si>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</si>
  <si>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</si>
  <si>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</si>
  <si>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</si>
  <si>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</si>
  <si>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</si>
  <si>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</si>
  <si>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</si>
  <si>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</si>
  <si>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</si>
  <si>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</si>
  <si>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</si>
  <si>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</si>
  <si>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</si>
  <si>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</si>
  <si>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</si>
  <si>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</si>
  <si>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</si>
  <si>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</si>
  <si>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</si>
  <si>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</si>
  <si>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</si>
  <si>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</si>
  <si>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</si>
  <si>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</si>
  <si>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</si>
  <si>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</si>
  <si>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</si>
  <si>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</si>
  <si>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</si>
  <si>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</si>
  <si>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</si>
  <si>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</si>
  <si>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</si>
  <si>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</si>
  <si>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</si>
  <si>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</si>
  <si>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</si>
  <si>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</si>
  <si>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</si>
  <si>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</si>
  <si>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</si>
  <si>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</si>
  <si>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</si>
  <si>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</si>
  <si>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</si>
  <si>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</si>
  <si>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</si>
  <si>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</si>
  <si>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</si>
  <si>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</si>
  <si>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</si>
  <si>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</si>
  <si>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</si>
  <si>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</si>
  <si>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</si>
  <si>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</si>
  <si>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</si>
  <si>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</si>
  <si>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</si>
  <si>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</si>
  <si>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</si>
  <si>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</si>
  <si>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</si>
  <si>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</si>
  <si>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</si>
  <si>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</si>
  <si>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</si>
  <si>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</si>
  <si>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</si>
  <si>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</si>
  <si>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</si>
  <si>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</si>
  <si>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</si>
  <si>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</si>
  <si>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</si>
  <si>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</si>
  <si>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</si>
  <si>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</si>
  <si>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</si>
  <si>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</si>
  <si>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</si>
  <si>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</si>
  <si>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</si>
  <si>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</si>
  <si>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</si>
  <si>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</si>
  <si>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</si>
  <si>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</si>
  <si>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</si>
  <si>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</si>
  <si>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</si>
  <si>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</si>
  <si>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</si>
  <si>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</si>
  <si>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</si>
  <si>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</si>
  <si>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</si>
  <si>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</si>
  <si>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</si>
  <si>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</si>
  <si>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</si>
  <si>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</si>
  <si>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</si>
  <si>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</si>
  <si>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</si>
  <si>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</si>
  <si>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</si>
  <si>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</si>
  <si>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</si>
  <si>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</si>
  <si>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</si>
  <si>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</si>
  <si>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</si>
  <si>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</si>
  <si>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</si>
  <si>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</si>
  <si>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</si>
  <si>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</si>
  <si>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</si>
  <si>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</si>
  <si>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</si>
  <si>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</si>
  <si>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</si>
  <si>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</si>
  <si>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</si>
  <si>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</si>
  <si>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</si>
  <si>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</si>
  <si>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</si>
  <si>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</si>
  <si>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</si>
  <si>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</si>
  <si>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</si>
  <si>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</si>
  <si>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</si>
  <si>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</si>
  <si>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</si>
  <si>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</si>
  <si>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</si>
  <si>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</si>
  <si>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</si>
  <si>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</si>
  <si>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</si>
  <si>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</si>
  <si>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</si>
  <si>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</si>
  <si>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</si>
  <si>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</si>
  <si>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</si>
  <si>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</si>
  <si>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</si>
  <si>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</si>
  <si>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</si>
  <si>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</si>
  <si>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</si>
  <si>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</si>
  <si>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</si>
  <si>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</si>
  <si>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</si>
  <si>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</si>
  <si>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</si>
  <si>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</si>
  <si>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</si>
  <si>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</si>
  <si>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</si>
  <si>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</si>
  <si>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</si>
  <si>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</si>
  <si>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</si>
  <si>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</si>
  <si>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</si>
  <si>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</si>
  <si>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</si>
  <si>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</si>
  <si>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</si>
  <si>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</si>
  <si>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</si>
  <si>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</si>
  <si>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</si>
  <si>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</si>
  <si>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</si>
  <si>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</si>
  <si>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</si>
  <si>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</si>
  <si>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</si>
  <si>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</si>
  <si>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</si>
  <si>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</si>
  <si>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</si>
  <si>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</si>
  <si>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</si>
  <si>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</si>
  <si>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</si>
  <si>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</si>
  <si>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</si>
  <si>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</si>
  <si>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</si>
  <si>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</si>
  <si>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</si>
  <si>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</si>
  <si>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</si>
  <si>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</si>
  <si>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</si>
  <si>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</si>
  <si>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</si>
  <si>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</si>
  <si>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</si>
  <si>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</si>
  <si>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</si>
  <si>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</si>
  <si>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</si>
  <si>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</si>
  <si>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</si>
  <si>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</si>
  <si>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</si>
  <si>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</si>
  <si>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</si>
  <si>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</si>
  <si>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</si>
  <si>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</si>
  <si>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</si>
  <si>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</si>
  <si>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</si>
  <si>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</si>
  <si>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</si>
  <si>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</si>
  <si>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</si>
  <si>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</si>
  <si>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</si>
  <si>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</si>
  <si>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</si>
  <si>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</si>
  <si>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</si>
  <si>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</si>
  <si>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</si>
  <si>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</si>
  <si>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</si>
  <si>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</si>
  <si>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</si>
  <si>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</si>
  <si>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</si>
  <si>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</si>
  <si>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</si>
  <si>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</si>
  <si>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</si>
  <si>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</si>
  <si>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</si>
  <si>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</si>
  <si>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</si>
  <si>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</si>
  <si>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</si>
  <si>
    <t>L&amp;M 365 Montauk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</si>
</sst>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21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left"/>
    </xf>
    <xf numFmtId="164" fontId="8" fillId="0" borderId="12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B17" sqref="B17"/>
    </sheetView>
  </sheetViews>
  <sheetFormatPr defaultRowHeight="24" customHeight="1" x14ac:dyDescent="0.2"/>
  <cols>
    <col min="1" max="1" width="5.7109375" style="1" customWidth="1"/>
    <col min="2" max="2" width="65.710937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29002112</v>
      </c>
      <c r="D13" s="23">
        <v>39933225</v>
      </c>
      <c r="E13" s="23">
        <f t="shared" ref="E13:E22" si="0">D13-C13</f>
        <v>10931113</v>
      </c>
      <c r="F13" s="24">
        <f t="shared" ref="F13:F22" si="1">IF(C13=0,0,E13/C13)</f>
        <v>0.37690748177236194</v>
      </c>
    </row>
    <row r="14" spans="1:8" ht="24" customHeight="1" x14ac:dyDescent="0.2">
      <c r="A14" s="21">
        <v>2</v>
      </c>
      <c r="B14" s="22" t="s">
        <v>17</v>
      </c>
      <c r="C14" s="23">
        <v>106795008</v>
      </c>
      <c r="D14" s="23">
        <v>105904042</v>
      </c>
      <c r="E14" s="23">
        <f t="shared" si="0"/>
        <v>-890966</v>
      </c>
      <c r="F14" s="24">
        <f t="shared" si="1"/>
        <v>-8.3427682312641437E-3</v>
      </c>
    </row>
    <row r="15" spans="1:8" ht="21" customHeight="1" x14ac:dyDescent="0.2">
      <c r="A15" s="21">
        <v>3</v>
      </c>
      <c r="B15" s="22" t="s">
        <v>18</v>
      </c>
      <c r="C15" s="23">
        <v>29686477</v>
      </c>
      <c r="D15" s="23">
        <v>29920862</v>
      </c>
      <c r="E15" s="23">
        <f t="shared" si="0"/>
        <v>234385</v>
      </c>
      <c r="F15" s="24">
        <f t="shared" si="1"/>
        <v>7.8953457495141641E-3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10399677</v>
      </c>
      <c r="D17" s="23">
        <v>2441664</v>
      </c>
      <c r="E17" s="23">
        <f t="shared" si="0"/>
        <v>-7958013</v>
      </c>
      <c r="F17" s="24">
        <f t="shared" si="1"/>
        <v>-0.76521732357649186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3796086</v>
      </c>
      <c r="D19" s="23">
        <v>4528017</v>
      </c>
      <c r="E19" s="23">
        <f t="shared" si="0"/>
        <v>731931</v>
      </c>
      <c r="F19" s="24">
        <f t="shared" si="1"/>
        <v>0.19281201743058507</v>
      </c>
    </row>
    <row r="20" spans="1:11" ht="24" customHeight="1" x14ac:dyDescent="0.2">
      <c r="A20" s="21">
        <v>8</v>
      </c>
      <c r="B20" s="22" t="s">
        <v>23</v>
      </c>
      <c r="C20" s="23">
        <v>1624613</v>
      </c>
      <c r="D20" s="23">
        <v>1739804</v>
      </c>
      <c r="E20" s="23">
        <f t="shared" si="0"/>
        <v>115191</v>
      </c>
      <c r="F20" s="24">
        <f t="shared" si="1"/>
        <v>7.0903655208963606E-2</v>
      </c>
    </row>
    <row r="21" spans="1:11" ht="24" customHeight="1" x14ac:dyDescent="0.2">
      <c r="A21" s="21">
        <v>9</v>
      </c>
      <c r="B21" s="22" t="s">
        <v>24</v>
      </c>
      <c r="C21" s="23">
        <v>6855557</v>
      </c>
      <c r="D21" s="23">
        <v>4991604</v>
      </c>
      <c r="E21" s="23">
        <f t="shared" si="0"/>
        <v>-1863953</v>
      </c>
      <c r="F21" s="24">
        <f t="shared" si="1"/>
        <v>-0.27188935924535379</v>
      </c>
    </row>
    <row r="22" spans="1:11" ht="24" customHeight="1" x14ac:dyDescent="0.25">
      <c r="A22" s="25"/>
      <c r="B22" s="26" t="s">
        <v>25</v>
      </c>
      <c r="C22" s="27">
        <f>SUM(C13:C21)</f>
        <v>188159530</v>
      </c>
      <c r="D22" s="27">
        <f>SUM(D13:D21)</f>
        <v>189459218</v>
      </c>
      <c r="E22" s="27">
        <f t="shared" si="0"/>
        <v>1299688</v>
      </c>
      <c r="F22" s="28">
        <f t="shared" si="1"/>
        <v>6.9073726959245699E-3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11986573</v>
      </c>
      <c r="D25" s="23">
        <v>11241951</v>
      </c>
      <c r="E25" s="23">
        <f>D25-C25</f>
        <v>-744622</v>
      </c>
      <c r="F25" s="24">
        <f>IF(C25=0,0,E25/C25)</f>
        <v>-6.2121341938183666E-2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8427695</v>
      </c>
      <c r="E26" s="23">
        <f>D26-C26</f>
        <v>8427695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7156167</v>
      </c>
      <c r="D27" s="23">
        <v>2247370</v>
      </c>
      <c r="E27" s="23">
        <f>D27-C27</f>
        <v>-4908797</v>
      </c>
      <c r="F27" s="24">
        <f>IF(C27=0,0,E27/C27)</f>
        <v>-0.68595338817554141</v>
      </c>
    </row>
    <row r="28" spans="1:11" ht="24" customHeight="1" x14ac:dyDescent="0.2">
      <c r="A28" s="21">
        <v>4</v>
      </c>
      <c r="B28" s="22" t="s">
        <v>31</v>
      </c>
      <c r="C28" s="23">
        <v>20842448</v>
      </c>
      <c r="D28" s="23">
        <v>20207049</v>
      </c>
      <c r="E28" s="23">
        <f>D28-C28</f>
        <v>-635399</v>
      </c>
      <c r="F28" s="24">
        <f>IF(C28=0,0,E28/C28)</f>
        <v>-3.0485814334285492E-2</v>
      </c>
    </row>
    <row r="29" spans="1:11" ht="24" customHeight="1" x14ac:dyDescent="0.25">
      <c r="A29" s="25"/>
      <c r="B29" s="26" t="s">
        <v>32</v>
      </c>
      <c r="C29" s="27">
        <f>SUM(C25:C28)</f>
        <v>39985188</v>
      </c>
      <c r="D29" s="27">
        <f>SUM(D25:D28)</f>
        <v>42124065</v>
      </c>
      <c r="E29" s="27">
        <f>D29-C29</f>
        <v>2138877</v>
      </c>
      <c r="F29" s="28">
        <f>IF(C29=0,0,E29/C29)</f>
        <v>5.3491732988725726E-2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1330365</v>
      </c>
      <c r="D33" s="23">
        <v>1938833</v>
      </c>
      <c r="E33" s="23">
        <f>D33-C33</f>
        <v>608468</v>
      </c>
      <c r="F33" s="24">
        <f>IF(C33=0,0,E33/C33)</f>
        <v>0.45736921822206689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293260723</v>
      </c>
      <c r="D36" s="23">
        <v>321282313</v>
      </c>
      <c r="E36" s="23">
        <f>D36-C36</f>
        <v>28021590</v>
      </c>
      <c r="F36" s="24">
        <f>IF(C36=0,0,E36/C36)</f>
        <v>9.5551800163842598E-2</v>
      </c>
    </row>
    <row r="37" spans="1:8" ht="24" customHeight="1" x14ac:dyDescent="0.2">
      <c r="A37" s="21">
        <v>2</v>
      </c>
      <c r="B37" s="22" t="s">
        <v>39</v>
      </c>
      <c r="C37" s="23">
        <v>193724897</v>
      </c>
      <c r="D37" s="23">
        <v>210414909</v>
      </c>
      <c r="E37" s="23">
        <f>D37-C37</f>
        <v>16690012</v>
      </c>
      <c r="F37" s="24">
        <f>IF(C37=0,0,E37/C37)</f>
        <v>8.6153159756228961E-2</v>
      </c>
    </row>
    <row r="38" spans="1:8" ht="24" customHeight="1" x14ac:dyDescent="0.25">
      <c r="A38" s="25"/>
      <c r="B38" s="26" t="s">
        <v>40</v>
      </c>
      <c r="C38" s="27">
        <f>C36-C37</f>
        <v>99535826</v>
      </c>
      <c r="D38" s="27">
        <f>D36-D37</f>
        <v>110867404</v>
      </c>
      <c r="E38" s="27">
        <f>D38-C38</f>
        <v>11331578</v>
      </c>
      <c r="F38" s="28">
        <f>IF(C38=0,0,E38/C38)</f>
        <v>0.11384421524768379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9635285</v>
      </c>
      <c r="D40" s="23">
        <v>10109457</v>
      </c>
      <c r="E40" s="23">
        <f>D40-C40</f>
        <v>474172</v>
      </c>
      <c r="F40" s="24">
        <f>IF(C40=0,0,E40/C40)</f>
        <v>4.9212036800156921E-2</v>
      </c>
    </row>
    <row r="41" spans="1:8" ht="24" customHeight="1" x14ac:dyDescent="0.25">
      <c r="A41" s="25"/>
      <c r="B41" s="26" t="s">
        <v>42</v>
      </c>
      <c r="C41" s="27">
        <f>+C38+C40</f>
        <v>109171111</v>
      </c>
      <c r="D41" s="27">
        <f>+D38+D40</f>
        <v>120976861</v>
      </c>
      <c r="E41" s="27">
        <f>D41-C41</f>
        <v>11805750</v>
      </c>
      <c r="F41" s="28">
        <f>IF(C41=0,0,E41/C41)</f>
        <v>0.10813987227811578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338646194</v>
      </c>
      <c r="D43" s="27">
        <f>D22+D29+D31+D32+D33+D41</f>
        <v>354498977</v>
      </c>
      <c r="E43" s="27">
        <f>D43-C43</f>
        <v>15852783</v>
      </c>
      <c r="F43" s="28">
        <f>IF(C43=0,0,E43/C43)</f>
        <v>4.6812228458117562E-2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29799193</v>
      </c>
      <c r="D49" s="23">
        <v>33351173</v>
      </c>
      <c r="E49" s="23">
        <f t="shared" ref="E49:E56" si="2">D49-C49</f>
        <v>3551980</v>
      </c>
      <c r="F49" s="24">
        <f t="shared" ref="F49:F56" si="3">IF(C49=0,0,E49/C49)</f>
        <v>0.11919718765538383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4746675</v>
      </c>
      <c r="D50" s="23">
        <v>2751697</v>
      </c>
      <c r="E50" s="23">
        <f t="shared" si="2"/>
        <v>-1994978</v>
      </c>
      <c r="F50" s="24">
        <f t="shared" si="3"/>
        <v>-0.4202895711208372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8559110</v>
      </c>
      <c r="D51" s="23">
        <v>7838088</v>
      </c>
      <c r="E51" s="23">
        <f t="shared" si="2"/>
        <v>-721022</v>
      </c>
      <c r="F51" s="24">
        <f t="shared" si="3"/>
        <v>-8.4240300685468464E-2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4764147</v>
      </c>
      <c r="D52" s="23">
        <v>1913991</v>
      </c>
      <c r="E52" s="23">
        <f t="shared" si="2"/>
        <v>-2850156</v>
      </c>
      <c r="F52" s="24">
        <f t="shared" si="3"/>
        <v>-0.59825106152266083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2866493</v>
      </c>
      <c r="D53" s="23">
        <v>2976493</v>
      </c>
      <c r="E53" s="23">
        <f t="shared" si="2"/>
        <v>110000</v>
      </c>
      <c r="F53" s="24">
        <f t="shared" si="3"/>
        <v>3.8374417799031779E-2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50735618</v>
      </c>
      <c r="D56" s="27">
        <f>SUM(D49:D55)</f>
        <v>48831442</v>
      </c>
      <c r="E56" s="27">
        <f t="shared" si="2"/>
        <v>-1904176</v>
      </c>
      <c r="F56" s="28">
        <f t="shared" si="3"/>
        <v>-3.7531345336130527E-2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61883130</v>
      </c>
      <c r="D59" s="23">
        <v>82249920</v>
      </c>
      <c r="E59" s="23">
        <f>D59-C59</f>
        <v>20366790</v>
      </c>
      <c r="F59" s="24">
        <f>IF(C59=0,0,E59/C59)</f>
        <v>0.32911699844529518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61883130</v>
      </c>
      <c r="D61" s="27">
        <f>SUM(D59:D60)</f>
        <v>82249920</v>
      </c>
      <c r="E61" s="27">
        <f>D61-C61</f>
        <v>20366790</v>
      </c>
      <c r="F61" s="28">
        <f>IF(C61=0,0,E61/C61)</f>
        <v>0.32911699844529518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52131286</v>
      </c>
      <c r="D63" s="23">
        <v>43423221</v>
      </c>
      <c r="E63" s="23">
        <f>D63-C63</f>
        <v>-8708065</v>
      </c>
      <c r="F63" s="24">
        <f>IF(C63=0,0,E63/C63)</f>
        <v>-0.16704105477083378</v>
      </c>
    </row>
    <row r="64" spans="1:6" ht="24" customHeight="1" x14ac:dyDescent="0.2">
      <c r="A64" s="21">
        <v>4</v>
      </c>
      <c r="B64" s="22" t="s">
        <v>60</v>
      </c>
      <c r="C64" s="23">
        <v>12279482</v>
      </c>
      <c r="D64" s="23">
        <v>14213720</v>
      </c>
      <c r="E64" s="23">
        <f>D64-C64</f>
        <v>1934238</v>
      </c>
      <c r="F64" s="24">
        <f>IF(C64=0,0,E64/C64)</f>
        <v>0.1575178822689752</v>
      </c>
    </row>
    <row r="65" spans="1:6" ht="24" customHeight="1" x14ac:dyDescent="0.25">
      <c r="A65" s="25"/>
      <c r="B65" s="26" t="s">
        <v>61</v>
      </c>
      <c r="C65" s="27">
        <f>SUM(C61:C64)</f>
        <v>126293898</v>
      </c>
      <c r="D65" s="27">
        <f>SUM(D61:D64)</f>
        <v>139886861</v>
      </c>
      <c r="E65" s="27">
        <f>D65-C65</f>
        <v>13592963</v>
      </c>
      <c r="F65" s="28">
        <f>IF(C65=0,0,E65/C65)</f>
        <v>0.10762961010198609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137717053</v>
      </c>
      <c r="D70" s="23">
        <v>142478037</v>
      </c>
      <c r="E70" s="23">
        <f>D70-C70</f>
        <v>4760984</v>
      </c>
      <c r="F70" s="24">
        <f>IF(C70=0,0,E70/C70)</f>
        <v>3.4570765902171896E-2</v>
      </c>
    </row>
    <row r="71" spans="1:6" ht="24" customHeight="1" x14ac:dyDescent="0.2">
      <c r="A71" s="21">
        <v>2</v>
      </c>
      <c r="B71" s="22" t="s">
        <v>65</v>
      </c>
      <c r="C71" s="23">
        <v>18249300</v>
      </c>
      <c r="D71" s="23">
        <v>17792779</v>
      </c>
      <c r="E71" s="23">
        <f>D71-C71</f>
        <v>-456521</v>
      </c>
      <c r="F71" s="24">
        <f>IF(C71=0,0,E71/C71)</f>
        <v>-2.5015808825543995E-2</v>
      </c>
    </row>
    <row r="72" spans="1:6" ht="24" customHeight="1" x14ac:dyDescent="0.2">
      <c r="A72" s="21">
        <v>3</v>
      </c>
      <c r="B72" s="22" t="s">
        <v>66</v>
      </c>
      <c r="C72" s="23">
        <v>5650325</v>
      </c>
      <c r="D72" s="23">
        <v>5509858</v>
      </c>
      <c r="E72" s="23">
        <f>D72-C72</f>
        <v>-140467</v>
      </c>
      <c r="F72" s="24">
        <f>IF(C72=0,0,E72/C72)</f>
        <v>-2.4859985930012877E-2</v>
      </c>
    </row>
    <row r="73" spans="1:6" ht="24" customHeight="1" x14ac:dyDescent="0.25">
      <c r="A73" s="21"/>
      <c r="B73" s="26" t="s">
        <v>67</v>
      </c>
      <c r="C73" s="27">
        <f>SUM(C70:C72)</f>
        <v>161616678</v>
      </c>
      <c r="D73" s="27">
        <f>SUM(D70:D72)</f>
        <v>165780674</v>
      </c>
      <c r="E73" s="27">
        <f>D73-C73</f>
        <v>4163996</v>
      </c>
      <c r="F73" s="28">
        <f>IF(C73=0,0,E73/C73)</f>
        <v>2.5764642928745262E-2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338646194</v>
      </c>
      <c r="D75" s="27">
        <f>D56+D65+D67+D73</f>
        <v>354498977</v>
      </c>
      <c r="E75" s="27">
        <f>D75-C75</f>
        <v>15852783</v>
      </c>
      <c r="F75" s="28">
        <f>IF(C75=0,0,E75/C75)</f>
        <v>4.6812228458117562E-2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7" t="s">
        <v>477</v>
      </c>
      <c r="B1" s="698"/>
      <c r="C1" s="698"/>
      <c r="D1" s="698"/>
      <c r="E1" s="699"/>
    </row>
    <row r="2" spans="1:6" ht="24" customHeight="1" x14ac:dyDescent="0.25">
      <c r="A2" s="697" t="s">
        <v>1</v>
      </c>
      <c r="B2" s="698"/>
      <c r="C2" s="698"/>
      <c r="D2" s="698"/>
      <c r="E2" s="699"/>
    </row>
    <row r="3" spans="1:6" ht="24" customHeight="1" x14ac:dyDescent="0.25">
      <c r="A3" s="697" t="s">
        <v>2</v>
      </c>
      <c r="B3" s="698"/>
      <c r="C3" s="698"/>
      <c r="D3" s="698"/>
      <c r="E3" s="699"/>
    </row>
    <row r="4" spans="1:6" ht="24" customHeight="1" x14ac:dyDescent="0.25">
      <c r="A4" s="697" t="s">
        <v>480</v>
      </c>
      <c r="B4" s="698"/>
      <c r="C4" s="698"/>
      <c r="D4" s="698"/>
      <c r="E4" s="699"/>
    </row>
    <row r="5" spans="1:6" ht="24" customHeight="1" x14ac:dyDescent="0.25">
      <c r="A5" s="697"/>
      <c r="B5" s="698"/>
      <c r="C5" s="698"/>
      <c r="D5" s="698"/>
      <c r="E5" s="699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295154990</v>
      </c>
      <c r="D11" s="51">
        <v>326063574</v>
      </c>
      <c r="E11" s="51">
        <v>346642222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18040188</v>
      </c>
      <c r="D12" s="49">
        <v>19974336</v>
      </c>
      <c r="E12" s="49">
        <v>18437225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313195178</v>
      </c>
      <c r="D13" s="51">
        <f>+D11+D12</f>
        <v>346037910</v>
      </c>
      <c r="E13" s="51">
        <f>+E11+E12</f>
        <v>365079447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306676772</v>
      </c>
      <c r="D14" s="49">
        <v>334984009</v>
      </c>
      <c r="E14" s="49">
        <v>355831236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6518406</v>
      </c>
      <c r="D15" s="51">
        <f>+D13-D14</f>
        <v>11053901</v>
      </c>
      <c r="E15" s="51">
        <f>+E13-E14</f>
        <v>9248211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-1362535</v>
      </c>
      <c r="D16" s="49">
        <v>3507474</v>
      </c>
      <c r="E16" s="49">
        <v>6654562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5155871</v>
      </c>
      <c r="D17" s="51">
        <f>D15+D16</f>
        <v>14561375</v>
      </c>
      <c r="E17" s="51">
        <f>E15+E16</f>
        <v>15902773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2.0903539595115449E-2</v>
      </c>
      <c r="D20" s="169">
        <f>IF(+D27=0,0,+D24/+D27)</f>
        <v>3.1623650335488342E-2</v>
      </c>
      <c r="E20" s="169">
        <f>IF(+E27=0,0,+E24/+E27)</f>
        <v>2.4878571172109249E-2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-4.3694431310707903E-3</v>
      </c>
      <c r="D21" s="169">
        <f>IF(+D27=0,0,+D26/+D27)</f>
        <v>1.0034387980932398E-2</v>
      </c>
      <c r="E21" s="169">
        <f>IF(+E27=0,0,+E26/+E27)</f>
        <v>1.7901407562631699E-2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1.6534096464044658E-2</v>
      </c>
      <c r="D22" s="169">
        <f>IF(+D27=0,0,+D28/+D27)</f>
        <v>4.1658038316420738E-2</v>
      </c>
      <c r="E22" s="169">
        <f>IF(+E27=0,0,+E28/+E27)</f>
        <v>4.2779978734740945E-2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6518406</v>
      </c>
      <c r="D24" s="51">
        <f>+D15</f>
        <v>11053901</v>
      </c>
      <c r="E24" s="51">
        <f>+E15</f>
        <v>9248211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313195178</v>
      </c>
      <c r="D25" s="51">
        <f>+D13</f>
        <v>346037910</v>
      </c>
      <c r="E25" s="51">
        <f>+E13</f>
        <v>365079447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-1362535</v>
      </c>
      <c r="D26" s="51">
        <f>+D16</f>
        <v>3507474</v>
      </c>
      <c r="E26" s="51">
        <f>+E16</f>
        <v>6654562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311832643</v>
      </c>
      <c r="D27" s="51">
        <f>SUM(D25:D26)</f>
        <v>349545384</v>
      </c>
      <c r="E27" s="51">
        <f>SUM(E25:E26)</f>
        <v>371734009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5155871</v>
      </c>
      <c r="D28" s="51">
        <f>+D17</f>
        <v>14561375</v>
      </c>
      <c r="E28" s="51">
        <f>+E17</f>
        <v>15902773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187324944</v>
      </c>
      <c r="D31" s="51">
        <v>203283725</v>
      </c>
      <c r="E31" s="52">
        <v>217665390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210656012</v>
      </c>
      <c r="D32" s="51">
        <v>227619698</v>
      </c>
      <c r="E32" s="51">
        <v>242126973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-11876621</v>
      </c>
      <c r="D33" s="51">
        <f>+D32-C32</f>
        <v>16963686</v>
      </c>
      <c r="E33" s="51">
        <f>+E32-D32</f>
        <v>14507275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0.9466</v>
      </c>
      <c r="D34" s="171">
        <f>IF(C32=0,0,+D33/C32)</f>
        <v>8.052789872429561E-2</v>
      </c>
      <c r="E34" s="171">
        <f>IF(D32=0,0,+E33/D32)</f>
        <v>6.3734708056769326E-2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4.9706471683015101</v>
      </c>
      <c r="D38" s="269">
        <f>IF(+D40=0,0,+D39/+D40)</f>
        <v>4.8431416003396865</v>
      </c>
      <c r="E38" s="269">
        <f>IF(+E40=0,0,+E39/+E40)</f>
        <v>4.835680123845755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215144248</v>
      </c>
      <c r="D39" s="270">
        <v>242334833</v>
      </c>
      <c r="E39" s="270">
        <v>245546175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43282945</v>
      </c>
      <c r="D40" s="270">
        <v>50036702</v>
      </c>
      <c r="E40" s="270">
        <v>50778002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215.36804504251626</v>
      </c>
      <c r="D42" s="271">
        <f>IF((D48/365)=0,0,+D45/(D48/365))</f>
        <v>226.24575986183507</v>
      </c>
      <c r="E42" s="271">
        <f>IF((E48/365)=0,0,+E45/(E48/365))</f>
        <v>216.7095519836196</v>
      </c>
    </row>
    <row r="43" spans="1:14" ht="24" customHeight="1" x14ac:dyDescent="0.2">
      <c r="A43" s="17">
        <v>5</v>
      </c>
      <c r="B43" s="188" t="s">
        <v>16</v>
      </c>
      <c r="C43" s="272">
        <v>30049949</v>
      </c>
      <c r="D43" s="272">
        <v>41222090</v>
      </c>
      <c r="E43" s="272">
        <v>44580932</v>
      </c>
    </row>
    <row r="44" spans="1:14" ht="24" customHeight="1" x14ac:dyDescent="0.2">
      <c r="A44" s="17">
        <v>6</v>
      </c>
      <c r="B44" s="273" t="s">
        <v>17</v>
      </c>
      <c r="C44" s="274">
        <v>141225546</v>
      </c>
      <c r="D44" s="274">
        <v>155780987</v>
      </c>
      <c r="E44" s="274">
        <v>156173381</v>
      </c>
    </row>
    <row r="45" spans="1:14" ht="24" customHeight="1" x14ac:dyDescent="0.2">
      <c r="A45" s="17">
        <v>7</v>
      </c>
      <c r="B45" s="45" t="s">
        <v>344</v>
      </c>
      <c r="C45" s="270">
        <f>+C43+C44</f>
        <v>171275495</v>
      </c>
      <c r="D45" s="270">
        <f>+D43+D44</f>
        <v>197003077</v>
      </c>
      <c r="E45" s="270">
        <f>+E43+E44</f>
        <v>200754313</v>
      </c>
    </row>
    <row r="46" spans="1:14" ht="24" customHeight="1" x14ac:dyDescent="0.2">
      <c r="A46" s="17">
        <v>8</v>
      </c>
      <c r="B46" s="45" t="s">
        <v>322</v>
      </c>
      <c r="C46" s="270">
        <f>+C14</f>
        <v>306676772</v>
      </c>
      <c r="D46" s="270">
        <f>+D14</f>
        <v>334984009</v>
      </c>
      <c r="E46" s="270">
        <f>+E14</f>
        <v>355831236</v>
      </c>
    </row>
    <row r="47" spans="1:14" ht="24" customHeight="1" x14ac:dyDescent="0.2">
      <c r="A47" s="17">
        <v>9</v>
      </c>
      <c r="B47" s="45" t="s">
        <v>345</v>
      </c>
      <c r="C47" s="270">
        <v>16403646</v>
      </c>
      <c r="D47" s="270">
        <v>17160934</v>
      </c>
      <c r="E47" s="270">
        <v>17704358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290273126</v>
      </c>
      <c r="D48" s="270">
        <f>+D46-D47</f>
        <v>317823075</v>
      </c>
      <c r="E48" s="270">
        <f>+E46-E47</f>
        <v>338126878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25.646519257560239</v>
      </c>
      <c r="D50" s="278">
        <f>IF((D55/365)=0,0,+D54/(D55/365))</f>
        <v>26.294390814105473</v>
      </c>
      <c r="E50" s="278">
        <f>IF((E55/365)=0,0,+E54/(E55/365))</f>
        <v>25.480735797383623</v>
      </c>
    </row>
    <row r="51" spans="1:5" ht="24" customHeight="1" x14ac:dyDescent="0.2">
      <c r="A51" s="17">
        <v>12</v>
      </c>
      <c r="B51" s="188" t="s">
        <v>348</v>
      </c>
      <c r="C51" s="279">
        <v>29961635</v>
      </c>
      <c r="D51" s="279">
        <v>32328543</v>
      </c>
      <c r="E51" s="279">
        <v>32212263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9222736</v>
      </c>
      <c r="D53" s="270">
        <v>8839110</v>
      </c>
      <c r="E53" s="270">
        <v>8013088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20738899</v>
      </c>
      <c r="D54" s="280">
        <f>+D51+D52-D53</f>
        <v>23489433</v>
      </c>
      <c r="E54" s="280">
        <f>+E51+E52-E53</f>
        <v>24199175</v>
      </c>
    </row>
    <row r="55" spans="1:5" ht="24" customHeight="1" x14ac:dyDescent="0.2">
      <c r="A55" s="17">
        <v>16</v>
      </c>
      <c r="B55" s="45" t="s">
        <v>75</v>
      </c>
      <c r="C55" s="270">
        <f>+C11</f>
        <v>295154990</v>
      </c>
      <c r="D55" s="270">
        <f>+D11</f>
        <v>326063574</v>
      </c>
      <c r="E55" s="270">
        <f>+E11</f>
        <v>346642222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54.42555135124703</v>
      </c>
      <c r="D57" s="283">
        <f>IF((D61/365)=0,0,+D58/(D61/365))</f>
        <v>57.464034762107815</v>
      </c>
      <c r="E57" s="283">
        <f>IF((E61/365)=0,0,+E58/(E61/365))</f>
        <v>54.813657049765801</v>
      </c>
    </row>
    <row r="58" spans="1:5" ht="24" customHeight="1" x14ac:dyDescent="0.2">
      <c r="A58" s="17">
        <v>18</v>
      </c>
      <c r="B58" s="45" t="s">
        <v>54</v>
      </c>
      <c r="C58" s="281">
        <f>+C40</f>
        <v>43282945</v>
      </c>
      <c r="D58" s="281">
        <f>+D40</f>
        <v>50036702</v>
      </c>
      <c r="E58" s="281">
        <f>+E40</f>
        <v>50778002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306676772</v>
      </c>
      <c r="D59" s="281">
        <f t="shared" si="0"/>
        <v>334984009</v>
      </c>
      <c r="E59" s="281">
        <f t="shared" si="0"/>
        <v>355831236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16403646</v>
      </c>
      <c r="D60" s="176">
        <f t="shared" si="0"/>
        <v>17160934</v>
      </c>
      <c r="E60" s="176">
        <f t="shared" si="0"/>
        <v>17704358</v>
      </c>
    </row>
    <row r="61" spans="1:5" ht="24" customHeight="1" x14ac:dyDescent="0.2">
      <c r="A61" s="17">
        <v>21</v>
      </c>
      <c r="B61" s="45" t="s">
        <v>351</v>
      </c>
      <c r="C61" s="281">
        <f>+C59-C60</f>
        <v>290273126</v>
      </c>
      <c r="D61" s="281">
        <f>+D59-D60</f>
        <v>317823075</v>
      </c>
      <c r="E61" s="281">
        <f>+E59-E60</f>
        <v>338126878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56.157727559300064</v>
      </c>
      <c r="D65" s="284">
        <f>IF(D67=0,0,(D66/D67)*100)</f>
        <v>56.310933962633882</v>
      </c>
      <c r="E65" s="284">
        <f>IF(E67=0,0,(E66/E67)*100)</f>
        <v>55.945365152405515</v>
      </c>
    </row>
    <row r="66" spans="1:5" ht="24" customHeight="1" x14ac:dyDescent="0.2">
      <c r="A66" s="17">
        <v>2</v>
      </c>
      <c r="B66" s="45" t="s">
        <v>67</v>
      </c>
      <c r="C66" s="281">
        <f>+C32</f>
        <v>210656012</v>
      </c>
      <c r="D66" s="281">
        <f>+D32</f>
        <v>227619698</v>
      </c>
      <c r="E66" s="281">
        <f>+E32</f>
        <v>242126973</v>
      </c>
    </row>
    <row r="67" spans="1:5" ht="24" customHeight="1" x14ac:dyDescent="0.2">
      <c r="A67" s="17">
        <v>3</v>
      </c>
      <c r="B67" s="45" t="s">
        <v>43</v>
      </c>
      <c r="C67" s="281">
        <v>375114915</v>
      </c>
      <c r="D67" s="281">
        <v>404219362</v>
      </c>
      <c r="E67" s="281">
        <v>432791836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19.739285260358308</v>
      </c>
      <c r="D69" s="284">
        <f>IF(D75=0,0,(D72/D75)*100)</f>
        <v>28.276821304780835</v>
      </c>
      <c r="E69" s="284">
        <f>IF(E75=0,0,(E72/E75)*100)</f>
        <v>25.263215793147548</v>
      </c>
    </row>
    <row r="70" spans="1:5" ht="24" customHeight="1" x14ac:dyDescent="0.2">
      <c r="A70" s="17">
        <v>5</v>
      </c>
      <c r="B70" s="45" t="s">
        <v>356</v>
      </c>
      <c r="C70" s="281">
        <f>+C28</f>
        <v>5155871</v>
      </c>
      <c r="D70" s="281">
        <f>+D28</f>
        <v>14561375</v>
      </c>
      <c r="E70" s="281">
        <f>+E28</f>
        <v>15902773</v>
      </c>
    </row>
    <row r="71" spans="1:5" ht="24" customHeight="1" x14ac:dyDescent="0.2">
      <c r="A71" s="17">
        <v>6</v>
      </c>
      <c r="B71" s="45" t="s">
        <v>345</v>
      </c>
      <c r="C71" s="176">
        <f>+C47</f>
        <v>16403646</v>
      </c>
      <c r="D71" s="176">
        <f>+D47</f>
        <v>17160934</v>
      </c>
      <c r="E71" s="176">
        <f>+E47</f>
        <v>17704358</v>
      </c>
    </row>
    <row r="72" spans="1:5" ht="24" customHeight="1" x14ac:dyDescent="0.2">
      <c r="A72" s="17">
        <v>7</v>
      </c>
      <c r="B72" s="45" t="s">
        <v>357</v>
      </c>
      <c r="C72" s="281">
        <f>+C70+C71</f>
        <v>21559517</v>
      </c>
      <c r="D72" s="281">
        <f>+D70+D71</f>
        <v>31722309</v>
      </c>
      <c r="E72" s="281">
        <f>+E70+E71</f>
        <v>33607131</v>
      </c>
    </row>
    <row r="73" spans="1:5" ht="24" customHeight="1" x14ac:dyDescent="0.2">
      <c r="A73" s="17">
        <v>8</v>
      </c>
      <c r="B73" s="45" t="s">
        <v>54</v>
      </c>
      <c r="C73" s="270">
        <f>+C40</f>
        <v>43282945</v>
      </c>
      <c r="D73" s="270">
        <f>+D40</f>
        <v>50036702</v>
      </c>
      <c r="E73" s="270">
        <f>+E40</f>
        <v>50778002</v>
      </c>
    </row>
    <row r="74" spans="1:5" ht="24" customHeight="1" x14ac:dyDescent="0.2">
      <c r="A74" s="17">
        <v>9</v>
      </c>
      <c r="B74" s="45" t="s">
        <v>58</v>
      </c>
      <c r="C74" s="281">
        <v>65938421</v>
      </c>
      <c r="D74" s="281">
        <v>62148146</v>
      </c>
      <c r="E74" s="281">
        <v>82249920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109221366</v>
      </c>
      <c r="D75" s="270">
        <f>+D73+D74</f>
        <v>112184848</v>
      </c>
      <c r="E75" s="270">
        <f>+E73+E74</f>
        <v>133027922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23.839388336496274</v>
      </c>
      <c r="D77" s="286">
        <f>IF(D80=0,0,(D78/D80)*100)</f>
        <v>21.447564761533719</v>
      </c>
      <c r="E77" s="286">
        <f>IF(E80=0,0,(E78/E80)*100)</f>
        <v>25.356282082645144</v>
      </c>
    </row>
    <row r="78" spans="1:5" ht="24" customHeight="1" x14ac:dyDescent="0.2">
      <c r="A78" s="17">
        <v>12</v>
      </c>
      <c r="B78" s="45" t="s">
        <v>58</v>
      </c>
      <c r="C78" s="270">
        <f>+C74</f>
        <v>65938421</v>
      </c>
      <c r="D78" s="270">
        <f>+D74</f>
        <v>62148146</v>
      </c>
      <c r="E78" s="270">
        <f>+E74</f>
        <v>82249920</v>
      </c>
    </row>
    <row r="79" spans="1:5" ht="24" customHeight="1" x14ac:dyDescent="0.2">
      <c r="A79" s="17">
        <v>13</v>
      </c>
      <c r="B79" s="45" t="s">
        <v>67</v>
      </c>
      <c r="C79" s="270">
        <f>+C32</f>
        <v>210656012</v>
      </c>
      <c r="D79" s="270">
        <f>+D32</f>
        <v>227619698</v>
      </c>
      <c r="E79" s="270">
        <f>+E32</f>
        <v>242126973</v>
      </c>
    </row>
    <row r="80" spans="1:5" ht="24" customHeight="1" x14ac:dyDescent="0.2">
      <c r="A80" s="17">
        <v>14</v>
      </c>
      <c r="B80" s="45" t="s">
        <v>360</v>
      </c>
      <c r="C80" s="270">
        <f>+C78+C79</f>
        <v>276594433</v>
      </c>
      <c r="D80" s="270">
        <f>+D78+D79</f>
        <v>289767844</v>
      </c>
      <c r="E80" s="270">
        <f>+E78+E79</f>
        <v>324376893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FILING&amp;R&amp;8L&amp;AMP;M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47701</v>
      </c>
      <c r="D11" s="296">
        <v>10702</v>
      </c>
      <c r="E11" s="296">
        <v>10339</v>
      </c>
      <c r="F11" s="297">
        <v>148</v>
      </c>
      <c r="G11" s="297">
        <v>148</v>
      </c>
      <c r="H11" s="298">
        <f>IF(F11=0,0,$C11/(F11*365))</f>
        <v>0.88302480562754537</v>
      </c>
      <c r="I11" s="298">
        <f>IF(G11=0,0,$C11/(G11*365))</f>
        <v>0.88302480562754537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5369</v>
      </c>
      <c r="D13" s="296">
        <v>368</v>
      </c>
      <c r="E13" s="296">
        <v>0</v>
      </c>
      <c r="F13" s="297">
        <v>20</v>
      </c>
      <c r="G13" s="297">
        <v>20</v>
      </c>
      <c r="H13" s="298">
        <f>IF(F13=0,0,$C13/(F13*365))</f>
        <v>0.73547945205479448</v>
      </c>
      <c r="I13" s="298">
        <f>IF(G13=0,0,$C13/(G13*365))</f>
        <v>0.73547945205479448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4800</v>
      </c>
      <c r="D16" s="296">
        <v>374</v>
      </c>
      <c r="E16" s="296">
        <v>374</v>
      </c>
      <c r="F16" s="297">
        <v>18</v>
      </c>
      <c r="G16" s="297">
        <v>18</v>
      </c>
      <c r="H16" s="298">
        <f t="shared" si="0"/>
        <v>0.73059360730593603</v>
      </c>
      <c r="I16" s="298">
        <f t="shared" si="0"/>
        <v>0.73059360730593603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4800</v>
      </c>
      <c r="D17" s="300">
        <f>SUM(D15:D16)</f>
        <v>374</v>
      </c>
      <c r="E17" s="300">
        <f>SUM(E15:E16)</f>
        <v>374</v>
      </c>
      <c r="F17" s="300">
        <f>SUM(F15:F16)</f>
        <v>18</v>
      </c>
      <c r="G17" s="300">
        <f>SUM(G15:G16)</f>
        <v>18</v>
      </c>
      <c r="H17" s="301">
        <f t="shared" si="0"/>
        <v>0.73059360730593603</v>
      </c>
      <c r="I17" s="301">
        <f t="shared" si="0"/>
        <v>0.73059360730593603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4627</v>
      </c>
      <c r="D19" s="296">
        <v>598</v>
      </c>
      <c r="E19" s="296">
        <v>598</v>
      </c>
      <c r="F19" s="297">
        <v>16</v>
      </c>
      <c r="G19" s="297">
        <v>16</v>
      </c>
      <c r="H19" s="298">
        <f>IF(F19=0,0,$C19/(F19*365))</f>
        <v>0.79229452054794525</v>
      </c>
      <c r="I19" s="298">
        <f>IF(G19=0,0,$C19/(G19*365))</f>
        <v>0.79229452054794525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4581</v>
      </c>
      <c r="D21" s="296">
        <v>1674</v>
      </c>
      <c r="E21" s="296">
        <v>1674</v>
      </c>
      <c r="F21" s="297">
        <v>24</v>
      </c>
      <c r="G21" s="297">
        <v>24</v>
      </c>
      <c r="H21" s="298">
        <f>IF(F21=0,0,$C21/(F21*365))</f>
        <v>0.522945205479452</v>
      </c>
      <c r="I21" s="298">
        <f>IF(G21=0,0,$C21/(G21*365))</f>
        <v>0.522945205479452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3537</v>
      </c>
      <c r="D23" s="296">
        <v>1427</v>
      </c>
      <c r="E23" s="296">
        <v>1427</v>
      </c>
      <c r="F23" s="297">
        <v>14</v>
      </c>
      <c r="G23" s="297">
        <v>14</v>
      </c>
      <c r="H23" s="298">
        <f>IF(F23=0,0,$C23/(F23*365))</f>
        <v>0.6921722113502935</v>
      </c>
      <c r="I23" s="298">
        <f>IF(G23=0,0,$C23/(G23*365))</f>
        <v>0.6921722113502935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2354</v>
      </c>
      <c r="D25" s="296">
        <v>192</v>
      </c>
      <c r="E25" s="296">
        <v>0</v>
      </c>
      <c r="F25" s="297">
        <v>10</v>
      </c>
      <c r="G25" s="297">
        <v>10</v>
      </c>
      <c r="H25" s="298">
        <f>IF(F25=0,0,$C25/(F25*365))</f>
        <v>0.64493150684931511</v>
      </c>
      <c r="I25" s="298">
        <f>IF(G25=0,0,$C25/(G25*365))</f>
        <v>0.64493150684931511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1113</v>
      </c>
      <c r="D27" s="296">
        <v>361</v>
      </c>
      <c r="E27" s="296">
        <v>361</v>
      </c>
      <c r="F27" s="297">
        <v>6</v>
      </c>
      <c r="G27" s="297">
        <v>6</v>
      </c>
      <c r="H27" s="298">
        <f>IF(F27=0,0,$C27/(F27*365))</f>
        <v>0.50821917808219175</v>
      </c>
      <c r="I27" s="298">
        <f>IF(G27=0,0,$C27/(G27*365))</f>
        <v>0.50821917808219175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70545</v>
      </c>
      <c r="D31" s="300">
        <f>SUM(D10:D29)-D13-D17-D23</f>
        <v>13901</v>
      </c>
      <c r="E31" s="300">
        <f>SUM(E10:E29)-E17-E23</f>
        <v>13346</v>
      </c>
      <c r="F31" s="300">
        <f>SUM(F10:F29)-F17-F23</f>
        <v>242</v>
      </c>
      <c r="G31" s="300">
        <f>SUM(G10:G29)-G17-G23</f>
        <v>242</v>
      </c>
      <c r="H31" s="301">
        <f>IF(F31=0,0,$C31/(F31*365))</f>
        <v>0.79865277935016421</v>
      </c>
      <c r="I31" s="301">
        <f>IF(G31=0,0,$C31/(G31*365))</f>
        <v>0.79865277935016421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74082</v>
      </c>
      <c r="D33" s="300">
        <f>SUM(D10:D29)-D13-D17</f>
        <v>15328</v>
      </c>
      <c r="E33" s="300">
        <f>SUM(E10:E29)-E17</f>
        <v>14773</v>
      </c>
      <c r="F33" s="300">
        <f>SUM(F10:F29)-F17</f>
        <v>256</v>
      </c>
      <c r="G33" s="300">
        <f>SUM(G10:G29)-G17</f>
        <v>256</v>
      </c>
      <c r="H33" s="301">
        <f>IF(F33=0,0,$C33/(F33*365))</f>
        <v>0.79282962328767126</v>
      </c>
      <c r="I33" s="301">
        <f>IF(G33=0,0,$C33/(G33*365))</f>
        <v>0.79282962328767126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74082</v>
      </c>
      <c r="D36" s="300">
        <f t="shared" si="1"/>
        <v>15328</v>
      </c>
      <c r="E36" s="300">
        <f t="shared" si="1"/>
        <v>14773</v>
      </c>
      <c r="F36" s="300">
        <f t="shared" si="1"/>
        <v>256</v>
      </c>
      <c r="G36" s="300">
        <f t="shared" si="1"/>
        <v>256</v>
      </c>
      <c r="H36" s="301">
        <f t="shared" si="1"/>
        <v>0.79282962328767126</v>
      </c>
      <c r="I36" s="301">
        <f t="shared" si="1"/>
        <v>0.79282962328767126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71761</v>
      </c>
      <c r="D37" s="300">
        <v>0</v>
      </c>
      <c r="E37" s="300">
        <v>0</v>
      </c>
      <c r="F37" s="302">
        <v>256</v>
      </c>
      <c r="G37" s="302">
        <v>256</v>
      </c>
      <c r="H37" s="301">
        <f>IF(F37=0,0,$C37/(F37*365))</f>
        <v>0.76799015410958904</v>
      </c>
      <c r="I37" s="301">
        <f>IF(G37=0,0,$C37/(G37*365))</f>
        <v>0.76799015410958904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2321</v>
      </c>
      <c r="D38" s="300">
        <f t="shared" si="2"/>
        <v>15328</v>
      </c>
      <c r="E38" s="300">
        <f t="shared" si="2"/>
        <v>14773</v>
      </c>
      <c r="F38" s="300">
        <f t="shared" si="2"/>
        <v>0</v>
      </c>
      <c r="G38" s="300">
        <f t="shared" si="2"/>
        <v>0</v>
      </c>
      <c r="H38" s="301">
        <f t="shared" si="2"/>
        <v>2.4839469178082219E-2</v>
      </c>
      <c r="I38" s="301">
        <f t="shared" si="2"/>
        <v>2.4839469178082219E-2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3.2343473474449908E-2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3.2343473474449942E-2</v>
      </c>
      <c r="I40" s="148">
        <f t="shared" si="3"/>
        <v>3.2343473474449942E-2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308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FILING&amp;RLAWRENCE AND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700" t="s">
        <v>0</v>
      </c>
      <c r="B1" s="700"/>
      <c r="C1" s="700"/>
      <c r="D1" s="700"/>
      <c r="E1" s="700"/>
      <c r="F1" s="700"/>
    </row>
    <row r="2" spans="1:16" ht="15.75" customHeight="1" x14ac:dyDescent="0.25">
      <c r="A2" s="700" t="s">
        <v>1</v>
      </c>
      <c r="B2" s="700"/>
      <c r="C2" s="700"/>
      <c r="D2" s="700"/>
      <c r="E2" s="700"/>
      <c r="F2" s="700"/>
    </row>
    <row r="3" spans="1:16" ht="15.75" customHeight="1" x14ac:dyDescent="0.25">
      <c r="A3" s="700" t="s">
        <v>2</v>
      </c>
      <c r="B3" s="700"/>
      <c r="C3" s="700"/>
      <c r="D3" s="700"/>
      <c r="E3" s="700"/>
      <c r="F3" s="700"/>
    </row>
    <row r="4" spans="1:16" ht="15.75" customHeight="1" x14ac:dyDescent="0.25">
      <c r="A4" s="700" t="s">
        <v>526</v>
      </c>
      <c r="B4" s="700"/>
      <c r="C4" s="700"/>
      <c r="D4" s="700"/>
      <c r="E4" s="700"/>
      <c r="F4" s="700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9329</v>
      </c>
      <c r="D12" s="296">
        <v>7555</v>
      </c>
      <c r="E12" s="296">
        <f>+D12-C12</f>
        <v>-1774</v>
      </c>
      <c r="F12" s="316">
        <f>IF(C12=0,0,+E12/C12)</f>
        <v>-0.19015971701146961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12269</v>
      </c>
      <c r="D13" s="296">
        <v>10682</v>
      </c>
      <c r="E13" s="296">
        <f>+D13-C13</f>
        <v>-1587</v>
      </c>
      <c r="F13" s="316">
        <f>IF(C13=0,0,+E13/C13)</f>
        <v>-0.12935039530524084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9747</v>
      </c>
      <c r="D14" s="296">
        <v>8049</v>
      </c>
      <c r="E14" s="296">
        <f>+D14-C14</f>
        <v>-1698</v>
      </c>
      <c r="F14" s="316">
        <f>IF(C14=0,0,+E14/C14)</f>
        <v>-0.17420744844567559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31345</v>
      </c>
      <c r="D16" s="300">
        <f>SUM(D12:D15)</f>
        <v>26286</v>
      </c>
      <c r="E16" s="300">
        <f>+D16-C16</f>
        <v>-5059</v>
      </c>
      <c r="F16" s="309">
        <f>IF(C16=0,0,+E16/C16)</f>
        <v>-0.16139735204976871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1424</v>
      </c>
      <c r="D19" s="296">
        <v>1564</v>
      </c>
      <c r="E19" s="296">
        <f>+D19-C19</f>
        <v>140</v>
      </c>
      <c r="F19" s="316">
        <f>IF(C19=0,0,+E19/C19)</f>
        <v>9.8314606741573038E-2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9616</v>
      </c>
      <c r="D20" s="296">
        <v>9945</v>
      </c>
      <c r="E20" s="296">
        <f>+D20-C20</f>
        <v>329</v>
      </c>
      <c r="F20" s="316">
        <f>IF(C20=0,0,+E20/C20)</f>
        <v>3.4213810316139764E-2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105</v>
      </c>
      <c r="D21" s="296">
        <v>110</v>
      </c>
      <c r="E21" s="296">
        <f>+D21-C21</f>
        <v>5</v>
      </c>
      <c r="F21" s="316">
        <f>IF(C21=0,0,+E21/C21)</f>
        <v>4.7619047619047616E-2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11145</v>
      </c>
      <c r="D23" s="300">
        <f>SUM(D19:D22)</f>
        <v>11619</v>
      </c>
      <c r="E23" s="300">
        <f>+D23-C23</f>
        <v>474</v>
      </c>
      <c r="F23" s="309">
        <f>IF(C23=0,0,+E23/C23)</f>
        <v>4.2530282637954241E-2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7</v>
      </c>
      <c r="D33" s="296">
        <v>2</v>
      </c>
      <c r="E33" s="296">
        <f>+D33-C33</f>
        <v>-5</v>
      </c>
      <c r="F33" s="316">
        <f>IF(C33=0,0,+E33/C33)</f>
        <v>-0.7142857142857143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495</v>
      </c>
      <c r="D34" s="296">
        <v>419</v>
      </c>
      <c r="E34" s="296">
        <f>+D34-C34</f>
        <v>-76</v>
      </c>
      <c r="F34" s="316">
        <f>IF(C34=0,0,+E34/C34)</f>
        <v>-0.15353535353535352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502</v>
      </c>
      <c r="D37" s="300">
        <f>SUM(D33:D36)</f>
        <v>421</v>
      </c>
      <c r="E37" s="300">
        <f>+D37-C37</f>
        <v>-81</v>
      </c>
      <c r="F37" s="309">
        <f>IF(C37=0,0,+E37/C37)</f>
        <v>-0.16135458167330677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199</v>
      </c>
      <c r="D43" s="296">
        <v>183</v>
      </c>
      <c r="E43" s="296">
        <f>+D43-C43</f>
        <v>-16</v>
      </c>
      <c r="F43" s="316">
        <f>IF(C43=0,0,+E43/C43)</f>
        <v>-8.0402010050251257E-2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9288</v>
      </c>
      <c r="D44" s="296">
        <v>8255</v>
      </c>
      <c r="E44" s="296">
        <f>+D44-C44</f>
        <v>-1033</v>
      </c>
      <c r="F44" s="316">
        <f>IF(C44=0,0,+E44/C44)</f>
        <v>-0.11121877691645134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9487</v>
      </c>
      <c r="D45" s="300">
        <f>SUM(D43:D44)</f>
        <v>8438</v>
      </c>
      <c r="E45" s="300">
        <f>+D45-C45</f>
        <v>-1049</v>
      </c>
      <c r="F45" s="309">
        <f>IF(C45=0,0,+E45/C45)</f>
        <v>-0.11057236217982502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485</v>
      </c>
      <c r="D48" s="296">
        <v>364</v>
      </c>
      <c r="E48" s="296">
        <f>+D48-C48</f>
        <v>-121</v>
      </c>
      <c r="F48" s="316">
        <f>IF(C48=0,0,+E48/C48)</f>
        <v>-0.24948453608247423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271</v>
      </c>
      <c r="D49" s="296">
        <v>289</v>
      </c>
      <c r="E49" s="296">
        <f>+D49-C49</f>
        <v>18</v>
      </c>
      <c r="F49" s="316">
        <f>IF(C49=0,0,+E49/C49)</f>
        <v>6.6420664206642069E-2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756</v>
      </c>
      <c r="D50" s="300">
        <f>SUM(D48:D49)</f>
        <v>653</v>
      </c>
      <c r="E50" s="300">
        <f>+D50-C50</f>
        <v>-103</v>
      </c>
      <c r="F50" s="309">
        <f>IF(C50=0,0,+E50/C50)</f>
        <v>-0.13624338624338625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81</v>
      </c>
      <c r="D53" s="296">
        <v>70</v>
      </c>
      <c r="E53" s="296">
        <f>+D53-C53</f>
        <v>-11</v>
      </c>
      <c r="F53" s="316">
        <f>IF(C53=0,0,+E53/C53)</f>
        <v>-0.13580246913580246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81</v>
      </c>
      <c r="D55" s="300">
        <f>SUM(D53:D54)</f>
        <v>70</v>
      </c>
      <c r="E55" s="300">
        <f>+D55-C55</f>
        <v>-11</v>
      </c>
      <c r="F55" s="309">
        <f>IF(C55=0,0,+E55/C55)</f>
        <v>-0.13580246913580246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2787</v>
      </c>
      <c r="D63" s="296">
        <v>2962</v>
      </c>
      <c r="E63" s="296">
        <f>+D63-C63</f>
        <v>175</v>
      </c>
      <c r="F63" s="316">
        <f>IF(C63=0,0,+E63/C63)</f>
        <v>6.2791532113383564E-2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9920</v>
      </c>
      <c r="D64" s="296">
        <v>10501</v>
      </c>
      <c r="E64" s="296">
        <f>+D64-C64</f>
        <v>581</v>
      </c>
      <c r="F64" s="316">
        <f>IF(C64=0,0,+E64/C64)</f>
        <v>5.8568548387096776E-2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12707</v>
      </c>
      <c r="D65" s="300">
        <f>SUM(D63:D64)</f>
        <v>13463</v>
      </c>
      <c r="E65" s="300">
        <f>+D65-C65</f>
        <v>756</v>
      </c>
      <c r="F65" s="309">
        <f>IF(C65=0,0,+E65/C65)</f>
        <v>5.9494766664043443E-2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795</v>
      </c>
      <c r="D68" s="296">
        <v>665</v>
      </c>
      <c r="E68" s="296">
        <f>+D68-C68</f>
        <v>-130</v>
      </c>
      <c r="F68" s="316">
        <f>IF(C68=0,0,+E68/C68)</f>
        <v>-0.16352201257861634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2238</v>
      </c>
      <c r="D69" s="296">
        <v>2120</v>
      </c>
      <c r="E69" s="296">
        <f>+D69-C69</f>
        <v>-118</v>
      </c>
      <c r="F69" s="318">
        <f>IF(C69=0,0,+E69/C69)</f>
        <v>-5.2725647899910633E-2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3033</v>
      </c>
      <c r="D70" s="300">
        <f>SUM(D68:D69)</f>
        <v>2785</v>
      </c>
      <c r="E70" s="300">
        <f>+D70-C70</f>
        <v>-248</v>
      </c>
      <c r="F70" s="309">
        <f>IF(C70=0,0,+E70/C70)</f>
        <v>-8.1767227167820644E-2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7469</v>
      </c>
      <c r="D73" s="319">
        <v>7543</v>
      </c>
      <c r="E73" s="296">
        <f>+D73-C73</f>
        <v>74</v>
      </c>
      <c r="F73" s="316">
        <f>IF(C73=0,0,+E73/C73)</f>
        <v>9.9076181550408361E-3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73421</v>
      </c>
      <c r="D74" s="319">
        <v>72571</v>
      </c>
      <c r="E74" s="296">
        <f>+D74-C74</f>
        <v>-850</v>
      </c>
      <c r="F74" s="316">
        <f>IF(C74=0,0,+E74/C74)</f>
        <v>-1.1577069230874001E-2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80890</v>
      </c>
      <c r="D75" s="300">
        <f>SUM(D73:D74)</f>
        <v>80114</v>
      </c>
      <c r="E75" s="300">
        <f>SUM(E73:E74)</f>
        <v>-776</v>
      </c>
      <c r="F75" s="309">
        <f>IF(C75=0,0,+E75/C75)</f>
        <v>-9.5932748176536034E-3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14663</v>
      </c>
      <c r="D81" s="319">
        <v>14030</v>
      </c>
      <c r="E81" s="296">
        <f t="shared" si="0"/>
        <v>-633</v>
      </c>
      <c r="F81" s="316">
        <f t="shared" si="1"/>
        <v>-4.3169883379935894E-2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14663</v>
      </c>
      <c r="D84" s="320">
        <f>SUM(D79:D83)</f>
        <v>14030</v>
      </c>
      <c r="E84" s="300">
        <f t="shared" si="0"/>
        <v>-633</v>
      </c>
      <c r="F84" s="309">
        <f t="shared" si="1"/>
        <v>-4.3169883379935894E-2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71173</v>
      </c>
      <c r="D87" s="322">
        <v>69848</v>
      </c>
      <c r="E87" s="323">
        <f t="shared" ref="E87:E92" si="2">+D87-C87</f>
        <v>-1325</v>
      </c>
      <c r="F87" s="318">
        <f t="shared" ref="F87:F92" si="3">IF(C87=0,0,+E87/C87)</f>
        <v>-1.8616610231407978E-2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3878</v>
      </c>
      <c r="D88" s="322">
        <v>3935</v>
      </c>
      <c r="E88" s="296">
        <f t="shared" si="2"/>
        <v>57</v>
      </c>
      <c r="F88" s="316">
        <f t="shared" si="3"/>
        <v>1.4698298091799896E-2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1814</v>
      </c>
      <c r="D89" s="322">
        <v>1735</v>
      </c>
      <c r="E89" s="296">
        <f t="shared" si="2"/>
        <v>-79</v>
      </c>
      <c r="F89" s="316">
        <f t="shared" si="3"/>
        <v>-4.3550165380374865E-2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4275</v>
      </c>
      <c r="D90" s="322">
        <v>3464</v>
      </c>
      <c r="E90" s="296">
        <f t="shared" si="2"/>
        <v>-811</v>
      </c>
      <c r="F90" s="316">
        <f t="shared" si="3"/>
        <v>-0.1897076023391813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282208</v>
      </c>
      <c r="D91" s="322">
        <v>280827</v>
      </c>
      <c r="E91" s="296">
        <f t="shared" si="2"/>
        <v>-1381</v>
      </c>
      <c r="F91" s="316">
        <f t="shared" si="3"/>
        <v>-4.8935536908946593E-3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363348</v>
      </c>
      <c r="D92" s="320">
        <f>SUM(D87:D91)</f>
        <v>359809</v>
      </c>
      <c r="E92" s="300">
        <f t="shared" si="2"/>
        <v>-3539</v>
      </c>
      <c r="F92" s="309">
        <f t="shared" si="3"/>
        <v>-9.7399737992227842E-3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496.9</v>
      </c>
      <c r="D96" s="325">
        <v>519.20000000000005</v>
      </c>
      <c r="E96" s="326">
        <f>+D96-C96</f>
        <v>22.300000000000068</v>
      </c>
      <c r="F96" s="316">
        <f>IF(C96=0,0,+E96/C96)</f>
        <v>4.4878245119742539E-2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8.1</v>
      </c>
      <c r="D97" s="325">
        <v>9.4</v>
      </c>
      <c r="E97" s="326">
        <f>+D97-C97</f>
        <v>1.3000000000000007</v>
      </c>
      <c r="F97" s="316">
        <f>IF(C97=0,0,+E97/C97)</f>
        <v>0.16049382716049393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1387.8</v>
      </c>
      <c r="D98" s="325">
        <v>1410.5</v>
      </c>
      <c r="E98" s="326">
        <f>+D98-C98</f>
        <v>22.700000000000045</v>
      </c>
      <c r="F98" s="316">
        <f>IF(C98=0,0,+E98/C98)</f>
        <v>1.6356823749819893E-2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1892.8</v>
      </c>
      <c r="D99" s="327">
        <f>SUM(D96:D98)</f>
        <v>1939.1</v>
      </c>
      <c r="E99" s="327">
        <f>+D99-C99</f>
        <v>46.299999999999955</v>
      </c>
      <c r="F99" s="309">
        <f>IF(C99=0,0,+E99/C99)</f>
        <v>2.4461115807269632E-2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700" t="s">
        <v>0</v>
      </c>
      <c r="B1" s="700"/>
      <c r="C1" s="700"/>
      <c r="D1" s="700"/>
      <c r="E1" s="700"/>
      <c r="F1" s="700"/>
    </row>
    <row r="2" spans="1:16" ht="15.75" customHeight="1" x14ac:dyDescent="0.25">
      <c r="A2" s="700" t="s">
        <v>1</v>
      </c>
      <c r="B2" s="700"/>
      <c r="C2" s="700"/>
      <c r="D2" s="700"/>
      <c r="E2" s="700"/>
      <c r="F2" s="700"/>
    </row>
    <row r="3" spans="1:16" ht="15.75" customHeight="1" x14ac:dyDescent="0.25">
      <c r="A3" s="700" t="s">
        <v>2</v>
      </c>
      <c r="B3" s="700"/>
      <c r="C3" s="700"/>
      <c r="D3" s="700"/>
      <c r="E3" s="700"/>
      <c r="F3" s="700"/>
    </row>
    <row r="4" spans="1:16" ht="15.75" customHeight="1" x14ac:dyDescent="0.25">
      <c r="A4" s="700" t="s">
        <v>585</v>
      </c>
      <c r="B4" s="700"/>
      <c r="C4" s="700"/>
      <c r="D4" s="700"/>
      <c r="E4" s="700"/>
      <c r="F4" s="700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661" t="s">
        <v>984</v>
      </c>
      <c r="C12" s="296">
        <v>7176</v>
      </c>
      <c r="D12" s="296">
        <v>7747</v>
      </c>
      <c r="E12" s="296">
        <f>+D12-C12</f>
        <v>571</v>
      </c>
      <c r="F12" s="316">
        <f>IF(C12=0,0,+E12/C12)</f>
        <v>7.9570791527313264E-2</v>
      </c>
    </row>
    <row r="13" spans="1:16" ht="15.75" customHeight="1" x14ac:dyDescent="0.2">
      <c r="A13" s="294">
        <v>2</v>
      </c>
      <c r="B13" s="295" t="s">
        <v>586</v>
      </c>
      <c r="C13" s="296">
        <v>2744</v>
      </c>
      <c r="D13" s="296">
        <v>2754</v>
      </c>
      <c r="E13" s="296">
        <f>+D13-C13</f>
        <v>10</v>
      </c>
      <c r="F13" s="316">
        <f>IF(C13=0,0,+E13/C13)</f>
        <v>3.6443148688046646E-3</v>
      </c>
    </row>
    <row r="14" spans="1:16" ht="15.75" customHeight="1" x14ac:dyDescent="0.25">
      <c r="A14" s="294"/>
      <c r="B14" s="135" t="s">
        <v>587</v>
      </c>
      <c r="C14" s="300">
        <f>SUM(C11:C13)</f>
        <v>9920</v>
      </c>
      <c r="D14" s="300">
        <f>SUM(D11:D13)</f>
        <v>10501</v>
      </c>
      <c r="E14" s="300">
        <f>+D14-C14</f>
        <v>581</v>
      </c>
      <c r="F14" s="309">
        <f>IF(C14=0,0,+E14/C14)</f>
        <v>5.8568548387096776E-2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561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588</v>
      </c>
      <c r="C17" s="296">
        <v>2238</v>
      </c>
      <c r="D17" s="296">
        <v>2120</v>
      </c>
      <c r="E17" s="296">
        <f>+D17-C17</f>
        <v>-118</v>
      </c>
      <c r="F17" s="316">
        <f>IF(C17=0,0,+E17/C17)</f>
        <v>-5.2725647899910633E-2</v>
      </c>
    </row>
    <row r="18" spans="1:6" ht="15.75" customHeight="1" x14ac:dyDescent="0.25">
      <c r="A18" s="294"/>
      <c r="B18" s="135" t="s">
        <v>589</v>
      </c>
      <c r="C18" s="300">
        <f>SUM(C16:C17)</f>
        <v>2238</v>
      </c>
      <c r="D18" s="300">
        <f>SUM(D16:D17)</f>
        <v>2120</v>
      </c>
      <c r="E18" s="300">
        <f>+D18-C18</f>
        <v>-118</v>
      </c>
      <c r="F18" s="309">
        <f>IF(C18=0,0,+E18/C18)</f>
        <v>-5.2725647899910633E-2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590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588</v>
      </c>
      <c r="C21" s="296">
        <v>34351</v>
      </c>
      <c r="D21" s="296">
        <v>36021</v>
      </c>
      <c r="E21" s="296">
        <f>+D21-C21</f>
        <v>1670</v>
      </c>
      <c r="F21" s="316">
        <f>IF(C21=0,0,+E21/C21)</f>
        <v>4.8615760822101249E-2</v>
      </c>
    </row>
    <row r="22" spans="1:6" ht="15.75" customHeight="1" x14ac:dyDescent="0.2">
      <c r="A22" s="294">
        <v>2</v>
      </c>
      <c r="B22" s="295" t="s">
        <v>586</v>
      </c>
      <c r="C22" s="296">
        <v>39070</v>
      </c>
      <c r="D22" s="296">
        <v>36550</v>
      </c>
      <c r="E22" s="296">
        <f>+D22-C22</f>
        <v>-2520</v>
      </c>
      <c r="F22" s="316">
        <f>IF(C22=0,0,+E22/C22)</f>
        <v>-6.449961607371385E-2</v>
      </c>
    </row>
    <row r="23" spans="1:6" ht="15.75" customHeight="1" x14ac:dyDescent="0.25">
      <c r="A23" s="294"/>
      <c r="B23" s="135" t="s">
        <v>591</v>
      </c>
      <c r="C23" s="300">
        <f>SUM(C20:C22)</f>
        <v>73421</v>
      </c>
      <c r="D23" s="300">
        <f>SUM(D20:D22)</f>
        <v>72571</v>
      </c>
      <c r="E23" s="300">
        <f>+D23-C23</f>
        <v>-850</v>
      </c>
      <c r="F23" s="309">
        <f>IF(C23=0,0,+E23/C23)</f>
        <v>-1.1577069230874001E-2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701" t="s">
        <v>592</v>
      </c>
      <c r="C25" s="702"/>
      <c r="D25" s="702"/>
      <c r="E25" s="702"/>
      <c r="F25" s="703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701" t="s">
        <v>593</v>
      </c>
      <c r="C27" s="702"/>
      <c r="D27" s="702"/>
      <c r="E27" s="702"/>
      <c r="F27" s="703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701" t="s">
        <v>594</v>
      </c>
      <c r="C29" s="702"/>
      <c r="D29" s="702"/>
      <c r="E29" s="702"/>
      <c r="F29" s="703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FILING&amp;RLAWRENCE AND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4" t="s">
        <v>0</v>
      </c>
      <c r="B1" s="704"/>
      <c r="C1" s="704"/>
      <c r="D1" s="704"/>
      <c r="E1" s="704"/>
      <c r="F1" s="704"/>
    </row>
    <row r="2" spans="1:21" ht="15.75" customHeight="1" x14ac:dyDescent="0.25">
      <c r="A2" s="705" t="s">
        <v>595</v>
      </c>
      <c r="B2" s="706"/>
      <c r="C2" s="706"/>
      <c r="D2" s="706"/>
      <c r="E2" s="706"/>
      <c r="F2" s="707"/>
    </row>
    <row r="3" spans="1:21" ht="15.75" customHeight="1" x14ac:dyDescent="0.25">
      <c r="A3" s="705" t="s">
        <v>596</v>
      </c>
      <c r="B3" s="706"/>
      <c r="C3" s="706"/>
      <c r="D3" s="706"/>
      <c r="E3" s="706"/>
      <c r="F3" s="707"/>
    </row>
    <row r="4" spans="1:21" ht="15.75" customHeight="1" x14ac:dyDescent="0.25">
      <c r="A4" s="708" t="s">
        <v>597</v>
      </c>
      <c r="B4" s="709"/>
      <c r="C4" s="709"/>
      <c r="D4" s="709"/>
      <c r="E4" s="709"/>
      <c r="F4" s="710"/>
    </row>
    <row r="5" spans="1:21" ht="15.75" customHeight="1" x14ac:dyDescent="0.25">
      <c r="A5" s="708" t="s">
        <v>598</v>
      </c>
      <c r="B5" s="709"/>
      <c r="C5" s="709"/>
      <c r="D5" s="709"/>
      <c r="E5" s="709"/>
      <c r="F5" s="710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144213661</v>
      </c>
      <c r="D15" s="361">
        <v>155839588</v>
      </c>
      <c r="E15" s="361">
        <f t="shared" ref="E15:E24" si="0">D15-C15</f>
        <v>11625927</v>
      </c>
      <c r="F15" s="362">
        <f t="shared" ref="F15:F24" si="1">IF(C15=0,0,E15/C15)</f>
        <v>8.0615989632216598E-2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72819108</v>
      </c>
      <c r="D16" s="361">
        <v>69135193</v>
      </c>
      <c r="E16" s="361">
        <f t="shared" si="0"/>
        <v>-3683915</v>
      </c>
      <c r="F16" s="362">
        <f t="shared" si="1"/>
        <v>-5.0589949550054913E-2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0.50493904318814842</v>
      </c>
      <c r="D17" s="366">
        <f>IF(LN_IA1=0,0,LN_IA2/LN_IA1)</f>
        <v>0.44363049137424565</v>
      </c>
      <c r="E17" s="367">
        <f t="shared" si="0"/>
        <v>-6.1308551813902767E-2</v>
      </c>
      <c r="F17" s="362">
        <f t="shared" si="1"/>
        <v>-0.1214177288149576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6829</v>
      </c>
      <c r="D18" s="369">
        <v>6897</v>
      </c>
      <c r="E18" s="369">
        <f t="shared" si="0"/>
        <v>68</v>
      </c>
      <c r="F18" s="362">
        <f t="shared" si="1"/>
        <v>9.957534045980378E-3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1.4489000000000001</v>
      </c>
      <c r="D19" s="372">
        <v>1.4370000000000001</v>
      </c>
      <c r="E19" s="373">
        <f t="shared" si="0"/>
        <v>-1.1900000000000022E-2</v>
      </c>
      <c r="F19" s="362">
        <f t="shared" si="1"/>
        <v>-8.2131271999448009E-3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9894.5380999999998</v>
      </c>
      <c r="D20" s="376">
        <f>LN_IA4*LN_IA5</f>
        <v>9910.9889999999996</v>
      </c>
      <c r="E20" s="376">
        <f t="shared" si="0"/>
        <v>16.45089999999982</v>
      </c>
      <c r="F20" s="362">
        <f t="shared" si="1"/>
        <v>1.6626243523181561E-3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7359.5257569426112</v>
      </c>
      <c r="D21" s="378">
        <f>IF(LN_IA6=0,0,LN_IA2/LN_IA6)</f>
        <v>6975.6099012923942</v>
      </c>
      <c r="E21" s="378">
        <f t="shared" si="0"/>
        <v>-383.91585565021705</v>
      </c>
      <c r="F21" s="362">
        <f t="shared" si="1"/>
        <v>-5.2165841703597532E-2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38032</v>
      </c>
      <c r="D22" s="369">
        <v>40206</v>
      </c>
      <c r="E22" s="369">
        <f t="shared" si="0"/>
        <v>2174</v>
      </c>
      <c r="F22" s="362">
        <f t="shared" si="1"/>
        <v>5.7162389566680689E-2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1914.6799537231805</v>
      </c>
      <c r="D23" s="378">
        <f>IF(LN_IA8=0,0,LN_IA2/LN_IA8)</f>
        <v>1719.5242749838333</v>
      </c>
      <c r="E23" s="378">
        <f t="shared" si="0"/>
        <v>-195.1556787393472</v>
      </c>
      <c r="F23" s="362">
        <f t="shared" si="1"/>
        <v>-0.10192600510589683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5.5691902181871429</v>
      </c>
      <c r="D24" s="379">
        <f>IF(LN_IA4=0,0,LN_IA8/LN_IA4)</f>
        <v>5.8294910830796001</v>
      </c>
      <c r="E24" s="379">
        <f t="shared" si="0"/>
        <v>0.26030086489245718</v>
      </c>
      <c r="F24" s="362">
        <f t="shared" si="1"/>
        <v>4.6739445896891829E-2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99547736</v>
      </c>
      <c r="D27" s="361">
        <v>107726275</v>
      </c>
      <c r="E27" s="361">
        <f t="shared" ref="E27:E32" si="2">D27-C27</f>
        <v>8178539</v>
      </c>
      <c r="F27" s="362">
        <f t="shared" ref="F27:F32" si="3">IF(C27=0,0,E27/C27)</f>
        <v>8.2156956337008008E-2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25622136</v>
      </c>
      <c r="D28" s="361">
        <v>30826121</v>
      </c>
      <c r="E28" s="361">
        <f t="shared" si="2"/>
        <v>5203985</v>
      </c>
      <c r="F28" s="362">
        <f t="shared" si="3"/>
        <v>0.20310504167177942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0.2573854216031593</v>
      </c>
      <c r="D29" s="366">
        <f>IF(LN_IA11=0,0,LN_IA12/LN_IA11)</f>
        <v>0.28615229664257863</v>
      </c>
      <c r="E29" s="367">
        <f t="shared" si="2"/>
        <v>2.8766875039419326E-2</v>
      </c>
      <c r="F29" s="362">
        <f t="shared" si="3"/>
        <v>0.11176575137877283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0.69027951519793951</v>
      </c>
      <c r="D30" s="366">
        <f>IF(LN_IA1=0,0,LN_IA11/LN_IA1)</f>
        <v>0.69126385909079791</v>
      </c>
      <c r="E30" s="367">
        <f t="shared" si="2"/>
        <v>9.8434389285839696E-4</v>
      </c>
      <c r="F30" s="362">
        <f t="shared" si="3"/>
        <v>1.4260076841134909E-3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4713.9188092867289</v>
      </c>
      <c r="D31" s="376">
        <f>LN_IA14*LN_IA4</f>
        <v>4767.6468361492334</v>
      </c>
      <c r="E31" s="376">
        <f t="shared" si="2"/>
        <v>53.728026862504521</v>
      </c>
      <c r="F31" s="362">
        <f t="shared" si="3"/>
        <v>1.1397741250158315E-2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5435.4215752555419</v>
      </c>
      <c r="D32" s="378">
        <f>IF(LN_IA15=0,0,LN_IA12/LN_IA15)</f>
        <v>6465.6888522594218</v>
      </c>
      <c r="E32" s="378">
        <f t="shared" si="2"/>
        <v>1030.2672770038798</v>
      </c>
      <c r="F32" s="362">
        <f t="shared" si="3"/>
        <v>0.18954689396938684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243761397</v>
      </c>
      <c r="D35" s="361">
        <f>LN_IA1+LN_IA11</f>
        <v>263565863</v>
      </c>
      <c r="E35" s="361">
        <f>D35-C35</f>
        <v>19804466</v>
      </c>
      <c r="F35" s="362">
        <f>IF(C35=0,0,E35/C35)</f>
        <v>8.1245292502159394E-2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98441244</v>
      </c>
      <c r="D36" s="361">
        <f>LN_IA2+LN_IA12</f>
        <v>99961314</v>
      </c>
      <c r="E36" s="361">
        <f>D36-C36</f>
        <v>1520070</v>
      </c>
      <c r="F36" s="362">
        <f>IF(C36=0,0,E36/C36)</f>
        <v>1.5441393650003042E-2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145320153</v>
      </c>
      <c r="D37" s="361">
        <f>LN_IA17-LN_IA18</f>
        <v>163604549</v>
      </c>
      <c r="E37" s="361">
        <f>D37-C37</f>
        <v>18284396</v>
      </c>
      <c r="F37" s="362">
        <f>IF(C37=0,0,E37/C37)</f>
        <v>0.12582147501592569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77344295</v>
      </c>
      <c r="D42" s="361">
        <v>72224395</v>
      </c>
      <c r="E42" s="361">
        <f t="shared" ref="E42:E53" si="4">D42-C42</f>
        <v>-5119900</v>
      </c>
      <c r="F42" s="362">
        <f t="shared" ref="F42:F53" si="5">IF(C42=0,0,E42/C42)</f>
        <v>-6.619622041935995E-2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52622447</v>
      </c>
      <c r="D43" s="361">
        <v>52196374</v>
      </c>
      <c r="E43" s="361">
        <f t="shared" si="4"/>
        <v>-426073</v>
      </c>
      <c r="F43" s="362">
        <f t="shared" si="5"/>
        <v>-8.096791850063529E-3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0.68036623774255101</v>
      </c>
      <c r="D44" s="366">
        <f>IF(LN_IB1=0,0,LN_IB2/LN_IB1)</f>
        <v>0.72269728254559973</v>
      </c>
      <c r="E44" s="367">
        <f t="shared" si="4"/>
        <v>4.2331044803048723E-2</v>
      </c>
      <c r="F44" s="362">
        <f t="shared" si="5"/>
        <v>6.221802678437241E-2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4669</v>
      </c>
      <c r="D45" s="369">
        <v>4292</v>
      </c>
      <c r="E45" s="369">
        <f t="shared" si="4"/>
        <v>-377</v>
      </c>
      <c r="F45" s="362">
        <f t="shared" si="5"/>
        <v>-8.0745341614906832E-2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1.0587</v>
      </c>
      <c r="D46" s="372">
        <v>1.1148</v>
      </c>
      <c r="E46" s="373">
        <f t="shared" si="4"/>
        <v>5.6100000000000039E-2</v>
      </c>
      <c r="F46" s="362">
        <f t="shared" si="5"/>
        <v>5.2989515443468443E-2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4943.0703000000003</v>
      </c>
      <c r="D47" s="376">
        <f>LN_IB4*LN_IB5</f>
        <v>4784.7215999999999</v>
      </c>
      <c r="E47" s="376">
        <f t="shared" si="4"/>
        <v>-158.34870000000046</v>
      </c>
      <c r="F47" s="362">
        <f t="shared" si="5"/>
        <v>-3.2034482697929759E-2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10645.700709536743</v>
      </c>
      <c r="D48" s="378">
        <f>IF(LN_IB6=0,0,LN_IB2/LN_IB6)</f>
        <v>10908.967827929633</v>
      </c>
      <c r="E48" s="378">
        <f t="shared" si="4"/>
        <v>263.26711839289055</v>
      </c>
      <c r="F48" s="362">
        <f t="shared" si="5"/>
        <v>2.4729900414826415E-2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-3286.1749525941314</v>
      </c>
      <c r="D49" s="378">
        <f>LN_IA7-LN_IB7</f>
        <v>-3933.357926637239</v>
      </c>
      <c r="E49" s="378">
        <f t="shared" si="4"/>
        <v>-647.18297404310761</v>
      </c>
      <c r="F49" s="362">
        <f t="shared" si="5"/>
        <v>0.19694111950193535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-16243793.80877196</v>
      </c>
      <c r="D50" s="391">
        <f>LN_IB8*LN_IB6</f>
        <v>-18820022.632112414</v>
      </c>
      <c r="E50" s="391">
        <f t="shared" si="4"/>
        <v>-2576228.8233404532</v>
      </c>
      <c r="F50" s="362">
        <f t="shared" si="5"/>
        <v>0.15859772991880999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17445</v>
      </c>
      <c r="D51" s="369">
        <v>16534</v>
      </c>
      <c r="E51" s="369">
        <f t="shared" si="4"/>
        <v>-911</v>
      </c>
      <c r="F51" s="362">
        <f t="shared" si="5"/>
        <v>-5.2221266838635712E-2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3016.4773287474923</v>
      </c>
      <c r="D52" s="378">
        <f>IF(LN_IB10=0,0,LN_IB2/LN_IB10)</f>
        <v>3156.9114551832586</v>
      </c>
      <c r="E52" s="378">
        <f t="shared" si="4"/>
        <v>140.4341264357663</v>
      </c>
      <c r="F52" s="362">
        <f t="shared" si="5"/>
        <v>4.6555671112594649E-2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3.7363461126579569</v>
      </c>
      <c r="D53" s="379">
        <f>IF(LN_IB4=0,0,LN_IB10/LN_IB4)</f>
        <v>3.8522833178005591</v>
      </c>
      <c r="E53" s="379">
        <f t="shared" si="4"/>
        <v>0.1159372051426022</v>
      </c>
      <c r="F53" s="362">
        <f t="shared" si="5"/>
        <v>3.1029567830943516E-2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173829536</v>
      </c>
      <c r="D56" s="361">
        <v>180011782</v>
      </c>
      <c r="E56" s="361">
        <f t="shared" ref="E56:E63" si="6">D56-C56</f>
        <v>6182246</v>
      </c>
      <c r="F56" s="362">
        <f t="shared" ref="F56:F63" si="7">IF(C56=0,0,E56/C56)</f>
        <v>3.5564991670920643E-2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98502882</v>
      </c>
      <c r="D57" s="361">
        <v>99098435</v>
      </c>
      <c r="E57" s="361">
        <f t="shared" si="6"/>
        <v>595553</v>
      </c>
      <c r="F57" s="362">
        <f t="shared" si="7"/>
        <v>6.0460464496866189E-3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0.56666366525881995</v>
      </c>
      <c r="D58" s="366">
        <f>IF(LN_IB13=0,0,LN_IB14/LN_IB13)</f>
        <v>0.55051082711908272</v>
      </c>
      <c r="E58" s="367">
        <f t="shared" si="6"/>
        <v>-1.6152838139737224E-2</v>
      </c>
      <c r="F58" s="362">
        <f t="shared" si="7"/>
        <v>-2.8505159462376188E-2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2.2474771539387617</v>
      </c>
      <c r="D59" s="366">
        <f>IF(LN_IB1=0,0,LN_IB13/LN_IB1)</f>
        <v>2.4923958449219268</v>
      </c>
      <c r="E59" s="367">
        <f t="shared" si="6"/>
        <v>0.2449186909831651</v>
      </c>
      <c r="F59" s="362">
        <f t="shared" si="7"/>
        <v>0.1089749413265175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10493.470831740078</v>
      </c>
      <c r="D60" s="376">
        <f>LN_IB16*LN_IB4</f>
        <v>10697.362966404909</v>
      </c>
      <c r="E60" s="376">
        <f t="shared" si="6"/>
        <v>203.89213466483125</v>
      </c>
      <c r="F60" s="362">
        <f t="shared" si="7"/>
        <v>1.9430380846736567E-2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9387.0639733474891</v>
      </c>
      <c r="D61" s="378">
        <f>IF(LN_IB17=0,0,LN_IB14/LN_IB17)</f>
        <v>9263.8190656163424</v>
      </c>
      <c r="E61" s="378">
        <f t="shared" si="6"/>
        <v>-123.24490773114667</v>
      </c>
      <c r="F61" s="362">
        <f t="shared" si="7"/>
        <v>-1.3129228487317608E-2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-3951.6423980919471</v>
      </c>
      <c r="D62" s="378">
        <f>LN_IA16-LN_IB18</f>
        <v>-2798.1302133569206</v>
      </c>
      <c r="E62" s="378">
        <f t="shared" si="6"/>
        <v>1153.5121847350265</v>
      </c>
      <c r="F62" s="362">
        <f t="shared" si="7"/>
        <v>-0.29190702713686861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-41466444.241845265</v>
      </c>
      <c r="D63" s="361">
        <f>LN_IB19*LN_IB17</f>
        <v>-29932614.519542992</v>
      </c>
      <c r="E63" s="361">
        <f t="shared" si="6"/>
        <v>11533829.722302273</v>
      </c>
      <c r="F63" s="362">
        <f t="shared" si="7"/>
        <v>-0.2781485109992401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251173831</v>
      </c>
      <c r="D66" s="361">
        <f>LN_IB1+LN_IB13</f>
        <v>252236177</v>
      </c>
      <c r="E66" s="361">
        <f>D66-C66</f>
        <v>1062346</v>
      </c>
      <c r="F66" s="362">
        <f>IF(C66=0,0,E66/C66)</f>
        <v>4.2295250097132931E-3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151125329</v>
      </c>
      <c r="D67" s="361">
        <f>LN_IB2+LN_IB14</f>
        <v>151294809</v>
      </c>
      <c r="E67" s="361">
        <f>D67-C67</f>
        <v>169480</v>
      </c>
      <c r="F67" s="362">
        <f>IF(C67=0,0,E67/C67)</f>
        <v>1.1214533071421801E-3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100048502</v>
      </c>
      <c r="D68" s="361">
        <f>LN_IB21-LN_IB22</f>
        <v>100941368</v>
      </c>
      <c r="E68" s="361">
        <f>D68-C68</f>
        <v>892866</v>
      </c>
      <c r="F68" s="362">
        <f>IF(C68=0,0,E68/C68)</f>
        <v>8.9243315207258173E-3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-57710238.050617225</v>
      </c>
      <c r="D70" s="353">
        <f>LN_IB9+LN_IB20</f>
        <v>-48752637.151655406</v>
      </c>
      <c r="E70" s="361">
        <f>D70-C70</f>
        <v>8957600.8989618197</v>
      </c>
      <c r="F70" s="362">
        <f>IF(C70=0,0,E70/C70)</f>
        <v>-0.15521684195974333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224291485</v>
      </c>
      <c r="D73" s="400">
        <v>240219404</v>
      </c>
      <c r="E73" s="400">
        <f>D73-C73</f>
        <v>15927919</v>
      </c>
      <c r="F73" s="401">
        <f>IF(C73=0,0,E73/C73)</f>
        <v>7.101437221301557E-2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149127437</v>
      </c>
      <c r="D74" s="400">
        <v>151294809</v>
      </c>
      <c r="E74" s="400">
        <f>D74-C74</f>
        <v>2167372</v>
      </c>
      <c r="F74" s="401">
        <f>IF(C74=0,0,E74/C74)</f>
        <v>1.4533690403329335E-2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75164048</v>
      </c>
      <c r="D76" s="353">
        <f>LN_IB32-LN_IB33</f>
        <v>88924595</v>
      </c>
      <c r="E76" s="400">
        <f>D76-C76</f>
        <v>13760547</v>
      </c>
      <c r="F76" s="401">
        <f>IF(C76=0,0,E76/C76)</f>
        <v>0.18307352206469774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0.33511770631863264</v>
      </c>
      <c r="D77" s="366">
        <f>IF(LN_IB1=0,0,LN_IB34/LN_IB32)</f>
        <v>0.37018073277710739</v>
      </c>
      <c r="E77" s="405">
        <f>D77-C77</f>
        <v>3.5063026458474755E-2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2364381</v>
      </c>
      <c r="D83" s="361">
        <v>1105922</v>
      </c>
      <c r="E83" s="361">
        <f t="shared" ref="E83:E95" si="8">D83-C83</f>
        <v>-1258459</v>
      </c>
      <c r="F83" s="362">
        <f t="shared" ref="F83:F95" si="9">IF(C83=0,0,E83/C83)</f>
        <v>-0.53225728002382022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0</v>
      </c>
      <c r="D84" s="361">
        <v>0</v>
      </c>
      <c r="E84" s="361">
        <f t="shared" si="8"/>
        <v>0</v>
      </c>
      <c r="F84" s="362">
        <f t="shared" si="9"/>
        <v>0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0</v>
      </c>
      <c r="D85" s="366">
        <f>IF(LN_IC1=0,0,LN_IC2/LN_IC1)</f>
        <v>0</v>
      </c>
      <c r="E85" s="367">
        <f t="shared" si="8"/>
        <v>0</v>
      </c>
      <c r="F85" s="362">
        <f t="shared" si="9"/>
        <v>0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168</v>
      </c>
      <c r="D86" s="369">
        <v>89</v>
      </c>
      <c r="E86" s="369">
        <f t="shared" si="8"/>
        <v>-79</v>
      </c>
      <c r="F86" s="362">
        <f t="shared" si="9"/>
        <v>-0.47023809523809523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0.91869999999999996</v>
      </c>
      <c r="D87" s="372">
        <v>0.89100000000000001</v>
      </c>
      <c r="E87" s="373">
        <f t="shared" si="8"/>
        <v>-2.7699999999999947E-2</v>
      </c>
      <c r="F87" s="362">
        <f t="shared" si="9"/>
        <v>-3.0151300751061226E-2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154.3416</v>
      </c>
      <c r="D88" s="376">
        <f>LN_IC4*LN_IC5</f>
        <v>79.299000000000007</v>
      </c>
      <c r="E88" s="376">
        <f t="shared" si="8"/>
        <v>-75.042599999999993</v>
      </c>
      <c r="F88" s="362">
        <f t="shared" si="9"/>
        <v>-0.48621110575502646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0</v>
      </c>
      <c r="D89" s="378">
        <f>IF(LN_IC6=0,0,LN_IC2/LN_IC6)</f>
        <v>0</v>
      </c>
      <c r="E89" s="378">
        <f t="shared" si="8"/>
        <v>0</v>
      </c>
      <c r="F89" s="362">
        <f t="shared" si="9"/>
        <v>0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10645.700709536743</v>
      </c>
      <c r="D90" s="378">
        <f>LN_IB7-LN_IC7</f>
        <v>10908.967827929633</v>
      </c>
      <c r="E90" s="378">
        <f t="shared" si="8"/>
        <v>263.26711839289055</v>
      </c>
      <c r="F90" s="362">
        <f t="shared" si="9"/>
        <v>2.4729900414826415E-2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7359.5257569426112</v>
      </c>
      <c r="D91" s="378">
        <f>LN_IA7-LN_IC7</f>
        <v>6975.6099012923942</v>
      </c>
      <c r="E91" s="378">
        <f t="shared" si="8"/>
        <v>-383.91585565021705</v>
      </c>
      <c r="F91" s="362">
        <f t="shared" si="9"/>
        <v>-5.2165841703597532E-2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1135880.9805677338</v>
      </c>
      <c r="D92" s="353">
        <f>LN_IC9*LN_IC6</f>
        <v>553158.88956258562</v>
      </c>
      <c r="E92" s="353">
        <f t="shared" si="8"/>
        <v>-582722.09100514813</v>
      </c>
      <c r="F92" s="362">
        <f t="shared" si="9"/>
        <v>-0.51301333588127618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636</v>
      </c>
      <c r="D93" s="369">
        <v>334</v>
      </c>
      <c r="E93" s="369">
        <f t="shared" si="8"/>
        <v>-302</v>
      </c>
      <c r="F93" s="362">
        <f t="shared" si="9"/>
        <v>-0.47484276729559749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0</v>
      </c>
      <c r="D94" s="411">
        <f>IF(LN_IC11=0,0,LN_IC2/LN_IC11)</f>
        <v>0</v>
      </c>
      <c r="E94" s="411">
        <f t="shared" si="8"/>
        <v>0</v>
      </c>
      <c r="F94" s="362">
        <f t="shared" si="9"/>
        <v>0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3.7857142857142856</v>
      </c>
      <c r="D95" s="379">
        <f>IF(LN_IC4=0,0,LN_IC11/LN_IC4)</f>
        <v>3.7528089887640448</v>
      </c>
      <c r="E95" s="379">
        <f t="shared" si="8"/>
        <v>-3.2905296950240803E-2</v>
      </c>
      <c r="F95" s="362">
        <f t="shared" si="9"/>
        <v>-8.6919652321390799E-3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10076058</v>
      </c>
      <c r="D98" s="361">
        <v>10910851</v>
      </c>
      <c r="E98" s="361">
        <f t="shared" ref="E98:E106" si="10">D98-C98</f>
        <v>834793</v>
      </c>
      <c r="F98" s="362">
        <f t="shared" ref="F98:F106" si="11">IF(C98=0,0,E98/C98)</f>
        <v>8.2849165814646963E-2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0</v>
      </c>
      <c r="D99" s="361">
        <v>0</v>
      </c>
      <c r="E99" s="361">
        <f t="shared" si="10"/>
        <v>0</v>
      </c>
      <c r="F99" s="362">
        <f t="shared" si="11"/>
        <v>0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0</v>
      </c>
      <c r="D100" s="366">
        <f>IF(LN_IC14=0,0,LN_IC15/LN_IC14)</f>
        <v>0</v>
      </c>
      <c r="E100" s="367">
        <f t="shared" si="10"/>
        <v>0</v>
      </c>
      <c r="F100" s="362">
        <f t="shared" si="11"/>
        <v>0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4.2616050458872747</v>
      </c>
      <c r="D101" s="366">
        <f>IF(LN_IC1=0,0,LN_IC14/LN_IC1)</f>
        <v>9.8658413522834341</v>
      </c>
      <c r="E101" s="367">
        <f t="shared" si="10"/>
        <v>5.6042363063961593</v>
      </c>
      <c r="F101" s="362">
        <f t="shared" si="11"/>
        <v>1.315052954474186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715.94964770906211</v>
      </c>
      <c r="D102" s="376">
        <f>LN_IC17*LN_IC4</f>
        <v>878.05988035322559</v>
      </c>
      <c r="E102" s="376">
        <f t="shared" si="10"/>
        <v>162.11023264416349</v>
      </c>
      <c r="F102" s="362">
        <f t="shared" si="11"/>
        <v>0.22642686278691995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0</v>
      </c>
      <c r="D103" s="378">
        <f>IF(LN_IC18=0,0,LN_IC15/LN_IC18)</f>
        <v>0</v>
      </c>
      <c r="E103" s="378">
        <f t="shared" si="10"/>
        <v>0</v>
      </c>
      <c r="F103" s="362">
        <f t="shared" si="11"/>
        <v>0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9387.0639733474891</v>
      </c>
      <c r="D104" s="378">
        <f>LN_IB18-LN_IC19</f>
        <v>9263.8190656163424</v>
      </c>
      <c r="E104" s="378">
        <f t="shared" si="10"/>
        <v>-123.24490773114667</v>
      </c>
      <c r="F104" s="362">
        <f t="shared" si="11"/>
        <v>-1.3129228487317608E-2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5435.4215752555419</v>
      </c>
      <c r="D105" s="378">
        <f>LN_IA16-LN_IC19</f>
        <v>6465.6888522594218</v>
      </c>
      <c r="E105" s="378">
        <f t="shared" si="10"/>
        <v>1030.2672770038798</v>
      </c>
      <c r="F105" s="362">
        <f t="shared" si="11"/>
        <v>0.18954689396938684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3891488.1619544406</v>
      </c>
      <c r="D106" s="361">
        <f>LN_IC21*LN_IC18</f>
        <v>5677261.9800160928</v>
      </c>
      <c r="E106" s="361">
        <f t="shared" si="10"/>
        <v>1785773.8180616521</v>
      </c>
      <c r="F106" s="362">
        <f t="shared" si="11"/>
        <v>0.45889226530880012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12440439</v>
      </c>
      <c r="D109" s="361">
        <f>LN_IC1+LN_IC14</f>
        <v>12016773</v>
      </c>
      <c r="E109" s="361">
        <f>D109-C109</f>
        <v>-423666</v>
      </c>
      <c r="F109" s="362">
        <f>IF(C109=0,0,E109/C109)</f>
        <v>-3.4055550612000107E-2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0</v>
      </c>
      <c r="D110" s="361">
        <f>LN_IC2+LN_IC15</f>
        <v>0</v>
      </c>
      <c r="E110" s="361">
        <f>D110-C110</f>
        <v>0</v>
      </c>
      <c r="F110" s="362">
        <f>IF(C110=0,0,E110/C110)</f>
        <v>0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12440439</v>
      </c>
      <c r="D111" s="361">
        <f>LN_IC23-LN_IC24</f>
        <v>12016773</v>
      </c>
      <c r="E111" s="361">
        <f>D111-C111</f>
        <v>-423666</v>
      </c>
      <c r="F111" s="362">
        <f>IF(C111=0,0,E111/C111)</f>
        <v>-3.4055550612000107E-2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5027369.1425221749</v>
      </c>
      <c r="D113" s="361">
        <f>LN_IC10+LN_IC22</f>
        <v>6230420.8695786782</v>
      </c>
      <c r="E113" s="361">
        <f>D113-C113</f>
        <v>1203051.7270565033</v>
      </c>
      <c r="F113" s="362">
        <f>IF(C113=0,0,E113/C113)</f>
        <v>0.23930045575546213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37153931</v>
      </c>
      <c r="D118" s="361">
        <v>48004808</v>
      </c>
      <c r="E118" s="361">
        <f t="shared" ref="E118:E130" si="12">D118-C118</f>
        <v>10850877</v>
      </c>
      <c r="F118" s="362">
        <f t="shared" ref="F118:F130" si="13">IF(C118=0,0,E118/C118)</f>
        <v>0.29205192311952133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12364928</v>
      </c>
      <c r="D119" s="361">
        <v>18472111</v>
      </c>
      <c r="E119" s="361">
        <f t="shared" si="12"/>
        <v>6107183</v>
      </c>
      <c r="F119" s="362">
        <f t="shared" si="13"/>
        <v>0.49391173163321289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0.33280268513175632</v>
      </c>
      <c r="D120" s="366">
        <f>IF(LN_ID1=0,0,LN_1D2/LN_ID1)</f>
        <v>0.384797101990284</v>
      </c>
      <c r="E120" s="367">
        <f t="shared" si="12"/>
        <v>5.1994416858527681E-2</v>
      </c>
      <c r="F120" s="362">
        <f t="shared" si="13"/>
        <v>0.15623196320649615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2568</v>
      </c>
      <c r="D121" s="369">
        <v>3192</v>
      </c>
      <c r="E121" s="369">
        <f t="shared" si="12"/>
        <v>624</v>
      </c>
      <c r="F121" s="362">
        <f t="shared" si="13"/>
        <v>0.24299065420560748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0.8931</v>
      </c>
      <c r="D122" s="372">
        <v>0.95279999999999998</v>
      </c>
      <c r="E122" s="373">
        <f t="shared" si="12"/>
        <v>5.9699999999999975E-2</v>
      </c>
      <c r="F122" s="362">
        <f t="shared" si="13"/>
        <v>6.6845817937520965E-2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2293.4807999999998</v>
      </c>
      <c r="D123" s="376">
        <f>LN_ID4*LN_ID5</f>
        <v>3041.3375999999998</v>
      </c>
      <c r="E123" s="376">
        <f t="shared" si="12"/>
        <v>747.85680000000002</v>
      </c>
      <c r="F123" s="362">
        <f t="shared" si="13"/>
        <v>0.32607938117467566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5391.3370454202195</v>
      </c>
      <c r="D124" s="378">
        <f>IF(LN_ID6=0,0,LN_1D2/LN_ID6)</f>
        <v>6073.6798834828469</v>
      </c>
      <c r="E124" s="378">
        <f t="shared" si="12"/>
        <v>682.34283806262738</v>
      </c>
      <c r="F124" s="362">
        <f t="shared" si="13"/>
        <v>0.12656282334309951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5254.3636641165231</v>
      </c>
      <c r="D125" s="378">
        <f>LN_IB7-LN_ID7</f>
        <v>4835.2879444467862</v>
      </c>
      <c r="E125" s="378">
        <f t="shared" si="12"/>
        <v>-419.07571966973683</v>
      </c>
      <c r="F125" s="362">
        <f t="shared" si="13"/>
        <v>-7.9757654105999318E-2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1968.1887115223917</v>
      </c>
      <c r="D126" s="378">
        <f>LN_IA7-LN_ID7</f>
        <v>901.93001780954728</v>
      </c>
      <c r="E126" s="378">
        <f t="shared" si="12"/>
        <v>-1066.2586937128444</v>
      </c>
      <c r="F126" s="362">
        <f t="shared" si="13"/>
        <v>-0.54174616868323289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4514003.0206533438</v>
      </c>
      <c r="D127" s="391">
        <f>LN_ID9*LN_ID6</f>
        <v>2743073.6757328454</v>
      </c>
      <c r="E127" s="391">
        <f t="shared" si="12"/>
        <v>-1770929.3449204983</v>
      </c>
      <c r="F127" s="362">
        <f t="shared" si="13"/>
        <v>-0.3923190429465373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11334</v>
      </c>
      <c r="D128" s="369">
        <v>14089</v>
      </c>
      <c r="E128" s="369">
        <f t="shared" si="12"/>
        <v>2755</v>
      </c>
      <c r="F128" s="362">
        <f t="shared" si="13"/>
        <v>0.24307393682724546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1090.958884771484</v>
      </c>
      <c r="D129" s="378">
        <f>IF(LN_ID11=0,0,LN_1D2/LN_ID11)</f>
        <v>1311.101639576975</v>
      </c>
      <c r="E129" s="378">
        <f t="shared" si="12"/>
        <v>220.14275480549099</v>
      </c>
      <c r="F129" s="362">
        <f t="shared" si="13"/>
        <v>0.20178831473708825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4.4135514018691593</v>
      </c>
      <c r="D130" s="379">
        <f>IF(LN_ID4=0,0,LN_ID11/LN_ID4)</f>
        <v>4.4138471177944858</v>
      </c>
      <c r="E130" s="379">
        <f t="shared" si="12"/>
        <v>2.9571592532651181E-4</v>
      </c>
      <c r="F130" s="362">
        <f t="shared" si="13"/>
        <v>6.7001808385255184E-5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42216120</v>
      </c>
      <c r="D133" s="361">
        <v>60194068</v>
      </c>
      <c r="E133" s="361">
        <f t="shared" ref="E133:E141" si="14">D133-C133</f>
        <v>17977948</v>
      </c>
      <c r="F133" s="362">
        <f t="shared" ref="F133:F141" si="15">IF(C133=0,0,E133/C133)</f>
        <v>0.42585505252495964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13648016</v>
      </c>
      <c r="D134" s="361">
        <v>19528993</v>
      </c>
      <c r="E134" s="361">
        <f t="shared" si="14"/>
        <v>5880977</v>
      </c>
      <c r="F134" s="362">
        <f t="shared" si="15"/>
        <v>0.43090343680722532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0.32328920800869432</v>
      </c>
      <c r="D135" s="366">
        <f>IF(LN_ID14=0,0,LN_ID15/LN_ID14)</f>
        <v>0.32443384620557625</v>
      </c>
      <c r="E135" s="367">
        <f t="shared" si="14"/>
        <v>1.1446381968819308E-3</v>
      </c>
      <c r="F135" s="362">
        <f t="shared" si="15"/>
        <v>3.5406013208184408E-3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1.1362490822303568</v>
      </c>
      <c r="D136" s="366">
        <f>IF(LN_ID1=0,0,LN_ID14/LN_ID1)</f>
        <v>1.2539174825988264</v>
      </c>
      <c r="E136" s="367">
        <f t="shared" si="14"/>
        <v>0.11766840036846959</v>
      </c>
      <c r="F136" s="362">
        <f t="shared" si="15"/>
        <v>0.10355863182524812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2917.8876431675562</v>
      </c>
      <c r="D137" s="376">
        <f>LN_ID17*LN_ID4</f>
        <v>4002.5046044554538</v>
      </c>
      <c r="E137" s="376">
        <f t="shared" si="14"/>
        <v>1084.6169612878975</v>
      </c>
      <c r="F137" s="362">
        <f t="shared" si="15"/>
        <v>0.37171306572671026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4677.3617318534561</v>
      </c>
      <c r="D138" s="378">
        <f>IF(LN_ID18=0,0,LN_ID15/LN_ID18)</f>
        <v>4879.1931377820229</v>
      </c>
      <c r="E138" s="378">
        <f t="shared" si="14"/>
        <v>201.83140592856671</v>
      </c>
      <c r="F138" s="362">
        <f t="shared" si="15"/>
        <v>4.3150694237323567E-2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4709.7022414940329</v>
      </c>
      <c r="D139" s="378">
        <f>LN_IB18-LN_ID19</f>
        <v>4384.6259278343196</v>
      </c>
      <c r="E139" s="378">
        <f t="shared" si="14"/>
        <v>-325.07631365971338</v>
      </c>
      <c r="F139" s="362">
        <f t="shared" si="15"/>
        <v>-6.902268911942748E-2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758.05984340208579</v>
      </c>
      <c r="D140" s="378">
        <f>LN_IA16-LN_ID19</f>
        <v>1586.4957144773989</v>
      </c>
      <c r="E140" s="378">
        <f t="shared" si="14"/>
        <v>828.43587107531312</v>
      </c>
      <c r="F140" s="362">
        <f t="shared" si="15"/>
        <v>1.0928370342866176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2211933.4498444786</v>
      </c>
      <c r="D141" s="353">
        <f>LN_ID21*LN_ID18</f>
        <v>6349956.4021446342</v>
      </c>
      <c r="E141" s="353">
        <f t="shared" si="14"/>
        <v>4138022.9523001555</v>
      </c>
      <c r="F141" s="362">
        <f t="shared" si="15"/>
        <v>1.8707719043676927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79370051</v>
      </c>
      <c r="D144" s="361">
        <f>LN_ID1+LN_ID14</f>
        <v>108198876</v>
      </c>
      <c r="E144" s="361">
        <f>D144-C144</f>
        <v>28828825</v>
      </c>
      <c r="F144" s="362">
        <f>IF(C144=0,0,E144/C144)</f>
        <v>0.36322044192714453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26012944</v>
      </c>
      <c r="D145" s="361">
        <f>LN_1D2+LN_ID15</f>
        <v>38001104</v>
      </c>
      <c r="E145" s="361">
        <f>D145-C145</f>
        <v>11988160</v>
      </c>
      <c r="F145" s="362">
        <f>IF(C145=0,0,E145/C145)</f>
        <v>0.46085364270956797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53357107</v>
      </c>
      <c r="D146" s="361">
        <f>LN_ID23-LN_ID24</f>
        <v>70197772</v>
      </c>
      <c r="E146" s="361">
        <f>D146-C146</f>
        <v>16840665</v>
      </c>
      <c r="F146" s="362">
        <f>IF(C146=0,0,E146/C146)</f>
        <v>0.3156217783696556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6725936.4704978224</v>
      </c>
      <c r="D148" s="361">
        <f>LN_ID10+LN_ID22</f>
        <v>9093030.0778774805</v>
      </c>
      <c r="E148" s="361">
        <f>D148-C148</f>
        <v>2367093.6073796581</v>
      </c>
      <c r="F148" s="415">
        <f>IF(C148=0,0,E148/C148)</f>
        <v>0.35193517181771078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8150995</v>
      </c>
      <c r="D153" s="361">
        <v>977901</v>
      </c>
      <c r="E153" s="361">
        <f t="shared" ref="E153:E165" si="16">D153-C153</f>
        <v>-7173094</v>
      </c>
      <c r="F153" s="362">
        <f t="shared" ref="F153:F165" si="17">IF(C153=0,0,E153/C153)</f>
        <v>-0.88002679427480934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1754510</v>
      </c>
      <c r="D154" s="361">
        <v>131070</v>
      </c>
      <c r="E154" s="361">
        <f t="shared" si="16"/>
        <v>-1623440</v>
      </c>
      <c r="F154" s="362">
        <f t="shared" si="17"/>
        <v>-0.9252953816165197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0.21525102150105602</v>
      </c>
      <c r="D155" s="366">
        <f>IF(LN_IE1=0,0,LN_IE2/LN_IE1)</f>
        <v>0.13403197256163968</v>
      </c>
      <c r="E155" s="367">
        <f t="shared" si="16"/>
        <v>-8.1219048939416338E-2</v>
      </c>
      <c r="F155" s="362">
        <f t="shared" si="17"/>
        <v>-0.37732247853243234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444</v>
      </c>
      <c r="D156" s="419">
        <v>57</v>
      </c>
      <c r="E156" s="419">
        <f t="shared" si="16"/>
        <v>-387</v>
      </c>
      <c r="F156" s="362">
        <f t="shared" si="17"/>
        <v>-0.8716216216216216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1.1026</v>
      </c>
      <c r="D157" s="372">
        <v>0.85519999999999996</v>
      </c>
      <c r="E157" s="373">
        <f t="shared" si="16"/>
        <v>-0.24740000000000006</v>
      </c>
      <c r="F157" s="362">
        <f t="shared" si="17"/>
        <v>-0.22437874115726469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489.55439999999999</v>
      </c>
      <c r="D158" s="376">
        <f>LN_IE4*LN_IE5</f>
        <v>48.746399999999994</v>
      </c>
      <c r="E158" s="376">
        <f t="shared" si="16"/>
        <v>-440.80799999999999</v>
      </c>
      <c r="F158" s="362">
        <f t="shared" si="17"/>
        <v>-0.90042700055397318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3583.8918003801009</v>
      </c>
      <c r="D159" s="378">
        <f>IF(LN_IE6=0,0,LN_IE2/LN_IE6)</f>
        <v>2688.813943183497</v>
      </c>
      <c r="E159" s="378">
        <f t="shared" si="16"/>
        <v>-895.07785719660387</v>
      </c>
      <c r="F159" s="362">
        <f t="shared" si="17"/>
        <v>-0.24975024555754546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7061.8089091566417</v>
      </c>
      <c r="D160" s="378">
        <f>LN_IB7-LN_IE7</f>
        <v>8220.1538847461361</v>
      </c>
      <c r="E160" s="378">
        <f t="shared" si="16"/>
        <v>1158.3449755894944</v>
      </c>
      <c r="F160" s="362">
        <f t="shared" si="17"/>
        <v>0.16402949874323774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3775.6339565625103</v>
      </c>
      <c r="D161" s="378">
        <f>LN_IA7-LN_IE7</f>
        <v>4286.7959581088971</v>
      </c>
      <c r="E161" s="378">
        <f t="shared" si="16"/>
        <v>511.16200154638682</v>
      </c>
      <c r="F161" s="362">
        <f t="shared" si="17"/>
        <v>0.13538441687598587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1848378.2162245857</v>
      </c>
      <c r="D162" s="391">
        <f>LN_IE9*LN_IE6</f>
        <v>208965.87049235951</v>
      </c>
      <c r="E162" s="391">
        <f t="shared" si="16"/>
        <v>-1639412.345732226</v>
      </c>
      <c r="F162" s="362">
        <f t="shared" si="17"/>
        <v>-0.88694636808737992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2154</v>
      </c>
      <c r="D163" s="369">
        <v>307</v>
      </c>
      <c r="E163" s="419">
        <f t="shared" si="16"/>
        <v>-1847</v>
      </c>
      <c r="F163" s="362">
        <f t="shared" si="17"/>
        <v>-0.85747446610956357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814.53574744661091</v>
      </c>
      <c r="D164" s="378">
        <f>IF(LN_IE11=0,0,LN_IE2/LN_IE11)</f>
        <v>426.93811074918568</v>
      </c>
      <c r="E164" s="378">
        <f t="shared" si="16"/>
        <v>-387.59763669742523</v>
      </c>
      <c r="F164" s="362">
        <f t="shared" si="17"/>
        <v>-0.47585098371981577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4.8513513513513518</v>
      </c>
      <c r="D165" s="379">
        <f>IF(LN_IE4=0,0,LN_IE11/LN_IE4)</f>
        <v>5.3859649122807021</v>
      </c>
      <c r="E165" s="379">
        <f t="shared" si="16"/>
        <v>0.53461356092935031</v>
      </c>
      <c r="F165" s="362">
        <f t="shared" si="17"/>
        <v>0.1101988955676098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8777219</v>
      </c>
      <c r="D168" s="424">
        <v>923024</v>
      </c>
      <c r="E168" s="424">
        <f t="shared" ref="E168:E176" si="18">D168-C168</f>
        <v>-7854195</v>
      </c>
      <c r="F168" s="362">
        <f t="shared" ref="F168:F176" si="19">IF(C168=0,0,E168/C168)</f>
        <v>-0.89483867270487383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2038042</v>
      </c>
      <c r="D169" s="424">
        <v>454759</v>
      </c>
      <c r="E169" s="424">
        <f t="shared" si="18"/>
        <v>-1583283</v>
      </c>
      <c r="F169" s="362">
        <f t="shared" si="19"/>
        <v>-0.77686475548590261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0.2321967812356055</v>
      </c>
      <c r="D170" s="366">
        <f>IF(LN_IE14=0,0,LN_IE15/LN_IE14)</f>
        <v>0.49268383053961762</v>
      </c>
      <c r="E170" s="367">
        <f t="shared" si="18"/>
        <v>0.26048704930401212</v>
      </c>
      <c r="F170" s="362">
        <f t="shared" si="19"/>
        <v>1.1218374687102188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1.0768279210084168</v>
      </c>
      <c r="D171" s="366">
        <f>IF(LN_IE1=0,0,LN_IE14/LN_IE1)</f>
        <v>0.94388286748863126</v>
      </c>
      <c r="E171" s="367">
        <f t="shared" si="18"/>
        <v>-0.13294505351978558</v>
      </c>
      <c r="F171" s="362">
        <f t="shared" si="19"/>
        <v>-0.12345988706838745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478.11159692773708</v>
      </c>
      <c r="D172" s="376">
        <f>LN_IE17*LN_IE4</f>
        <v>53.801323446851981</v>
      </c>
      <c r="E172" s="376">
        <f t="shared" si="18"/>
        <v>-424.31027348088509</v>
      </c>
      <c r="F172" s="362">
        <f t="shared" si="19"/>
        <v>-0.8874712017182389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4262.6909974493556</v>
      </c>
      <c r="D173" s="378">
        <f>IF(LN_IE18=0,0,LN_IE15/LN_IE18)</f>
        <v>8452.5615889214496</v>
      </c>
      <c r="E173" s="378">
        <f t="shared" si="18"/>
        <v>4189.870591472094</v>
      </c>
      <c r="F173" s="362">
        <f t="shared" si="19"/>
        <v>0.98291679926580777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5124.3729758981335</v>
      </c>
      <c r="D174" s="378">
        <f>LN_IB18-LN_IE19</f>
        <v>811.25747669489283</v>
      </c>
      <c r="E174" s="378">
        <f t="shared" si="18"/>
        <v>-4313.1154992032407</v>
      </c>
      <c r="F174" s="362">
        <f t="shared" si="19"/>
        <v>-0.84168648915476219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1172.7305778061864</v>
      </c>
      <c r="D175" s="378">
        <f>LN_IA16-LN_IE19</f>
        <v>-1986.8727366620278</v>
      </c>
      <c r="E175" s="378">
        <f t="shared" si="18"/>
        <v>-3159.6033144682142</v>
      </c>
      <c r="F175" s="362">
        <f t="shared" si="19"/>
        <v>-2.6942277913302539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560696.08932090364</v>
      </c>
      <c r="D176" s="353">
        <f>LN_IE21*LN_IE18</f>
        <v>-106896.38275288572</v>
      </c>
      <c r="E176" s="353">
        <f t="shared" si="18"/>
        <v>-667592.47207378934</v>
      </c>
      <c r="F176" s="362">
        <f t="shared" si="19"/>
        <v>-1.1906494173739557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16928214</v>
      </c>
      <c r="D179" s="361">
        <f>LN_IE1+LN_IE14</f>
        <v>1900925</v>
      </c>
      <c r="E179" s="361">
        <f>D179-C179</f>
        <v>-15027289</v>
      </c>
      <c r="F179" s="362">
        <f>IF(C179=0,0,E179/C179)</f>
        <v>-0.88770670077776659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3792552</v>
      </c>
      <c r="D180" s="361">
        <f>LN_IE15+LN_IE2</f>
        <v>585829</v>
      </c>
      <c r="E180" s="361">
        <f>D180-C180</f>
        <v>-3206723</v>
      </c>
      <c r="F180" s="362">
        <f>IF(C180=0,0,E180/C180)</f>
        <v>-0.84553171584727116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13135662</v>
      </c>
      <c r="D181" s="361">
        <f>LN_IE23-LN_IE24</f>
        <v>1315096</v>
      </c>
      <c r="E181" s="361">
        <f>D181-C181</f>
        <v>-11820566</v>
      </c>
      <c r="F181" s="362">
        <f>IF(C181=0,0,E181/C181)</f>
        <v>-0.89988353841625945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2409074.3055454893</v>
      </c>
      <c r="D183" s="361">
        <f>LN_IE10+LN_IE22</f>
        <v>102069.48773947379</v>
      </c>
      <c r="E183" s="353">
        <f>D183-C183</f>
        <v>-2307004.8178060157</v>
      </c>
      <c r="F183" s="362">
        <f>IF(C183=0,0,E183/C183)</f>
        <v>-0.95763124138407929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45304926</v>
      </c>
      <c r="D188" s="361">
        <f>LN_ID1+LN_IE1</f>
        <v>48982709</v>
      </c>
      <c r="E188" s="361">
        <f t="shared" ref="E188:E200" si="20">D188-C188</f>
        <v>3677783</v>
      </c>
      <c r="F188" s="362">
        <f t="shared" ref="F188:F200" si="21">IF(C188=0,0,E188/C188)</f>
        <v>8.1178435210334521E-2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14119438</v>
      </c>
      <c r="D189" s="361">
        <f>LN_1D2+LN_IE2</f>
        <v>18603181</v>
      </c>
      <c r="E189" s="361">
        <f t="shared" si="20"/>
        <v>4483743</v>
      </c>
      <c r="F189" s="362">
        <f t="shared" si="21"/>
        <v>0.31755817759885346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0.31165348333203324</v>
      </c>
      <c r="D190" s="366">
        <f>IF(LN_IF1=0,0,LN_IF2/LN_IF1)</f>
        <v>0.37979077474053141</v>
      </c>
      <c r="E190" s="367">
        <f t="shared" si="20"/>
        <v>6.8137291408498168E-2</v>
      </c>
      <c r="F190" s="362">
        <f t="shared" si="21"/>
        <v>0.21863157337441089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3012</v>
      </c>
      <c r="D191" s="369">
        <f>LN_ID4+LN_IE4</f>
        <v>3249</v>
      </c>
      <c r="E191" s="369">
        <f t="shared" si="20"/>
        <v>237</v>
      </c>
      <c r="F191" s="362">
        <f t="shared" si="21"/>
        <v>7.8685258964143426E-2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0.92398247011952184</v>
      </c>
      <c r="D192" s="372">
        <f>IF((LN_ID4+LN_IE4)=0,0,(LN_ID6+LN_IE6)/(LN_ID4+LN_IE4))</f>
        <v>0.95108771929824554</v>
      </c>
      <c r="E192" s="373">
        <f t="shared" si="20"/>
        <v>2.71052491787237E-2</v>
      </c>
      <c r="F192" s="362">
        <f t="shared" si="21"/>
        <v>2.9335241798708042E-2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2783.0351999999998</v>
      </c>
      <c r="D193" s="376">
        <f>LN_IF4*LN_IF5</f>
        <v>3090.0839999999998</v>
      </c>
      <c r="E193" s="376">
        <f t="shared" si="20"/>
        <v>307.04880000000003</v>
      </c>
      <c r="F193" s="362">
        <f t="shared" si="21"/>
        <v>0.11032875186055859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5073.3954065690587</v>
      </c>
      <c r="D194" s="378">
        <f>IF(LN_IF6=0,0,LN_IF2/LN_IF6)</f>
        <v>6020.2832673804342</v>
      </c>
      <c r="E194" s="378">
        <f t="shared" si="20"/>
        <v>946.8878608113755</v>
      </c>
      <c r="F194" s="362">
        <f t="shared" si="21"/>
        <v>0.18663789926275806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5572.3053029676839</v>
      </c>
      <c r="D195" s="378">
        <f>LN_IB7-LN_IF7</f>
        <v>4888.684560549199</v>
      </c>
      <c r="E195" s="378">
        <f t="shared" si="20"/>
        <v>-683.62074241848495</v>
      </c>
      <c r="F195" s="362">
        <f t="shared" si="21"/>
        <v>-0.12268185342508135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2286.1303503735526</v>
      </c>
      <c r="D196" s="378">
        <f>LN_IA7-LN_IF7</f>
        <v>955.32663391196002</v>
      </c>
      <c r="E196" s="378">
        <f t="shared" si="20"/>
        <v>-1330.8037164615926</v>
      </c>
      <c r="F196" s="362">
        <f t="shared" si="21"/>
        <v>-0.58212066352390623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6362381.2368779294</v>
      </c>
      <c r="D197" s="391">
        <f>LN_IF9*LN_IF6</f>
        <v>2952039.5462252051</v>
      </c>
      <c r="E197" s="391">
        <f t="shared" si="20"/>
        <v>-3410341.6906527244</v>
      </c>
      <c r="F197" s="362">
        <f t="shared" si="21"/>
        <v>-0.53601655790218028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13488</v>
      </c>
      <c r="D198" s="369">
        <f>LN_ID11+LN_IE11</f>
        <v>14396</v>
      </c>
      <c r="E198" s="369">
        <f t="shared" si="20"/>
        <v>908</v>
      </c>
      <c r="F198" s="362">
        <f t="shared" si="21"/>
        <v>6.7319098457888499E-2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1046.8147983392646</v>
      </c>
      <c r="D199" s="432">
        <f>IF(LN_IF11=0,0,LN_IF2/LN_IF11)</f>
        <v>1292.2465268130036</v>
      </c>
      <c r="E199" s="432">
        <f t="shared" si="20"/>
        <v>245.43172847373899</v>
      </c>
      <c r="F199" s="362">
        <f t="shared" si="21"/>
        <v>0.23445573072057055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4.47808764940239</v>
      </c>
      <c r="D200" s="379">
        <f>IF(LN_IF4=0,0,LN_IF11/LN_IF4)</f>
        <v>4.4309018159433675</v>
      </c>
      <c r="E200" s="379">
        <f t="shared" si="20"/>
        <v>-4.7185833459022497E-2</v>
      </c>
      <c r="F200" s="362">
        <f t="shared" si="21"/>
        <v>-1.0537049998411608E-2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50993339</v>
      </c>
      <c r="D203" s="361">
        <f>LN_ID14+LN_IE14</f>
        <v>61117092</v>
      </c>
      <c r="E203" s="361">
        <f t="shared" ref="E203:E211" si="22">D203-C203</f>
        <v>10123753</v>
      </c>
      <c r="F203" s="362">
        <f t="shared" ref="F203:F211" si="23">IF(C203=0,0,E203/C203)</f>
        <v>0.19853089047571487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15686058</v>
      </c>
      <c r="D204" s="361">
        <f>LN_ID15+LN_IE15</f>
        <v>19983752</v>
      </c>
      <c r="E204" s="361">
        <f t="shared" si="22"/>
        <v>4297694</v>
      </c>
      <c r="F204" s="362">
        <f t="shared" si="23"/>
        <v>0.27398177413343749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0.30760994097680089</v>
      </c>
      <c r="D205" s="366">
        <f>IF(LN_IF14=0,0,LN_IF15/LN_IF14)</f>
        <v>0.32697485017775385</v>
      </c>
      <c r="E205" s="367">
        <f t="shared" si="22"/>
        <v>1.9364909200952962E-2</v>
      </c>
      <c r="F205" s="362">
        <f t="shared" si="23"/>
        <v>6.2952806854877988E-2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1.1255583774709179</v>
      </c>
      <c r="D206" s="366">
        <f>IF(LN_IF1=0,0,LN_IF14/LN_IF1)</f>
        <v>1.2477278869978383</v>
      </c>
      <c r="E206" s="367">
        <f t="shared" si="22"/>
        <v>0.12216950952692041</v>
      </c>
      <c r="F206" s="362">
        <f t="shared" si="23"/>
        <v>0.108541246702308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3395.9992400952933</v>
      </c>
      <c r="D207" s="376">
        <f>LN_ID18+LN_IE18</f>
        <v>4056.3059279023059</v>
      </c>
      <c r="E207" s="376">
        <f t="shared" si="22"/>
        <v>660.30668780701262</v>
      </c>
      <c r="F207" s="362">
        <f t="shared" si="23"/>
        <v>0.19443664180221787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4618.9815989357649</v>
      </c>
      <c r="D208" s="378">
        <f>IF(LN_IF18=0,0,LN_IF15/LN_IF18)</f>
        <v>4926.5889593131542</v>
      </c>
      <c r="E208" s="378">
        <f t="shared" si="22"/>
        <v>307.60736037738934</v>
      </c>
      <c r="F208" s="362">
        <f t="shared" si="23"/>
        <v>6.6596359779450845E-2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4768.0823744117242</v>
      </c>
      <c r="D209" s="378">
        <f>LN_IB18-LN_IF19</f>
        <v>4337.2301063031882</v>
      </c>
      <c r="E209" s="378">
        <f t="shared" si="22"/>
        <v>-430.85226810853601</v>
      </c>
      <c r="F209" s="362">
        <f t="shared" si="23"/>
        <v>-9.0361750128466187E-2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816.43997631977709</v>
      </c>
      <c r="D210" s="378">
        <f>LN_IA16-LN_IF19</f>
        <v>1539.0998929462676</v>
      </c>
      <c r="E210" s="378">
        <f t="shared" si="22"/>
        <v>722.65991662649049</v>
      </c>
      <c r="F210" s="362">
        <f t="shared" si="23"/>
        <v>0.88513538972452821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2772629.5391653823</v>
      </c>
      <c r="D211" s="353">
        <f>LN_IF21*LN_IF18</f>
        <v>6243060.01939175</v>
      </c>
      <c r="E211" s="353">
        <f t="shared" si="22"/>
        <v>3470430.4802263677</v>
      </c>
      <c r="F211" s="362">
        <f t="shared" si="23"/>
        <v>1.2516747842450808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96298265</v>
      </c>
      <c r="D214" s="361">
        <f>LN_IF1+LN_IF14</f>
        <v>110099801</v>
      </c>
      <c r="E214" s="361">
        <f>D214-C214</f>
        <v>13801536</v>
      </c>
      <c r="F214" s="362">
        <f>IF(C214=0,0,E214/C214)</f>
        <v>0.14332071299519258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29805496</v>
      </c>
      <c r="D215" s="361">
        <f>LN_IF2+LN_IF15</f>
        <v>38586933</v>
      </c>
      <c r="E215" s="361">
        <f>D215-C215</f>
        <v>8781437</v>
      </c>
      <c r="F215" s="362">
        <f>IF(C215=0,0,E215/C215)</f>
        <v>0.29462475645431296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66492769</v>
      </c>
      <c r="D216" s="361">
        <f>LN_IF23-LN_IF24</f>
        <v>71512868</v>
      </c>
      <c r="E216" s="361">
        <f>D216-C216</f>
        <v>5020099</v>
      </c>
      <c r="F216" s="362">
        <f>IF(C216=0,0,E216/C216)</f>
        <v>7.5498419986089013E-2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10787694</v>
      </c>
      <c r="D221" s="361">
        <v>12235130</v>
      </c>
      <c r="E221" s="361">
        <f t="shared" ref="E221:E230" si="24">D221-C221</f>
        <v>1447436</v>
      </c>
      <c r="F221" s="362">
        <f t="shared" ref="F221:F230" si="25">IF(C221=0,0,E221/C221)</f>
        <v>0.1341747365099529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4207315</v>
      </c>
      <c r="D222" s="361">
        <v>4790269</v>
      </c>
      <c r="E222" s="361">
        <f t="shared" si="24"/>
        <v>582954</v>
      </c>
      <c r="F222" s="362">
        <f t="shared" si="25"/>
        <v>0.13855725088328305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0.39001059911413877</v>
      </c>
      <c r="D223" s="366">
        <f>IF(LN_IG1=0,0,LN_IG2/LN_IG1)</f>
        <v>0.39151762179886934</v>
      </c>
      <c r="E223" s="367">
        <f t="shared" si="24"/>
        <v>1.5070226847305745E-3</v>
      </c>
      <c r="F223" s="362">
        <f t="shared" si="25"/>
        <v>3.8640557158025747E-3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954</v>
      </c>
      <c r="D224" s="369">
        <v>890</v>
      </c>
      <c r="E224" s="369">
        <f t="shared" si="24"/>
        <v>-64</v>
      </c>
      <c r="F224" s="362">
        <f t="shared" si="25"/>
        <v>-6.7085953878406712E-2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0.73019999999999996</v>
      </c>
      <c r="D225" s="372">
        <v>0.90339999999999998</v>
      </c>
      <c r="E225" s="373">
        <f t="shared" si="24"/>
        <v>0.17320000000000002</v>
      </c>
      <c r="F225" s="362">
        <f t="shared" si="25"/>
        <v>0.23719528896192829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696.61079999999993</v>
      </c>
      <c r="D226" s="376">
        <f>LN_IG3*LN_IG4</f>
        <v>804.02599999999995</v>
      </c>
      <c r="E226" s="376">
        <f t="shared" si="24"/>
        <v>107.41520000000003</v>
      </c>
      <c r="F226" s="362">
        <f t="shared" si="25"/>
        <v>0.15419686286804632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6039.6924652905191</v>
      </c>
      <c r="D227" s="378">
        <f>IF(LN_IG5=0,0,LN_IG2/LN_IG5)</f>
        <v>5957.8533530010227</v>
      </c>
      <c r="E227" s="378">
        <f t="shared" si="24"/>
        <v>-81.83911228949637</v>
      </c>
      <c r="F227" s="362">
        <f t="shared" si="25"/>
        <v>-1.3550211829462706E-2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2796</v>
      </c>
      <c r="D228" s="369">
        <v>2946</v>
      </c>
      <c r="E228" s="369">
        <f t="shared" si="24"/>
        <v>150</v>
      </c>
      <c r="F228" s="362">
        <f t="shared" si="25"/>
        <v>5.3648068669527899E-2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1504.7621602288984</v>
      </c>
      <c r="D229" s="378">
        <f>IF(LN_IG6=0,0,LN_IG2/LN_IG6)</f>
        <v>1626.0247793618466</v>
      </c>
      <c r="E229" s="378">
        <f t="shared" si="24"/>
        <v>121.2626191329482</v>
      </c>
      <c r="F229" s="362">
        <f t="shared" si="25"/>
        <v>8.0585904096965214E-2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2.9308176100628929</v>
      </c>
      <c r="D230" s="379">
        <f>IF(LN_IG3=0,0,LN_IG6/LN_IG3)</f>
        <v>3.3101123595505619</v>
      </c>
      <c r="E230" s="379">
        <f t="shared" si="24"/>
        <v>0.37929474948766906</v>
      </c>
      <c r="F230" s="362">
        <f t="shared" si="25"/>
        <v>0.12941601967497721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22929961</v>
      </c>
      <c r="D233" s="361">
        <v>23023949</v>
      </c>
      <c r="E233" s="361">
        <f>D233-C233</f>
        <v>93988</v>
      </c>
      <c r="F233" s="362">
        <f>IF(C233=0,0,E233/C233)</f>
        <v>4.0989166968055466E-3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8822254</v>
      </c>
      <c r="D234" s="361">
        <v>8387614</v>
      </c>
      <c r="E234" s="361">
        <f>D234-C234</f>
        <v>-434640</v>
      </c>
      <c r="F234" s="362">
        <f>IF(C234=0,0,E234/C234)</f>
        <v>-4.9266321282520315E-2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33717655</v>
      </c>
      <c r="D237" s="361">
        <f>LN_IG1+LN_IG9</f>
        <v>35259079</v>
      </c>
      <c r="E237" s="361">
        <f>D237-C237</f>
        <v>1541424</v>
      </c>
      <c r="F237" s="362">
        <f>IF(C237=0,0,E237/C237)</f>
        <v>4.571563473201206E-2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13029569</v>
      </c>
      <c r="D238" s="361">
        <f>LN_IG2+LN_IG10</f>
        <v>13177883</v>
      </c>
      <c r="E238" s="361">
        <f>D238-C238</f>
        <v>148314</v>
      </c>
      <c r="F238" s="362">
        <f>IF(C238=0,0,E238/C238)</f>
        <v>1.1382878435963615E-2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20688086</v>
      </c>
      <c r="D239" s="361">
        <f>LN_IG13-LN_IG14</f>
        <v>22081196</v>
      </c>
      <c r="E239" s="361">
        <f>D239-C239</f>
        <v>1393110</v>
      </c>
      <c r="F239" s="362">
        <f>IF(C239=0,0,E239/C239)</f>
        <v>6.7338757195808258E-2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14292897</v>
      </c>
      <c r="D243" s="361">
        <v>15662907</v>
      </c>
      <c r="E243" s="353">
        <f>D243-C243</f>
        <v>1370010</v>
      </c>
      <c r="F243" s="415">
        <f>IF(C243=0,0,E243/C243)</f>
        <v>9.5852506318348199E-2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299648936</v>
      </c>
      <c r="D244" s="361">
        <v>312331109</v>
      </c>
      <c r="E244" s="353">
        <f>D244-C244</f>
        <v>12682173</v>
      </c>
      <c r="F244" s="415">
        <f>IF(C244=0,0,E244/C244)</f>
        <v>4.2323437450817444E-2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1906334</v>
      </c>
      <c r="D245" s="400">
        <v>0</v>
      </c>
      <c r="E245" s="400">
        <f>D245-C245</f>
        <v>-1906334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3153445</v>
      </c>
      <c r="D248" s="353">
        <v>3148344</v>
      </c>
      <c r="E248" s="353">
        <f>D248-C248</f>
        <v>-5101</v>
      </c>
      <c r="F248" s="362">
        <f>IF(C248=0,0,E248/C248)</f>
        <v>-1.6175959942221919E-3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14381177</v>
      </c>
      <c r="D249" s="353">
        <v>13865210</v>
      </c>
      <c r="E249" s="353">
        <f>D249-C249</f>
        <v>-515967</v>
      </c>
      <c r="F249" s="362">
        <f>IF(C249=0,0,E249/C249)</f>
        <v>-3.5877939615095479E-2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17534622</v>
      </c>
      <c r="D250" s="353">
        <f>LN_IH4+LN_IH5</f>
        <v>17013554</v>
      </c>
      <c r="E250" s="353">
        <f>D250-C250</f>
        <v>-521068</v>
      </c>
      <c r="F250" s="362">
        <f>IF(C250=0,0,E250/C250)</f>
        <v>-2.9716523116380837E-2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8257572.0154450731</v>
      </c>
      <c r="D251" s="353">
        <f>LN_IH6*LN_III10</f>
        <v>7465446.5015911674</v>
      </c>
      <c r="E251" s="353">
        <f>D251-C251</f>
        <v>-792125.51385390572</v>
      </c>
      <c r="F251" s="362">
        <f>IF(C251=0,0,E251/C251)</f>
        <v>-9.5927169920202157E-2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96298265</v>
      </c>
      <c r="D254" s="353">
        <f>LN_IF23</f>
        <v>110099801</v>
      </c>
      <c r="E254" s="353">
        <f>D254-C254</f>
        <v>13801536</v>
      </c>
      <c r="F254" s="362">
        <f>IF(C254=0,0,E254/C254)</f>
        <v>0.14332071299519258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29805496</v>
      </c>
      <c r="D255" s="353">
        <f>LN_IF24</f>
        <v>38586933</v>
      </c>
      <c r="E255" s="353">
        <f>D255-C255</f>
        <v>8781437</v>
      </c>
      <c r="F255" s="362">
        <f>IF(C255=0,0,E255/C255)</f>
        <v>0.29462475645431296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45349700.620858192</v>
      </c>
      <c r="D256" s="353">
        <f>LN_IH8*LN_III10</f>
        <v>48311139.118924461</v>
      </c>
      <c r="E256" s="353">
        <f>D256-C256</f>
        <v>2961438.4980662689</v>
      </c>
      <c r="F256" s="362">
        <f>IF(C256=0,0,E256/C256)</f>
        <v>6.5302272286758639E-2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15544204.620858192</v>
      </c>
      <c r="D257" s="353">
        <f>LN_IH10-LN_IH9</f>
        <v>9724206.1189244613</v>
      </c>
      <c r="E257" s="353">
        <f>D257-C257</f>
        <v>-5819998.5019337311</v>
      </c>
      <c r="F257" s="362">
        <f>IF(C257=0,0,E257/C257)</f>
        <v>-0.37441597327688875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277650576</v>
      </c>
      <c r="D261" s="361">
        <f>LN_IA1+LN_IB1+LN_IF1+LN_IG1</f>
        <v>289281822</v>
      </c>
      <c r="E261" s="361">
        <f t="shared" ref="E261:E274" si="26">D261-C261</f>
        <v>11631246</v>
      </c>
      <c r="F261" s="415">
        <f t="shared" ref="F261:F274" si="27">IF(C261=0,0,E261/C261)</f>
        <v>4.1891668901129886E-2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143768308</v>
      </c>
      <c r="D262" s="361">
        <f>+LN_IA2+LN_IB2+LN_IF2+LN_IG2</f>
        <v>144725017</v>
      </c>
      <c r="E262" s="361">
        <f t="shared" si="26"/>
        <v>956709</v>
      </c>
      <c r="F262" s="415">
        <f t="shared" si="27"/>
        <v>6.6545194369262524E-3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0.51780302447490689</v>
      </c>
      <c r="D263" s="366">
        <f>IF(LN_IIA1=0,0,LN_IIA2/LN_IIA1)</f>
        <v>0.50029074070198576</v>
      </c>
      <c r="E263" s="367">
        <f t="shared" si="26"/>
        <v>-1.7512283772921133E-2</v>
      </c>
      <c r="F263" s="371">
        <f t="shared" si="27"/>
        <v>-3.3820358215713338E-2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15464</v>
      </c>
      <c r="D264" s="369">
        <f>LN_IA4+LN_IB4+LN_IF4+LN_IG3</f>
        <v>15328</v>
      </c>
      <c r="E264" s="369">
        <f t="shared" si="26"/>
        <v>-136</v>
      </c>
      <c r="F264" s="415">
        <f t="shared" si="27"/>
        <v>-8.7946197620279356E-3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1.1845094671495084</v>
      </c>
      <c r="D265" s="439">
        <f>IF(LN_IIA4=0,0,LN_IIA6/LN_IIA4)</f>
        <v>1.2128014483298537</v>
      </c>
      <c r="E265" s="439">
        <f t="shared" si="26"/>
        <v>2.829198118034526E-2</v>
      </c>
      <c r="F265" s="415">
        <f t="shared" si="27"/>
        <v>2.3884976832164277E-2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18317.254399999998</v>
      </c>
      <c r="D266" s="376">
        <f>LN_IA6+LN_IB6+LN_IF6+LN_IG5</f>
        <v>18589.820599999999</v>
      </c>
      <c r="E266" s="376">
        <f t="shared" si="26"/>
        <v>272.56620000000112</v>
      </c>
      <c r="F266" s="415">
        <f t="shared" si="27"/>
        <v>1.4880297780872725E-2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347300572</v>
      </c>
      <c r="D267" s="361">
        <f>LN_IA11+LN_IB13+LN_IF14+LN_IG9</f>
        <v>371879098</v>
      </c>
      <c r="E267" s="361">
        <f t="shared" si="26"/>
        <v>24578526</v>
      </c>
      <c r="F267" s="415">
        <f t="shared" si="27"/>
        <v>7.0770185774413297E-2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1.2508548586623498</v>
      </c>
      <c r="D268" s="366">
        <f>IF(LN_IIA1=0,0,LN_IIA7/LN_IIA1)</f>
        <v>1.2855252895911309</v>
      </c>
      <c r="E268" s="367">
        <f t="shared" si="26"/>
        <v>3.4670430928781082E-2</v>
      </c>
      <c r="F268" s="371">
        <f t="shared" si="27"/>
        <v>2.7717389182832335E-2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148633330</v>
      </c>
      <c r="D269" s="361">
        <f>LN_IA12+LN_IB14+LN_IF15+LN_IG10</f>
        <v>158295922</v>
      </c>
      <c r="E269" s="361">
        <f t="shared" si="26"/>
        <v>9662592</v>
      </c>
      <c r="F269" s="415">
        <f t="shared" si="27"/>
        <v>6.5009591052020435E-2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0.42796742068135724</v>
      </c>
      <c r="D270" s="366">
        <f>IF(LN_IIA7=0,0,LN_IIA9/LN_IIA7)</f>
        <v>0.42566501546155733</v>
      </c>
      <c r="E270" s="367">
        <f t="shared" si="26"/>
        <v>-2.3024052197999079E-3</v>
      </c>
      <c r="F270" s="371">
        <f t="shared" si="27"/>
        <v>-5.3798609626272498E-3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624951148</v>
      </c>
      <c r="D271" s="353">
        <f>LN_IIA1+LN_IIA7</f>
        <v>661160920</v>
      </c>
      <c r="E271" s="353">
        <f t="shared" si="26"/>
        <v>36209772</v>
      </c>
      <c r="F271" s="415">
        <f t="shared" si="27"/>
        <v>5.7940163988625878E-2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292401638</v>
      </c>
      <c r="D272" s="353">
        <f>LN_IIA2+LN_IIA9</f>
        <v>303020939</v>
      </c>
      <c r="E272" s="353">
        <f t="shared" si="26"/>
        <v>10619301</v>
      </c>
      <c r="F272" s="415">
        <f t="shared" si="27"/>
        <v>3.6317515430607815E-2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0.46787919173483938</v>
      </c>
      <c r="D273" s="366">
        <f>IF(LN_IIA11=0,0,LN_IIA12/LN_IIA11)</f>
        <v>0.45831647006601661</v>
      </c>
      <c r="E273" s="367">
        <f t="shared" si="26"/>
        <v>-9.5627216688227712E-3</v>
      </c>
      <c r="F273" s="371">
        <f t="shared" si="27"/>
        <v>-2.0438441883609649E-2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71761</v>
      </c>
      <c r="D274" s="421">
        <f>LN_IA8+LN_IB10+LN_IF11+LN_IG6</f>
        <v>74082</v>
      </c>
      <c r="E274" s="442">
        <f t="shared" si="26"/>
        <v>2321</v>
      </c>
      <c r="F274" s="371">
        <f t="shared" si="27"/>
        <v>3.2343473474449908E-2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200306281</v>
      </c>
      <c r="D277" s="361">
        <f>LN_IA1+LN_IF1+LN_IG1</f>
        <v>217057427</v>
      </c>
      <c r="E277" s="361">
        <f t="shared" ref="E277:E291" si="28">D277-C277</f>
        <v>16751146</v>
      </c>
      <c r="F277" s="415">
        <f t="shared" ref="F277:F291" si="29">IF(C277=0,0,E277/C277)</f>
        <v>8.3627662179999243E-2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91145861</v>
      </c>
      <c r="D278" s="361">
        <f>LN_IA2+LN_IF2+LN_IG2</f>
        <v>92528643</v>
      </c>
      <c r="E278" s="361">
        <f t="shared" si="28"/>
        <v>1382782</v>
      </c>
      <c r="F278" s="415">
        <f t="shared" si="29"/>
        <v>1.517108933778134E-2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0.45503246600639546</v>
      </c>
      <c r="D279" s="366">
        <f>IF(D277=0,0,LN_IIB2/D277)</f>
        <v>0.42628646381217816</v>
      </c>
      <c r="E279" s="367">
        <f t="shared" si="28"/>
        <v>-2.8746002194217302E-2</v>
      </c>
      <c r="F279" s="371">
        <f t="shared" si="29"/>
        <v>-6.317351912602491E-2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10795</v>
      </c>
      <c r="D280" s="369">
        <f>LN_IA4+LN_IF4+LN_IG3</f>
        <v>11036</v>
      </c>
      <c r="E280" s="369">
        <f t="shared" si="28"/>
        <v>241</v>
      </c>
      <c r="F280" s="415">
        <f t="shared" si="29"/>
        <v>2.2325150532654006E-2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1.23892395553497</v>
      </c>
      <c r="D281" s="439">
        <f>IF(LN_IIB4=0,0,LN_IIB6/LN_IIB4)</f>
        <v>1.2509150960492932</v>
      </c>
      <c r="E281" s="439">
        <f t="shared" si="28"/>
        <v>1.1991140514323151E-2</v>
      </c>
      <c r="F281" s="415">
        <f t="shared" si="29"/>
        <v>9.6786735463076506E-3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13374.1841</v>
      </c>
      <c r="D282" s="376">
        <f>LN_IA6+LN_IF6+LN_IG5</f>
        <v>13805.099</v>
      </c>
      <c r="E282" s="376">
        <f t="shared" si="28"/>
        <v>430.91489999999976</v>
      </c>
      <c r="F282" s="415">
        <f t="shared" si="29"/>
        <v>3.2219901922839522E-2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173471036</v>
      </c>
      <c r="D283" s="361">
        <f>LN_IA11+LN_IF14+LN_IG9</f>
        <v>191867316</v>
      </c>
      <c r="E283" s="361">
        <f t="shared" si="28"/>
        <v>18396280</v>
      </c>
      <c r="F283" s="415">
        <f t="shared" si="29"/>
        <v>0.10604813589745322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0.86602893895274302</v>
      </c>
      <c r="D284" s="366">
        <f>IF(D277=0,0,LN_IIB7/D277)</f>
        <v>0.88394725143406405</v>
      </c>
      <c r="E284" s="367">
        <f t="shared" si="28"/>
        <v>1.791831248132103E-2</v>
      </c>
      <c r="F284" s="371">
        <f t="shared" si="29"/>
        <v>2.0690200610373351E-2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50130448</v>
      </c>
      <c r="D285" s="361">
        <f>LN_IA12+LN_IF15+LN_IG10</f>
        <v>59197487</v>
      </c>
      <c r="E285" s="361">
        <f t="shared" si="28"/>
        <v>9067039</v>
      </c>
      <c r="F285" s="415">
        <f t="shared" si="29"/>
        <v>0.18086890027394129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0.28898454264145862</v>
      </c>
      <c r="D286" s="366">
        <f>IF(LN_IIB7=0,0,LN_IIB9/LN_IIB7)</f>
        <v>0.30853346069634913</v>
      </c>
      <c r="E286" s="367">
        <f t="shared" si="28"/>
        <v>1.9548918054890507E-2</v>
      </c>
      <c r="F286" s="371">
        <f t="shared" si="29"/>
        <v>6.7646933210350743E-2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373777317</v>
      </c>
      <c r="D287" s="353">
        <f>D277+LN_IIB7</f>
        <v>408924743</v>
      </c>
      <c r="E287" s="353">
        <f t="shared" si="28"/>
        <v>35147426</v>
      </c>
      <c r="F287" s="415">
        <f t="shared" si="29"/>
        <v>9.4033063006870476E-2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141276309</v>
      </c>
      <c r="D288" s="353">
        <f>LN_IIB2+LN_IIB9</f>
        <v>151726130</v>
      </c>
      <c r="E288" s="353">
        <f t="shared" si="28"/>
        <v>10449821</v>
      </c>
      <c r="F288" s="415">
        <f t="shared" si="29"/>
        <v>7.3967256604927298E-2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0.37796918800184975</v>
      </c>
      <c r="D289" s="366">
        <f>IF(LN_IIB11=0,0,LN_IIB12/LN_IIB11)</f>
        <v>0.37103680468657774</v>
      </c>
      <c r="E289" s="367">
        <f t="shared" si="28"/>
        <v>-6.9323833152720171E-3</v>
      </c>
      <c r="F289" s="371">
        <f t="shared" si="29"/>
        <v>-1.8341133445084128E-2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54316</v>
      </c>
      <c r="D290" s="421">
        <f>LN_IA8+LN_IF11+LN_IG6</f>
        <v>57548</v>
      </c>
      <c r="E290" s="442">
        <f t="shared" si="28"/>
        <v>3232</v>
      </c>
      <c r="F290" s="371">
        <f t="shared" si="29"/>
        <v>5.9503645334708005E-2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232501008</v>
      </c>
      <c r="D291" s="429">
        <f>LN_IIB11-LN_IIB12</f>
        <v>257198613</v>
      </c>
      <c r="E291" s="353">
        <f t="shared" si="28"/>
        <v>24697605</v>
      </c>
      <c r="F291" s="415">
        <f t="shared" si="29"/>
        <v>0.10622579752428428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5.5691902181871429</v>
      </c>
      <c r="D294" s="379">
        <f>IF(LN_IA4=0,0,LN_IA8/LN_IA4)</f>
        <v>5.8294910830796001</v>
      </c>
      <c r="E294" s="379">
        <f t="shared" ref="E294:E300" si="30">D294-C294</f>
        <v>0.26030086489245718</v>
      </c>
      <c r="F294" s="415">
        <f t="shared" ref="F294:F300" si="31">IF(C294=0,0,E294/C294)</f>
        <v>4.6739445896891829E-2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3.7363461126579569</v>
      </c>
      <c r="D295" s="379">
        <f>IF(LN_IB4=0,0,(LN_IB10)/(LN_IB4))</f>
        <v>3.8522833178005591</v>
      </c>
      <c r="E295" s="379">
        <f t="shared" si="30"/>
        <v>0.1159372051426022</v>
      </c>
      <c r="F295" s="415">
        <f t="shared" si="31"/>
        <v>3.1029567830943516E-2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3.7857142857142856</v>
      </c>
      <c r="D296" s="379">
        <f>IF(LN_IC4=0,0,LN_IC11/LN_IC4)</f>
        <v>3.7528089887640448</v>
      </c>
      <c r="E296" s="379">
        <f t="shared" si="30"/>
        <v>-3.2905296950240803E-2</v>
      </c>
      <c r="F296" s="415">
        <f t="shared" si="31"/>
        <v>-8.6919652321390799E-3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4.4135514018691593</v>
      </c>
      <c r="D297" s="379">
        <f>IF(LN_ID4=0,0,LN_ID11/LN_ID4)</f>
        <v>4.4138471177944858</v>
      </c>
      <c r="E297" s="379">
        <f t="shared" si="30"/>
        <v>2.9571592532651181E-4</v>
      </c>
      <c r="F297" s="415">
        <f t="shared" si="31"/>
        <v>6.7001808385255184E-5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4.8513513513513518</v>
      </c>
      <c r="D298" s="379">
        <f>IF(LN_IE4=0,0,LN_IE11/LN_IE4)</f>
        <v>5.3859649122807021</v>
      </c>
      <c r="E298" s="379">
        <f t="shared" si="30"/>
        <v>0.53461356092935031</v>
      </c>
      <c r="F298" s="415">
        <f t="shared" si="31"/>
        <v>0.1101988955676098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2.9308176100628929</v>
      </c>
      <c r="D299" s="379">
        <f>IF(LN_IG3=0,0,LN_IG6/LN_IG3)</f>
        <v>3.3101123595505619</v>
      </c>
      <c r="E299" s="379">
        <f t="shared" si="30"/>
        <v>0.37929474948766906</v>
      </c>
      <c r="F299" s="415">
        <f t="shared" si="31"/>
        <v>0.12941601967497721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4.6405199172271079</v>
      </c>
      <c r="D300" s="379">
        <f>IF(LN_IIA4=0,0,LN_IIA14/LN_IIA4)</f>
        <v>4.8331158663883089</v>
      </c>
      <c r="E300" s="379">
        <f t="shared" si="30"/>
        <v>0.19259594916120104</v>
      </c>
      <c r="F300" s="415">
        <f t="shared" si="31"/>
        <v>4.1503097195256661E-2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624951148</v>
      </c>
      <c r="D304" s="353">
        <f>LN_IIA11</f>
        <v>661160920</v>
      </c>
      <c r="E304" s="353">
        <f t="shared" ref="E304:E316" si="32">D304-C304</f>
        <v>36209772</v>
      </c>
      <c r="F304" s="362">
        <f>IF(C304=0,0,E304/C304)</f>
        <v>5.7940163988625878E-2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232501008</v>
      </c>
      <c r="D305" s="353">
        <f>LN_IIB14</f>
        <v>257198613</v>
      </c>
      <c r="E305" s="353">
        <f t="shared" si="32"/>
        <v>24697605</v>
      </c>
      <c r="F305" s="362">
        <f>IF(C305=0,0,E305/C305)</f>
        <v>0.10622579752428428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17534622</v>
      </c>
      <c r="D306" s="353">
        <f>LN_IH6</f>
        <v>17013554</v>
      </c>
      <c r="E306" s="353">
        <f t="shared" si="32"/>
        <v>-521068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75164048</v>
      </c>
      <c r="D307" s="353">
        <f>LN_IB32-LN_IB33</f>
        <v>88924595</v>
      </c>
      <c r="E307" s="353">
        <f t="shared" si="32"/>
        <v>13760547</v>
      </c>
      <c r="F307" s="362">
        <f t="shared" ref="F307:F316" si="33">IF(C307=0,0,E307/C307)</f>
        <v>0.18307352206469774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7349828</v>
      </c>
      <c r="D308" s="353">
        <v>7910671</v>
      </c>
      <c r="E308" s="353">
        <f t="shared" si="32"/>
        <v>560843</v>
      </c>
      <c r="F308" s="362">
        <f t="shared" si="33"/>
        <v>7.6306955754610856E-2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332549506</v>
      </c>
      <c r="D309" s="353">
        <f>LN_III2+LN_III3+LN_III4+LN_III5</f>
        <v>371047433</v>
      </c>
      <c r="E309" s="353">
        <f t="shared" si="32"/>
        <v>38497927</v>
      </c>
      <c r="F309" s="362">
        <f t="shared" si="33"/>
        <v>0.11576600267149396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292401642</v>
      </c>
      <c r="D310" s="353">
        <f>LN_III1-LN_III6</f>
        <v>290113487</v>
      </c>
      <c r="E310" s="353">
        <f t="shared" si="32"/>
        <v>-2288155</v>
      </c>
      <c r="F310" s="362">
        <f t="shared" si="33"/>
        <v>-7.825383552394689E-3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1906334</v>
      </c>
      <c r="D311" s="353">
        <f>LN_IH3</f>
        <v>0</v>
      </c>
      <c r="E311" s="353">
        <f t="shared" si="32"/>
        <v>-1906334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294307976</v>
      </c>
      <c r="D312" s="353">
        <f>LN_III7+LN_III8</f>
        <v>290113487</v>
      </c>
      <c r="E312" s="353">
        <f t="shared" si="32"/>
        <v>-4194489</v>
      </c>
      <c r="F312" s="362">
        <f t="shared" si="33"/>
        <v>-1.4252039842780204E-2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0.47092957096224103</v>
      </c>
      <c r="D313" s="448">
        <f>IF(LN_III1=0,0,LN_III9/LN_III1)</f>
        <v>0.43879406393227233</v>
      </c>
      <c r="E313" s="448">
        <f t="shared" si="32"/>
        <v>-3.2135507029968702E-2</v>
      </c>
      <c r="F313" s="362">
        <f t="shared" si="33"/>
        <v>-6.8238456473028147E-2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8257572.0154450731</v>
      </c>
      <c r="D314" s="353">
        <f>D313*LN_III5</f>
        <v>7465446.5015911674</v>
      </c>
      <c r="E314" s="353">
        <f t="shared" si="32"/>
        <v>-792125.51385390572</v>
      </c>
      <c r="F314" s="362">
        <f t="shared" si="33"/>
        <v>-9.5927169920202157E-2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15544204.620858192</v>
      </c>
      <c r="D315" s="353">
        <f>D313*LN_IH8-LN_IH9</f>
        <v>9724206.1189244613</v>
      </c>
      <c r="E315" s="353">
        <f t="shared" si="32"/>
        <v>-5819998.5019337311</v>
      </c>
      <c r="F315" s="362">
        <f t="shared" si="33"/>
        <v>-0.37441597327688875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23801776.636303265</v>
      </c>
      <c r="D318" s="353">
        <f>D314+D315+D316</f>
        <v>17189652.62051563</v>
      </c>
      <c r="E318" s="353">
        <f>D318-C318</f>
        <v>-6612124.015787635</v>
      </c>
      <c r="F318" s="362">
        <f>IF(C318=0,0,E318/C318)</f>
        <v>-0.27779959945101756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2211933.4498444786</v>
      </c>
      <c r="D322" s="353">
        <f>LN_ID22</f>
        <v>6349956.4021446342</v>
      </c>
      <c r="E322" s="353">
        <f>LN_IV2-C322</f>
        <v>4138022.9523001555</v>
      </c>
      <c r="F322" s="362">
        <f>IF(C322=0,0,E322/C322)</f>
        <v>1.8707719043676927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2409074.3055454893</v>
      </c>
      <c r="D323" s="353">
        <f>LN_IE10+LN_IE22</f>
        <v>102069.48773947379</v>
      </c>
      <c r="E323" s="353">
        <f>LN_IV3-C323</f>
        <v>-2307004.8178060157</v>
      </c>
      <c r="F323" s="362">
        <f>IF(C323=0,0,E323/C323)</f>
        <v>-0.95763124138407929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5027369.1425221749</v>
      </c>
      <c r="D324" s="353">
        <f>LN_IC10+LN_IC22</f>
        <v>6230420.8695786782</v>
      </c>
      <c r="E324" s="353">
        <f>LN_IV1-C324</f>
        <v>1203051.7270565033</v>
      </c>
      <c r="F324" s="362">
        <f>IF(C324=0,0,E324/C324)</f>
        <v>0.23930045575546213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9648376.8979121428</v>
      </c>
      <c r="D325" s="429">
        <f>LN_IV1+LN_IV2+LN_IV3</f>
        <v>12682446.759462785</v>
      </c>
      <c r="E325" s="353">
        <f>LN_IV4-C325</f>
        <v>3034069.8615506422</v>
      </c>
      <c r="F325" s="362">
        <f>IF(C325=0,0,E325/C325)</f>
        <v>0.31446427659839848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12440436</v>
      </c>
      <c r="D329" s="431">
        <v>15323591</v>
      </c>
      <c r="E329" s="431">
        <f t="shared" ref="E329:E335" si="34">D329-C329</f>
        <v>2883155</v>
      </c>
      <c r="F329" s="462">
        <f t="shared" ref="F329:F335" si="35">IF(C329=0,0,E329/C329)</f>
        <v>0.23175674871845328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12255002</v>
      </c>
      <c r="D330" s="429">
        <v>15792142</v>
      </c>
      <c r="E330" s="431">
        <f t="shared" si="34"/>
        <v>3537140</v>
      </c>
      <c r="F330" s="463">
        <f t="shared" si="35"/>
        <v>0.28862826786972373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306562977</v>
      </c>
      <c r="D331" s="429">
        <v>318813210</v>
      </c>
      <c r="E331" s="431">
        <f t="shared" si="34"/>
        <v>12250233</v>
      </c>
      <c r="F331" s="462">
        <f t="shared" si="35"/>
        <v>3.9959923144926926E-2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624951148</v>
      </c>
      <c r="D333" s="429">
        <v>661160918</v>
      </c>
      <c r="E333" s="431">
        <f t="shared" si="34"/>
        <v>36209770</v>
      </c>
      <c r="F333" s="462">
        <f t="shared" si="35"/>
        <v>5.7940160788375737E-2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2126174</v>
      </c>
      <c r="D334" s="429">
        <v>3220157</v>
      </c>
      <c r="E334" s="429">
        <f t="shared" si="34"/>
        <v>1093983</v>
      </c>
      <c r="F334" s="463">
        <f t="shared" si="35"/>
        <v>0.51453126602056087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19660796</v>
      </c>
      <c r="D335" s="429">
        <v>20233711</v>
      </c>
      <c r="E335" s="429">
        <f t="shared" si="34"/>
        <v>572915</v>
      </c>
      <c r="F335" s="462">
        <f t="shared" si="35"/>
        <v>2.9139969714349307E-2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FILING&amp;RLAWRENCE AND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11" t="s">
        <v>0</v>
      </c>
      <c r="B2" s="711"/>
      <c r="C2" s="711"/>
      <c r="D2" s="711"/>
      <c r="E2" s="711"/>
    </row>
    <row r="3" spans="1:5" s="338" customFormat="1" ht="15.75" customHeight="1" x14ac:dyDescent="0.25">
      <c r="A3" s="712" t="s">
        <v>595</v>
      </c>
      <c r="B3" s="712"/>
      <c r="C3" s="712"/>
      <c r="D3" s="712"/>
      <c r="E3" s="712"/>
    </row>
    <row r="4" spans="1:5" s="338" customFormat="1" ht="15.75" customHeight="1" x14ac:dyDescent="0.25">
      <c r="A4" s="712" t="s">
        <v>2</v>
      </c>
      <c r="B4" s="712"/>
      <c r="C4" s="712"/>
      <c r="D4" s="712"/>
      <c r="E4" s="712"/>
    </row>
    <row r="5" spans="1:5" s="338" customFormat="1" ht="15.75" customHeight="1" x14ac:dyDescent="0.25">
      <c r="A5" s="712" t="s">
        <v>743</v>
      </c>
      <c r="B5" s="712"/>
      <c r="C5" s="712"/>
      <c r="D5" s="712"/>
      <c r="E5" s="712"/>
    </row>
    <row r="6" spans="1:5" s="338" customFormat="1" ht="15.75" customHeight="1" x14ac:dyDescent="0.25">
      <c r="A6" s="712" t="s">
        <v>744</v>
      </c>
      <c r="B6" s="712"/>
      <c r="C6" s="712"/>
      <c r="D6" s="712"/>
      <c r="E6" s="712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77344295</v>
      </c>
      <c r="D14" s="513">
        <v>72224395</v>
      </c>
      <c r="E14" s="514">
        <f t="shared" ref="E14:E22" si="0">D14-C14</f>
        <v>-5119900</v>
      </c>
    </row>
    <row r="15" spans="1:5" s="506" customFormat="1" x14ac:dyDescent="0.2">
      <c r="A15" s="512">
        <v>2</v>
      </c>
      <c r="B15" s="511" t="s">
        <v>604</v>
      </c>
      <c r="C15" s="513">
        <v>144213661</v>
      </c>
      <c r="D15" s="515">
        <v>155839588</v>
      </c>
      <c r="E15" s="514">
        <f t="shared" si="0"/>
        <v>11625927</v>
      </c>
    </row>
    <row r="16" spans="1:5" s="506" customFormat="1" x14ac:dyDescent="0.2">
      <c r="A16" s="512">
        <v>3</v>
      </c>
      <c r="B16" s="511" t="s">
        <v>750</v>
      </c>
      <c r="C16" s="513">
        <v>45304926</v>
      </c>
      <c r="D16" s="515">
        <v>48982709</v>
      </c>
      <c r="E16" s="514">
        <f t="shared" si="0"/>
        <v>3677783</v>
      </c>
    </row>
    <row r="17" spans="1:5" s="506" customFormat="1" x14ac:dyDescent="0.2">
      <c r="A17" s="512">
        <v>4</v>
      </c>
      <c r="B17" s="511" t="s">
        <v>114</v>
      </c>
      <c r="C17" s="513">
        <v>37153931</v>
      </c>
      <c r="D17" s="515">
        <v>48004808</v>
      </c>
      <c r="E17" s="514">
        <f t="shared" si="0"/>
        <v>10850877</v>
      </c>
    </row>
    <row r="18" spans="1:5" s="506" customFormat="1" x14ac:dyDescent="0.2">
      <c r="A18" s="512">
        <v>5</v>
      </c>
      <c r="B18" s="511" t="s">
        <v>717</v>
      </c>
      <c r="C18" s="513">
        <v>8150995</v>
      </c>
      <c r="D18" s="515">
        <v>977901</v>
      </c>
      <c r="E18" s="514">
        <f t="shared" si="0"/>
        <v>-7173094</v>
      </c>
    </row>
    <row r="19" spans="1:5" s="506" customFormat="1" x14ac:dyDescent="0.2">
      <c r="A19" s="512">
        <v>6</v>
      </c>
      <c r="B19" s="511" t="s">
        <v>416</v>
      </c>
      <c r="C19" s="513">
        <v>10787694</v>
      </c>
      <c r="D19" s="515">
        <v>12235130</v>
      </c>
      <c r="E19" s="514">
        <f t="shared" si="0"/>
        <v>1447436</v>
      </c>
    </row>
    <row r="20" spans="1:5" s="506" customFormat="1" x14ac:dyDescent="0.2">
      <c r="A20" s="512">
        <v>7</v>
      </c>
      <c r="B20" s="511" t="s">
        <v>732</v>
      </c>
      <c r="C20" s="513">
        <v>2364381</v>
      </c>
      <c r="D20" s="515">
        <v>1105922</v>
      </c>
      <c r="E20" s="514">
        <f t="shared" si="0"/>
        <v>-1258459</v>
      </c>
    </row>
    <row r="21" spans="1:5" s="506" customFormat="1" x14ac:dyDescent="0.2">
      <c r="A21" s="512"/>
      <c r="B21" s="516" t="s">
        <v>751</v>
      </c>
      <c r="C21" s="517">
        <f>SUM(C15+C16+C19)</f>
        <v>200306281</v>
      </c>
      <c r="D21" s="517">
        <f>SUM(D15+D16+D19)</f>
        <v>217057427</v>
      </c>
      <c r="E21" s="517">
        <f t="shared" si="0"/>
        <v>16751146</v>
      </c>
    </row>
    <row r="22" spans="1:5" s="506" customFormat="1" x14ac:dyDescent="0.2">
      <c r="A22" s="512"/>
      <c r="B22" s="516" t="s">
        <v>691</v>
      </c>
      <c r="C22" s="517">
        <f>SUM(C14+C21)</f>
        <v>277650576</v>
      </c>
      <c r="D22" s="517">
        <f>SUM(D14+D21)</f>
        <v>289281822</v>
      </c>
      <c r="E22" s="517">
        <f t="shared" si="0"/>
        <v>11631246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173829536</v>
      </c>
      <c r="D25" s="513">
        <v>180011782</v>
      </c>
      <c r="E25" s="514">
        <f t="shared" ref="E25:E33" si="1">D25-C25</f>
        <v>6182246</v>
      </c>
    </row>
    <row r="26" spans="1:5" s="506" customFormat="1" x14ac:dyDescent="0.2">
      <c r="A26" s="512">
        <v>2</v>
      </c>
      <c r="B26" s="511" t="s">
        <v>604</v>
      </c>
      <c r="C26" s="513">
        <v>99547736</v>
      </c>
      <c r="D26" s="515">
        <v>107726275</v>
      </c>
      <c r="E26" s="514">
        <f t="shared" si="1"/>
        <v>8178539</v>
      </c>
    </row>
    <row r="27" spans="1:5" s="506" customFormat="1" x14ac:dyDescent="0.2">
      <c r="A27" s="512">
        <v>3</v>
      </c>
      <c r="B27" s="511" t="s">
        <v>750</v>
      </c>
      <c r="C27" s="513">
        <v>50993339</v>
      </c>
      <c r="D27" s="515">
        <v>61117092</v>
      </c>
      <c r="E27" s="514">
        <f t="shared" si="1"/>
        <v>10123753</v>
      </c>
    </row>
    <row r="28" spans="1:5" s="506" customFormat="1" x14ac:dyDescent="0.2">
      <c r="A28" s="512">
        <v>4</v>
      </c>
      <c r="B28" s="511" t="s">
        <v>114</v>
      </c>
      <c r="C28" s="513">
        <v>42216120</v>
      </c>
      <c r="D28" s="515">
        <v>60194068</v>
      </c>
      <c r="E28" s="514">
        <f t="shared" si="1"/>
        <v>17977948</v>
      </c>
    </row>
    <row r="29" spans="1:5" s="506" customFormat="1" x14ac:dyDescent="0.2">
      <c r="A29" s="512">
        <v>5</v>
      </c>
      <c r="B29" s="511" t="s">
        <v>717</v>
      </c>
      <c r="C29" s="513">
        <v>8777219</v>
      </c>
      <c r="D29" s="515">
        <v>923024</v>
      </c>
      <c r="E29" s="514">
        <f t="shared" si="1"/>
        <v>-7854195</v>
      </c>
    </row>
    <row r="30" spans="1:5" s="506" customFormat="1" x14ac:dyDescent="0.2">
      <c r="A30" s="512">
        <v>6</v>
      </c>
      <c r="B30" s="511" t="s">
        <v>416</v>
      </c>
      <c r="C30" s="513">
        <v>22929961</v>
      </c>
      <c r="D30" s="515">
        <v>23023949</v>
      </c>
      <c r="E30" s="514">
        <f t="shared" si="1"/>
        <v>93988</v>
      </c>
    </row>
    <row r="31" spans="1:5" s="506" customFormat="1" x14ac:dyDescent="0.2">
      <c r="A31" s="512">
        <v>7</v>
      </c>
      <c r="B31" s="511" t="s">
        <v>732</v>
      </c>
      <c r="C31" s="514">
        <v>10076058</v>
      </c>
      <c r="D31" s="518">
        <v>10910851</v>
      </c>
      <c r="E31" s="514">
        <f t="shared" si="1"/>
        <v>834793</v>
      </c>
    </row>
    <row r="32" spans="1:5" s="506" customFormat="1" x14ac:dyDescent="0.2">
      <c r="A32" s="512"/>
      <c r="B32" s="516" t="s">
        <v>753</v>
      </c>
      <c r="C32" s="517">
        <f>SUM(C26+C27+C30)</f>
        <v>173471036</v>
      </c>
      <c r="D32" s="517">
        <f>SUM(D26+D27+D30)</f>
        <v>191867316</v>
      </c>
      <c r="E32" s="517">
        <f t="shared" si="1"/>
        <v>18396280</v>
      </c>
    </row>
    <row r="33" spans="1:5" s="506" customFormat="1" x14ac:dyDescent="0.2">
      <c r="A33" s="512"/>
      <c r="B33" s="516" t="s">
        <v>697</v>
      </c>
      <c r="C33" s="517">
        <f>SUM(C25+C32)</f>
        <v>347300572</v>
      </c>
      <c r="D33" s="517">
        <f>SUM(D25+D32)</f>
        <v>371879098</v>
      </c>
      <c r="E33" s="517">
        <f t="shared" si="1"/>
        <v>24578526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251173831</v>
      </c>
      <c r="D36" s="514">
        <f t="shared" si="2"/>
        <v>252236177</v>
      </c>
      <c r="E36" s="514">
        <f t="shared" ref="E36:E44" si="3">D36-C36</f>
        <v>1062346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243761397</v>
      </c>
      <c r="D37" s="514">
        <f t="shared" si="2"/>
        <v>263565863</v>
      </c>
      <c r="E37" s="514">
        <f t="shared" si="3"/>
        <v>19804466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96298265</v>
      </c>
      <c r="D38" s="514">
        <f t="shared" si="2"/>
        <v>110099801</v>
      </c>
      <c r="E38" s="514">
        <f t="shared" si="3"/>
        <v>13801536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79370051</v>
      </c>
      <c r="D39" s="514">
        <f t="shared" si="2"/>
        <v>108198876</v>
      </c>
      <c r="E39" s="514">
        <f t="shared" si="3"/>
        <v>28828825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16928214</v>
      </c>
      <c r="D40" s="514">
        <f t="shared" si="2"/>
        <v>1900925</v>
      </c>
      <c r="E40" s="514">
        <f t="shared" si="3"/>
        <v>-15027289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33717655</v>
      </c>
      <c r="D41" s="514">
        <f t="shared" si="2"/>
        <v>35259079</v>
      </c>
      <c r="E41" s="514">
        <f t="shared" si="3"/>
        <v>1541424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12440439</v>
      </c>
      <c r="D42" s="514">
        <f t="shared" si="2"/>
        <v>12016773</v>
      </c>
      <c r="E42" s="514">
        <f t="shared" si="3"/>
        <v>-423666</v>
      </c>
    </row>
    <row r="43" spans="1:5" s="506" customFormat="1" x14ac:dyDescent="0.2">
      <c r="A43" s="512"/>
      <c r="B43" s="516" t="s">
        <v>761</v>
      </c>
      <c r="C43" s="517">
        <f>SUM(C37+C38+C41)</f>
        <v>373777317</v>
      </c>
      <c r="D43" s="517">
        <f>SUM(D37+D38+D41)</f>
        <v>408924743</v>
      </c>
      <c r="E43" s="517">
        <f t="shared" si="3"/>
        <v>35147426</v>
      </c>
    </row>
    <row r="44" spans="1:5" s="506" customFormat="1" x14ac:dyDescent="0.2">
      <c r="A44" s="512"/>
      <c r="B44" s="516" t="s">
        <v>699</v>
      </c>
      <c r="C44" s="517">
        <f>SUM(C36+C43)</f>
        <v>624951148</v>
      </c>
      <c r="D44" s="517">
        <f>SUM(D36+D43)</f>
        <v>661160920</v>
      </c>
      <c r="E44" s="517">
        <f t="shared" si="3"/>
        <v>36209772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52622447</v>
      </c>
      <c r="D47" s="513">
        <v>52196374</v>
      </c>
      <c r="E47" s="514">
        <f t="shared" ref="E47:E55" si="4">D47-C47</f>
        <v>-426073</v>
      </c>
    </row>
    <row r="48" spans="1:5" s="506" customFormat="1" x14ac:dyDescent="0.2">
      <c r="A48" s="512">
        <v>2</v>
      </c>
      <c r="B48" s="511" t="s">
        <v>604</v>
      </c>
      <c r="C48" s="513">
        <v>72819108</v>
      </c>
      <c r="D48" s="515">
        <v>69135193</v>
      </c>
      <c r="E48" s="514">
        <f t="shared" si="4"/>
        <v>-3683915</v>
      </c>
    </row>
    <row r="49" spans="1:5" s="506" customFormat="1" x14ac:dyDescent="0.2">
      <c r="A49" s="512">
        <v>3</v>
      </c>
      <c r="B49" s="511" t="s">
        <v>750</v>
      </c>
      <c r="C49" s="513">
        <v>14119438</v>
      </c>
      <c r="D49" s="515">
        <v>18603181</v>
      </c>
      <c r="E49" s="514">
        <f t="shared" si="4"/>
        <v>4483743</v>
      </c>
    </row>
    <row r="50" spans="1:5" s="506" customFormat="1" x14ac:dyDescent="0.2">
      <c r="A50" s="512">
        <v>4</v>
      </c>
      <c r="B50" s="511" t="s">
        <v>114</v>
      </c>
      <c r="C50" s="513">
        <v>12364928</v>
      </c>
      <c r="D50" s="515">
        <v>18472111</v>
      </c>
      <c r="E50" s="514">
        <f t="shared" si="4"/>
        <v>6107183</v>
      </c>
    </row>
    <row r="51" spans="1:5" s="506" customFormat="1" x14ac:dyDescent="0.2">
      <c r="A51" s="512">
        <v>5</v>
      </c>
      <c r="B51" s="511" t="s">
        <v>717</v>
      </c>
      <c r="C51" s="513">
        <v>1754510</v>
      </c>
      <c r="D51" s="515">
        <v>131070</v>
      </c>
      <c r="E51" s="514">
        <f t="shared" si="4"/>
        <v>-1623440</v>
      </c>
    </row>
    <row r="52" spans="1:5" s="506" customFormat="1" x14ac:dyDescent="0.2">
      <c r="A52" s="512">
        <v>6</v>
      </c>
      <c r="B52" s="511" t="s">
        <v>416</v>
      </c>
      <c r="C52" s="513">
        <v>4207315</v>
      </c>
      <c r="D52" s="515">
        <v>4790269</v>
      </c>
      <c r="E52" s="514">
        <f t="shared" si="4"/>
        <v>582954</v>
      </c>
    </row>
    <row r="53" spans="1:5" s="506" customFormat="1" x14ac:dyDescent="0.2">
      <c r="A53" s="512">
        <v>7</v>
      </c>
      <c r="B53" s="511" t="s">
        <v>732</v>
      </c>
      <c r="C53" s="513">
        <v>0</v>
      </c>
      <c r="D53" s="515">
        <v>0</v>
      </c>
      <c r="E53" s="514">
        <f t="shared" si="4"/>
        <v>0</v>
      </c>
    </row>
    <row r="54" spans="1:5" s="506" customFormat="1" x14ac:dyDescent="0.2">
      <c r="A54" s="512"/>
      <c r="B54" s="516" t="s">
        <v>763</v>
      </c>
      <c r="C54" s="517">
        <f>SUM(C48+C49+C52)</f>
        <v>91145861</v>
      </c>
      <c r="D54" s="517">
        <f>SUM(D48+D49+D52)</f>
        <v>92528643</v>
      </c>
      <c r="E54" s="517">
        <f t="shared" si="4"/>
        <v>1382782</v>
      </c>
    </row>
    <row r="55" spans="1:5" s="506" customFormat="1" x14ac:dyDescent="0.2">
      <c r="A55" s="512"/>
      <c r="B55" s="516" t="s">
        <v>692</v>
      </c>
      <c r="C55" s="517">
        <f>SUM(C47+C54)</f>
        <v>143768308</v>
      </c>
      <c r="D55" s="517">
        <f>SUM(D47+D54)</f>
        <v>144725017</v>
      </c>
      <c r="E55" s="517">
        <f t="shared" si="4"/>
        <v>956709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98502882</v>
      </c>
      <c r="D58" s="513">
        <v>99098435</v>
      </c>
      <c r="E58" s="514">
        <f t="shared" ref="E58:E66" si="5">D58-C58</f>
        <v>595553</v>
      </c>
    </row>
    <row r="59" spans="1:5" s="506" customFormat="1" x14ac:dyDescent="0.2">
      <c r="A59" s="512">
        <v>2</v>
      </c>
      <c r="B59" s="511" t="s">
        <v>604</v>
      </c>
      <c r="C59" s="513">
        <v>25622136</v>
      </c>
      <c r="D59" s="515">
        <v>30826121</v>
      </c>
      <c r="E59" s="514">
        <f t="shared" si="5"/>
        <v>5203985</v>
      </c>
    </row>
    <row r="60" spans="1:5" s="506" customFormat="1" x14ac:dyDescent="0.2">
      <c r="A60" s="512">
        <v>3</v>
      </c>
      <c r="B60" s="511" t="s">
        <v>750</v>
      </c>
      <c r="C60" s="513">
        <f>C61+C62</f>
        <v>15686058</v>
      </c>
      <c r="D60" s="515">
        <f>D61+D62</f>
        <v>19983752</v>
      </c>
      <c r="E60" s="514">
        <f t="shared" si="5"/>
        <v>4297694</v>
      </c>
    </row>
    <row r="61" spans="1:5" s="506" customFormat="1" x14ac:dyDescent="0.2">
      <c r="A61" s="512">
        <v>4</v>
      </c>
      <c r="B61" s="511" t="s">
        <v>114</v>
      </c>
      <c r="C61" s="513">
        <v>13648016</v>
      </c>
      <c r="D61" s="515">
        <v>19528993</v>
      </c>
      <c r="E61" s="514">
        <f t="shared" si="5"/>
        <v>5880977</v>
      </c>
    </row>
    <row r="62" spans="1:5" s="506" customFormat="1" x14ac:dyDescent="0.2">
      <c r="A62" s="512">
        <v>5</v>
      </c>
      <c r="B62" s="511" t="s">
        <v>717</v>
      </c>
      <c r="C62" s="513">
        <v>2038042</v>
      </c>
      <c r="D62" s="515">
        <v>454759</v>
      </c>
      <c r="E62" s="514">
        <f t="shared" si="5"/>
        <v>-1583283</v>
      </c>
    </row>
    <row r="63" spans="1:5" s="506" customFormat="1" x14ac:dyDescent="0.2">
      <c r="A63" s="512">
        <v>6</v>
      </c>
      <c r="B63" s="511" t="s">
        <v>416</v>
      </c>
      <c r="C63" s="513">
        <v>8822254</v>
      </c>
      <c r="D63" s="515">
        <v>8387614</v>
      </c>
      <c r="E63" s="514">
        <f t="shared" si="5"/>
        <v>-434640</v>
      </c>
    </row>
    <row r="64" spans="1:5" s="506" customFormat="1" x14ac:dyDescent="0.2">
      <c r="A64" s="512">
        <v>7</v>
      </c>
      <c r="B64" s="511" t="s">
        <v>732</v>
      </c>
      <c r="C64" s="513">
        <v>0</v>
      </c>
      <c r="D64" s="515">
        <v>0</v>
      </c>
      <c r="E64" s="514">
        <f t="shared" si="5"/>
        <v>0</v>
      </c>
    </row>
    <row r="65" spans="1:5" s="506" customFormat="1" x14ac:dyDescent="0.2">
      <c r="A65" s="512"/>
      <c r="B65" s="516" t="s">
        <v>765</v>
      </c>
      <c r="C65" s="517">
        <f>SUM(C59+C60+C63)</f>
        <v>50130448</v>
      </c>
      <c r="D65" s="517">
        <f>SUM(D59+D60+D63)</f>
        <v>59197487</v>
      </c>
      <c r="E65" s="517">
        <f t="shared" si="5"/>
        <v>9067039</v>
      </c>
    </row>
    <row r="66" spans="1:5" s="506" customFormat="1" x14ac:dyDescent="0.2">
      <c r="A66" s="512"/>
      <c r="B66" s="516" t="s">
        <v>698</v>
      </c>
      <c r="C66" s="517">
        <f>SUM(C58+C65)</f>
        <v>148633330</v>
      </c>
      <c r="D66" s="517">
        <f>SUM(D58+D65)</f>
        <v>158295922</v>
      </c>
      <c r="E66" s="517">
        <f t="shared" si="5"/>
        <v>9662592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151125329</v>
      </c>
      <c r="D69" s="514">
        <f t="shared" si="6"/>
        <v>151294809</v>
      </c>
      <c r="E69" s="514">
        <f t="shared" ref="E69:E77" si="7">D69-C69</f>
        <v>169480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98441244</v>
      </c>
      <c r="D70" s="514">
        <f t="shared" si="6"/>
        <v>99961314</v>
      </c>
      <c r="E70" s="514">
        <f t="shared" si="7"/>
        <v>1520070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29805496</v>
      </c>
      <c r="D71" s="514">
        <f t="shared" si="6"/>
        <v>38586933</v>
      </c>
      <c r="E71" s="514">
        <f t="shared" si="7"/>
        <v>8781437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26012944</v>
      </c>
      <c r="D72" s="514">
        <f t="shared" si="6"/>
        <v>38001104</v>
      </c>
      <c r="E72" s="514">
        <f t="shared" si="7"/>
        <v>11988160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3792552</v>
      </c>
      <c r="D73" s="514">
        <f t="shared" si="6"/>
        <v>585829</v>
      </c>
      <c r="E73" s="514">
        <f t="shared" si="7"/>
        <v>-3206723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13029569</v>
      </c>
      <c r="D74" s="514">
        <f t="shared" si="6"/>
        <v>13177883</v>
      </c>
      <c r="E74" s="514">
        <f t="shared" si="7"/>
        <v>148314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0</v>
      </c>
      <c r="D75" s="514">
        <f t="shared" si="6"/>
        <v>0</v>
      </c>
      <c r="E75" s="514">
        <f t="shared" si="7"/>
        <v>0</v>
      </c>
    </row>
    <row r="76" spans="1:5" s="506" customFormat="1" x14ac:dyDescent="0.2">
      <c r="A76" s="512"/>
      <c r="B76" s="516" t="s">
        <v>766</v>
      </c>
      <c r="C76" s="517">
        <f>SUM(C70+C71+C74)</f>
        <v>141276309</v>
      </c>
      <c r="D76" s="517">
        <f>SUM(D70+D71+D74)</f>
        <v>151726130</v>
      </c>
      <c r="E76" s="517">
        <f t="shared" si="7"/>
        <v>10449821</v>
      </c>
    </row>
    <row r="77" spans="1:5" s="506" customFormat="1" x14ac:dyDescent="0.2">
      <c r="A77" s="512"/>
      <c r="B77" s="516" t="s">
        <v>700</v>
      </c>
      <c r="C77" s="517">
        <f>SUM(C69+C76)</f>
        <v>292401638</v>
      </c>
      <c r="D77" s="517">
        <f>SUM(D69+D76)</f>
        <v>303020939</v>
      </c>
      <c r="E77" s="517">
        <f t="shared" si="7"/>
        <v>10619301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0.1237605455202716</v>
      </c>
      <c r="D83" s="523">
        <f t="shared" si="8"/>
        <v>0.10923875385738165</v>
      </c>
      <c r="E83" s="523">
        <f t="shared" ref="E83:E91" si="9">D83-C83</f>
        <v>-1.4521791662889957E-2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0.23075989453178827</v>
      </c>
      <c r="D84" s="523">
        <f t="shared" si="8"/>
        <v>0.2357059881881706</v>
      </c>
      <c r="E84" s="523">
        <f t="shared" si="9"/>
        <v>4.9460936563823221E-3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7.2493547927685378E-2</v>
      </c>
      <c r="D85" s="523">
        <f t="shared" si="8"/>
        <v>7.4085910885356016E-2</v>
      </c>
      <c r="E85" s="523">
        <f t="shared" si="9"/>
        <v>1.5923629576706372E-3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5.9450936475437914E-2</v>
      </c>
      <c r="D86" s="523">
        <f t="shared" si="8"/>
        <v>7.2606844336776596E-2</v>
      </c>
      <c r="E86" s="523">
        <f t="shared" si="9"/>
        <v>1.3155907861338682E-2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1.3042611452247464E-2</v>
      </c>
      <c r="D87" s="523">
        <f t="shared" si="8"/>
        <v>1.4790665485794291E-3</v>
      </c>
      <c r="E87" s="523">
        <f t="shared" si="9"/>
        <v>-1.1563544903668035E-2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1.7261659626553721E-2</v>
      </c>
      <c r="D88" s="523">
        <f t="shared" si="8"/>
        <v>1.8505525099698876E-2</v>
      </c>
      <c r="E88" s="523">
        <f t="shared" si="9"/>
        <v>1.2438654731451552E-3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3.7833053152500169E-3</v>
      </c>
      <c r="D89" s="523">
        <f t="shared" si="8"/>
        <v>1.6726971703046212E-3</v>
      </c>
      <c r="E89" s="523">
        <f t="shared" si="9"/>
        <v>-2.1106081449453959E-3</v>
      </c>
    </row>
    <row r="90" spans="1:5" s="506" customFormat="1" x14ac:dyDescent="0.2">
      <c r="A90" s="512"/>
      <c r="B90" s="516" t="s">
        <v>769</v>
      </c>
      <c r="C90" s="524">
        <f>SUM(C84+C85+C88)</f>
        <v>0.3205151020860274</v>
      </c>
      <c r="D90" s="524">
        <f>SUM(D84+D85+D88)</f>
        <v>0.32829742417322549</v>
      </c>
      <c r="E90" s="525">
        <f t="shared" si="9"/>
        <v>7.7823220871980903E-3</v>
      </c>
    </row>
    <row r="91" spans="1:5" s="506" customFormat="1" x14ac:dyDescent="0.2">
      <c r="A91" s="512"/>
      <c r="B91" s="516" t="s">
        <v>770</v>
      </c>
      <c r="C91" s="524">
        <f>SUM(C83+C90)</f>
        <v>0.44427564760629901</v>
      </c>
      <c r="D91" s="524">
        <f>SUM(D83+D90)</f>
        <v>0.43753617803060713</v>
      </c>
      <c r="E91" s="525">
        <f t="shared" si="9"/>
        <v>-6.739469575691881E-3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0.27814899861580861</v>
      </c>
      <c r="D95" s="523">
        <f t="shared" si="10"/>
        <v>0.27226621621858715</v>
      </c>
      <c r="E95" s="523">
        <f t="shared" ref="E95:E103" si="11">D95-C95</f>
        <v>-5.8827823972214532E-3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0.15928882812453046</v>
      </c>
      <c r="D96" s="523">
        <f t="shared" si="10"/>
        <v>0.16293503100576484</v>
      </c>
      <c r="E96" s="523">
        <f t="shared" si="11"/>
        <v>3.6462028812343783E-3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8.1595720182595782E-2</v>
      </c>
      <c r="D97" s="523">
        <f t="shared" si="10"/>
        <v>9.2439057045295411E-2</v>
      </c>
      <c r="E97" s="523">
        <f t="shared" si="11"/>
        <v>1.0843336862699629E-2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6.7551072007951574E-2</v>
      </c>
      <c r="D98" s="523">
        <f t="shared" si="10"/>
        <v>9.1042991470215759E-2</v>
      </c>
      <c r="E98" s="523">
        <f t="shared" si="11"/>
        <v>2.3491919462264185E-2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1.4044648174644205E-2</v>
      </c>
      <c r="D99" s="523">
        <f t="shared" si="10"/>
        <v>1.3960655750796644E-3</v>
      </c>
      <c r="E99" s="523">
        <f t="shared" si="11"/>
        <v>-1.2648582599564541E-2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3.6690805470766176E-2</v>
      </c>
      <c r="D100" s="523">
        <f t="shared" si="10"/>
        <v>3.4823517699745475E-2</v>
      </c>
      <c r="E100" s="523">
        <f t="shared" si="11"/>
        <v>-1.8672877710207009E-3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1.6122953021601619E-2</v>
      </c>
      <c r="D101" s="523">
        <f t="shared" si="10"/>
        <v>1.6502564912638816E-2</v>
      </c>
      <c r="E101" s="523">
        <f t="shared" si="11"/>
        <v>3.7961189103719734E-4</v>
      </c>
    </row>
    <row r="102" spans="1:5" s="506" customFormat="1" x14ac:dyDescent="0.2">
      <c r="A102" s="512"/>
      <c r="B102" s="516" t="s">
        <v>772</v>
      </c>
      <c r="C102" s="524">
        <f>SUM(C96+C97+C100)</f>
        <v>0.27757535377789244</v>
      </c>
      <c r="D102" s="524">
        <f>SUM(D96+D97+D100)</f>
        <v>0.29019760575080572</v>
      </c>
      <c r="E102" s="525">
        <f t="shared" si="11"/>
        <v>1.2622251972913279E-2</v>
      </c>
    </row>
    <row r="103" spans="1:5" s="506" customFormat="1" x14ac:dyDescent="0.2">
      <c r="A103" s="512"/>
      <c r="B103" s="516" t="s">
        <v>773</v>
      </c>
      <c r="C103" s="524">
        <f>SUM(C95+C102)</f>
        <v>0.55572435239370099</v>
      </c>
      <c r="D103" s="524">
        <f>SUM(D95+D102)</f>
        <v>0.56246382196939293</v>
      </c>
      <c r="E103" s="525">
        <f t="shared" si="11"/>
        <v>6.7394695756919365E-3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0.17996632084530251</v>
      </c>
      <c r="D109" s="523">
        <f t="shared" si="12"/>
        <v>0.17225335705266229</v>
      </c>
      <c r="E109" s="523">
        <f t="shared" ref="E109:E117" si="13">D109-C109</f>
        <v>-7.7129637926402206E-3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0.24903796195560299</v>
      </c>
      <c r="D110" s="523">
        <f t="shared" si="12"/>
        <v>0.22815318713008145</v>
      </c>
      <c r="E110" s="523">
        <f t="shared" si="13"/>
        <v>-2.0884774825521535E-2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4.8287821150988217E-2</v>
      </c>
      <c r="D111" s="523">
        <f t="shared" si="12"/>
        <v>6.1392394404797219E-2</v>
      </c>
      <c r="E111" s="523">
        <f t="shared" si="13"/>
        <v>1.3104573253809003E-2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4.2287478567408027E-2</v>
      </c>
      <c r="D112" s="523">
        <f t="shared" si="12"/>
        <v>6.0959850038613997E-2</v>
      </c>
      <c r="E112" s="523">
        <f t="shared" si="13"/>
        <v>1.867237147120597E-2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6.0003425835801916E-3</v>
      </c>
      <c r="D113" s="523">
        <f t="shared" si="12"/>
        <v>4.3254436618322273E-4</v>
      </c>
      <c r="E113" s="523">
        <f t="shared" si="13"/>
        <v>-5.567798217396969E-3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1.438882158382437E-2</v>
      </c>
      <c r="D114" s="523">
        <f t="shared" si="12"/>
        <v>1.5808376199375449E-2</v>
      </c>
      <c r="E114" s="523">
        <f t="shared" si="13"/>
        <v>1.4195546155510788E-3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0</v>
      </c>
      <c r="D115" s="523">
        <f t="shared" si="12"/>
        <v>0</v>
      </c>
      <c r="E115" s="523">
        <f t="shared" si="13"/>
        <v>0</v>
      </c>
    </row>
    <row r="116" spans="1:5" s="506" customFormat="1" x14ac:dyDescent="0.2">
      <c r="A116" s="512"/>
      <c r="B116" s="516" t="s">
        <v>769</v>
      </c>
      <c r="C116" s="524">
        <f>SUM(C110+C111+C114)</f>
        <v>0.31171460469041556</v>
      </c>
      <c r="D116" s="524">
        <f>SUM(D110+D111+D114)</f>
        <v>0.30535395773425417</v>
      </c>
      <c r="E116" s="525">
        <f t="shared" si="13"/>
        <v>-6.3606469561613976E-3</v>
      </c>
    </row>
    <row r="117" spans="1:5" s="506" customFormat="1" x14ac:dyDescent="0.2">
      <c r="A117" s="512"/>
      <c r="B117" s="516" t="s">
        <v>770</v>
      </c>
      <c r="C117" s="524">
        <f>SUM(C109+C116)</f>
        <v>0.49168092553571807</v>
      </c>
      <c r="D117" s="524">
        <f>SUM(D109+D116)</f>
        <v>0.47760731478691643</v>
      </c>
      <c r="E117" s="525">
        <f t="shared" si="13"/>
        <v>-1.4073610748801646E-2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0.33687527427599429</v>
      </c>
      <c r="D121" s="523">
        <f t="shared" si="14"/>
        <v>0.32703494130483174</v>
      </c>
      <c r="E121" s="523">
        <f t="shared" ref="E121:E129" si="15">D121-C121</f>
        <v>-9.8403329711625465E-3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8.7626513227672134E-2</v>
      </c>
      <c r="D122" s="523">
        <f t="shared" si="14"/>
        <v>0.10172934286894279</v>
      </c>
      <c r="E122" s="523">
        <f t="shared" si="15"/>
        <v>1.4102829641270659E-2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5.3645588674848671E-2</v>
      </c>
      <c r="D123" s="523">
        <f t="shared" si="14"/>
        <v>6.5948419491895241E-2</v>
      </c>
      <c r="E123" s="523">
        <f t="shared" si="15"/>
        <v>1.230283081704657E-2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4.6675579840630033E-2</v>
      </c>
      <c r="D124" s="523">
        <f t="shared" si="14"/>
        <v>6.4447668416736048E-2</v>
      </c>
      <c r="E124" s="523">
        <f t="shared" si="15"/>
        <v>1.7772088576106015E-2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6.9700088342186375E-3</v>
      </c>
      <c r="D125" s="523">
        <f t="shared" si="14"/>
        <v>1.5007510751591988E-3</v>
      </c>
      <c r="E125" s="523">
        <f t="shared" si="15"/>
        <v>-5.4692577590594385E-3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3.0171698285766786E-2</v>
      </c>
      <c r="D126" s="523">
        <f t="shared" si="14"/>
        <v>2.7679981547413791E-2</v>
      </c>
      <c r="E126" s="523">
        <f t="shared" si="15"/>
        <v>-2.4917167383529948E-3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0</v>
      </c>
      <c r="D127" s="523">
        <f t="shared" si="14"/>
        <v>0</v>
      </c>
      <c r="E127" s="523">
        <f t="shared" si="15"/>
        <v>0</v>
      </c>
    </row>
    <row r="128" spans="1:5" s="506" customFormat="1" x14ac:dyDescent="0.2">
      <c r="A128" s="512"/>
      <c r="B128" s="516" t="s">
        <v>772</v>
      </c>
      <c r="C128" s="524">
        <f>SUM(C122+C123+C126)</f>
        <v>0.17144380018828762</v>
      </c>
      <c r="D128" s="524">
        <f>SUM(D122+D123+D126)</f>
        <v>0.19535774390825184</v>
      </c>
      <c r="E128" s="525">
        <f t="shared" si="15"/>
        <v>2.391394371996422E-2</v>
      </c>
    </row>
    <row r="129" spans="1:5" s="506" customFormat="1" x14ac:dyDescent="0.2">
      <c r="A129" s="512"/>
      <c r="B129" s="516" t="s">
        <v>773</v>
      </c>
      <c r="C129" s="524">
        <f>SUM(C121+C128)</f>
        <v>0.50831907446428193</v>
      </c>
      <c r="D129" s="524">
        <f>SUM(D121+D128)</f>
        <v>0.52239268521308357</v>
      </c>
      <c r="E129" s="525">
        <f t="shared" si="15"/>
        <v>1.4073610748801646E-2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4669</v>
      </c>
      <c r="D137" s="530">
        <v>4292</v>
      </c>
      <c r="E137" s="531">
        <f t="shared" ref="E137:E145" si="16">D137-C137</f>
        <v>-377</v>
      </c>
    </row>
    <row r="138" spans="1:5" s="506" customFormat="1" x14ac:dyDescent="0.2">
      <c r="A138" s="512">
        <v>2</v>
      </c>
      <c r="B138" s="511" t="s">
        <v>604</v>
      </c>
      <c r="C138" s="530">
        <v>6829</v>
      </c>
      <c r="D138" s="530">
        <v>6897</v>
      </c>
      <c r="E138" s="531">
        <f t="shared" si="16"/>
        <v>68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3012</v>
      </c>
      <c r="D139" s="530">
        <f>D140+D141</f>
        <v>3249</v>
      </c>
      <c r="E139" s="531">
        <f t="shared" si="16"/>
        <v>237</v>
      </c>
    </row>
    <row r="140" spans="1:5" s="506" customFormat="1" x14ac:dyDescent="0.2">
      <c r="A140" s="512">
        <v>4</v>
      </c>
      <c r="B140" s="511" t="s">
        <v>114</v>
      </c>
      <c r="C140" s="530">
        <v>2568</v>
      </c>
      <c r="D140" s="530">
        <v>3192</v>
      </c>
      <c r="E140" s="531">
        <f t="shared" si="16"/>
        <v>624</v>
      </c>
    </row>
    <row r="141" spans="1:5" s="506" customFormat="1" x14ac:dyDescent="0.2">
      <c r="A141" s="512">
        <v>5</v>
      </c>
      <c r="B141" s="511" t="s">
        <v>717</v>
      </c>
      <c r="C141" s="530">
        <v>444</v>
      </c>
      <c r="D141" s="530">
        <v>57</v>
      </c>
      <c r="E141" s="531">
        <f t="shared" si="16"/>
        <v>-387</v>
      </c>
    </row>
    <row r="142" spans="1:5" s="506" customFormat="1" x14ac:dyDescent="0.2">
      <c r="A142" s="512">
        <v>6</v>
      </c>
      <c r="B142" s="511" t="s">
        <v>416</v>
      </c>
      <c r="C142" s="530">
        <v>954</v>
      </c>
      <c r="D142" s="530">
        <v>890</v>
      </c>
      <c r="E142" s="531">
        <f t="shared" si="16"/>
        <v>-64</v>
      </c>
    </row>
    <row r="143" spans="1:5" s="506" customFormat="1" x14ac:dyDescent="0.2">
      <c r="A143" s="512">
        <v>7</v>
      </c>
      <c r="B143" s="511" t="s">
        <v>732</v>
      </c>
      <c r="C143" s="530">
        <v>168</v>
      </c>
      <c r="D143" s="530">
        <v>89</v>
      </c>
      <c r="E143" s="531">
        <f t="shared" si="16"/>
        <v>-79</v>
      </c>
    </row>
    <row r="144" spans="1:5" s="506" customFormat="1" x14ac:dyDescent="0.2">
      <c r="A144" s="512"/>
      <c r="B144" s="516" t="s">
        <v>780</v>
      </c>
      <c r="C144" s="532">
        <f>SUM(C138+C139+C142)</f>
        <v>10795</v>
      </c>
      <c r="D144" s="532">
        <f>SUM(D138+D139+D142)</f>
        <v>11036</v>
      </c>
      <c r="E144" s="533">
        <f t="shared" si="16"/>
        <v>241</v>
      </c>
    </row>
    <row r="145" spans="1:5" s="506" customFormat="1" x14ac:dyDescent="0.2">
      <c r="A145" s="512"/>
      <c r="B145" s="516" t="s">
        <v>694</v>
      </c>
      <c r="C145" s="532">
        <f>SUM(C137+C144)</f>
        <v>15464</v>
      </c>
      <c r="D145" s="532">
        <f>SUM(D137+D144)</f>
        <v>15328</v>
      </c>
      <c r="E145" s="533">
        <f t="shared" si="16"/>
        <v>-136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17445</v>
      </c>
      <c r="D149" s="534">
        <v>16534</v>
      </c>
      <c r="E149" s="531">
        <f t="shared" ref="E149:E157" si="17">D149-C149</f>
        <v>-911</v>
      </c>
    </row>
    <row r="150" spans="1:5" s="506" customFormat="1" x14ac:dyDescent="0.2">
      <c r="A150" s="512">
        <v>2</v>
      </c>
      <c r="B150" s="511" t="s">
        <v>604</v>
      </c>
      <c r="C150" s="534">
        <v>38032</v>
      </c>
      <c r="D150" s="534">
        <v>40206</v>
      </c>
      <c r="E150" s="531">
        <f t="shared" si="17"/>
        <v>2174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13488</v>
      </c>
      <c r="D151" s="534">
        <f>D152+D153</f>
        <v>14396</v>
      </c>
      <c r="E151" s="531">
        <f t="shared" si="17"/>
        <v>908</v>
      </c>
    </row>
    <row r="152" spans="1:5" s="506" customFormat="1" x14ac:dyDescent="0.2">
      <c r="A152" s="512">
        <v>4</v>
      </c>
      <c r="B152" s="511" t="s">
        <v>114</v>
      </c>
      <c r="C152" s="534">
        <v>11334</v>
      </c>
      <c r="D152" s="534">
        <v>14089</v>
      </c>
      <c r="E152" s="531">
        <f t="shared" si="17"/>
        <v>2755</v>
      </c>
    </row>
    <row r="153" spans="1:5" s="506" customFormat="1" x14ac:dyDescent="0.2">
      <c r="A153" s="512">
        <v>5</v>
      </c>
      <c r="B153" s="511" t="s">
        <v>717</v>
      </c>
      <c r="C153" s="535">
        <v>2154</v>
      </c>
      <c r="D153" s="534">
        <v>307</v>
      </c>
      <c r="E153" s="531">
        <f t="shared" si="17"/>
        <v>-1847</v>
      </c>
    </row>
    <row r="154" spans="1:5" s="506" customFormat="1" x14ac:dyDescent="0.2">
      <c r="A154" s="512">
        <v>6</v>
      </c>
      <c r="B154" s="511" t="s">
        <v>416</v>
      </c>
      <c r="C154" s="534">
        <v>2796</v>
      </c>
      <c r="D154" s="534">
        <v>2946</v>
      </c>
      <c r="E154" s="531">
        <f t="shared" si="17"/>
        <v>150</v>
      </c>
    </row>
    <row r="155" spans="1:5" s="506" customFormat="1" x14ac:dyDescent="0.2">
      <c r="A155" s="512">
        <v>7</v>
      </c>
      <c r="B155" s="511" t="s">
        <v>732</v>
      </c>
      <c r="C155" s="534">
        <v>636</v>
      </c>
      <c r="D155" s="534">
        <v>334</v>
      </c>
      <c r="E155" s="531">
        <f t="shared" si="17"/>
        <v>-302</v>
      </c>
    </row>
    <row r="156" spans="1:5" s="506" customFormat="1" x14ac:dyDescent="0.2">
      <c r="A156" s="512"/>
      <c r="B156" s="516" t="s">
        <v>781</v>
      </c>
      <c r="C156" s="532">
        <f>SUM(C150+C151+C154)</f>
        <v>54316</v>
      </c>
      <c r="D156" s="532">
        <f>SUM(D150+D151+D154)</f>
        <v>57548</v>
      </c>
      <c r="E156" s="533">
        <f t="shared" si="17"/>
        <v>3232</v>
      </c>
    </row>
    <row r="157" spans="1:5" s="506" customFormat="1" x14ac:dyDescent="0.2">
      <c r="A157" s="512"/>
      <c r="B157" s="516" t="s">
        <v>782</v>
      </c>
      <c r="C157" s="532">
        <f>SUM(C149+C156)</f>
        <v>71761</v>
      </c>
      <c r="D157" s="532">
        <f>SUM(D149+D156)</f>
        <v>74082</v>
      </c>
      <c r="E157" s="533">
        <f t="shared" si="17"/>
        <v>2321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3.7363461126579569</v>
      </c>
      <c r="D161" s="536">
        <f t="shared" si="18"/>
        <v>3.8522833178005591</v>
      </c>
      <c r="E161" s="537">
        <f t="shared" ref="E161:E169" si="19">D161-C161</f>
        <v>0.1159372051426022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5.5691902181871429</v>
      </c>
      <c r="D162" s="536">
        <f t="shared" si="18"/>
        <v>5.8294910830796001</v>
      </c>
      <c r="E162" s="537">
        <f t="shared" si="19"/>
        <v>0.26030086489245718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4.47808764940239</v>
      </c>
      <c r="D163" s="536">
        <f t="shared" si="18"/>
        <v>4.4309018159433675</v>
      </c>
      <c r="E163" s="537">
        <f t="shared" si="19"/>
        <v>-4.7185833459022497E-2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4.4135514018691593</v>
      </c>
      <c r="D164" s="536">
        <f t="shared" si="18"/>
        <v>4.4138471177944858</v>
      </c>
      <c r="E164" s="537">
        <f t="shared" si="19"/>
        <v>2.9571592532651181E-4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4.8513513513513518</v>
      </c>
      <c r="D165" s="536">
        <f t="shared" si="18"/>
        <v>5.3859649122807021</v>
      </c>
      <c r="E165" s="537">
        <f t="shared" si="19"/>
        <v>0.53461356092935031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2.9308176100628929</v>
      </c>
      <c r="D166" s="536">
        <f t="shared" si="18"/>
        <v>3.3101123595505619</v>
      </c>
      <c r="E166" s="537">
        <f t="shared" si="19"/>
        <v>0.37929474948766906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3.7857142857142856</v>
      </c>
      <c r="D167" s="536">
        <f t="shared" si="18"/>
        <v>3.7528089887640448</v>
      </c>
      <c r="E167" s="537">
        <f t="shared" si="19"/>
        <v>-3.2905296950240803E-2</v>
      </c>
    </row>
    <row r="168" spans="1:5" s="506" customFormat="1" x14ac:dyDescent="0.2">
      <c r="A168" s="512"/>
      <c r="B168" s="516" t="s">
        <v>784</v>
      </c>
      <c r="C168" s="538">
        <f t="shared" si="18"/>
        <v>5.0315886984715146</v>
      </c>
      <c r="D168" s="538">
        <f t="shared" si="18"/>
        <v>5.2145704965567239</v>
      </c>
      <c r="E168" s="539">
        <f t="shared" si="19"/>
        <v>0.18298179808520931</v>
      </c>
    </row>
    <row r="169" spans="1:5" s="506" customFormat="1" x14ac:dyDescent="0.2">
      <c r="A169" s="512"/>
      <c r="B169" s="516" t="s">
        <v>718</v>
      </c>
      <c r="C169" s="538">
        <f t="shared" si="18"/>
        <v>4.6405199172271079</v>
      </c>
      <c r="D169" s="538">
        <f t="shared" si="18"/>
        <v>4.8331158663883089</v>
      </c>
      <c r="E169" s="539">
        <f t="shared" si="19"/>
        <v>0.19259594916120104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1.0587</v>
      </c>
      <c r="D173" s="541">
        <f t="shared" si="20"/>
        <v>1.1148</v>
      </c>
      <c r="E173" s="542">
        <f t="shared" ref="E173:E181" si="21">D173-C173</f>
        <v>5.6100000000000039E-2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1.4488999999999999</v>
      </c>
      <c r="D174" s="541">
        <f t="shared" si="20"/>
        <v>1.4369999999999998</v>
      </c>
      <c r="E174" s="542">
        <f t="shared" si="21"/>
        <v>-1.1900000000000022E-2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0.92398247011952184</v>
      </c>
      <c r="D175" s="541">
        <f t="shared" si="20"/>
        <v>0.95108771929824554</v>
      </c>
      <c r="E175" s="542">
        <f t="shared" si="21"/>
        <v>2.71052491787237E-2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0.89309999999999989</v>
      </c>
      <c r="D176" s="541">
        <f t="shared" si="20"/>
        <v>0.95279999999999998</v>
      </c>
      <c r="E176" s="542">
        <f t="shared" si="21"/>
        <v>5.9700000000000086E-2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1.1026</v>
      </c>
      <c r="D177" s="541">
        <f t="shared" si="20"/>
        <v>0.85519999999999985</v>
      </c>
      <c r="E177" s="542">
        <f t="shared" si="21"/>
        <v>-0.24740000000000018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0.73019999999999996</v>
      </c>
      <c r="D178" s="541">
        <f t="shared" si="20"/>
        <v>0.90339999999999998</v>
      </c>
      <c r="E178" s="542">
        <f t="shared" si="21"/>
        <v>0.17320000000000002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0.91869999999999996</v>
      </c>
      <c r="D179" s="541">
        <f t="shared" si="20"/>
        <v>0.89100000000000013</v>
      </c>
      <c r="E179" s="542">
        <f t="shared" si="21"/>
        <v>-2.7699999999999836E-2</v>
      </c>
    </row>
    <row r="180" spans="1:5" s="506" customFormat="1" x14ac:dyDescent="0.2">
      <c r="A180" s="512"/>
      <c r="B180" s="516" t="s">
        <v>786</v>
      </c>
      <c r="C180" s="543">
        <f t="shared" si="20"/>
        <v>1.23892395553497</v>
      </c>
      <c r="D180" s="543">
        <f t="shared" si="20"/>
        <v>1.2509150960492932</v>
      </c>
      <c r="E180" s="544">
        <f t="shared" si="21"/>
        <v>1.1991140514323151E-2</v>
      </c>
    </row>
    <row r="181" spans="1:5" s="506" customFormat="1" x14ac:dyDescent="0.2">
      <c r="A181" s="512"/>
      <c r="B181" s="516" t="s">
        <v>695</v>
      </c>
      <c r="C181" s="543">
        <f t="shared" si="20"/>
        <v>1.1845094671495087</v>
      </c>
      <c r="D181" s="543">
        <f t="shared" si="20"/>
        <v>1.2128014483298537</v>
      </c>
      <c r="E181" s="544">
        <f t="shared" si="21"/>
        <v>2.8291981180345038E-2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788</v>
      </c>
      <c r="C185" s="513">
        <v>224291485</v>
      </c>
      <c r="D185" s="513">
        <v>240219404</v>
      </c>
      <c r="E185" s="514">
        <f>D185-C185</f>
        <v>15927919</v>
      </c>
    </row>
    <row r="186" spans="1:5" s="506" customFormat="1" ht="25.5" x14ac:dyDescent="0.2">
      <c r="A186" s="512">
        <v>2</v>
      </c>
      <c r="B186" s="511" t="s">
        <v>789</v>
      </c>
      <c r="C186" s="513">
        <v>149127437</v>
      </c>
      <c r="D186" s="513">
        <v>151294809</v>
      </c>
      <c r="E186" s="514">
        <f>D186-C186</f>
        <v>2167372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75164048</v>
      </c>
      <c r="D188" s="546">
        <f>+D185-D186</f>
        <v>88924595</v>
      </c>
      <c r="E188" s="514">
        <f t="shared" ref="E188:E197" si="22">D188-C188</f>
        <v>13760547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0.33511770631863264</v>
      </c>
      <c r="D189" s="547">
        <f>IF(D185=0,0,+D188/D185)</f>
        <v>0.37018073277710739</v>
      </c>
      <c r="E189" s="523">
        <f t="shared" si="22"/>
        <v>3.5063026458474755E-2</v>
      </c>
    </row>
    <row r="190" spans="1:5" s="506" customFormat="1" x14ac:dyDescent="0.2">
      <c r="A190" s="512">
        <v>5</v>
      </c>
      <c r="B190" s="511" t="s">
        <v>736</v>
      </c>
      <c r="C190" s="513">
        <v>12440436</v>
      </c>
      <c r="D190" s="513">
        <v>15323591</v>
      </c>
      <c r="E190" s="546">
        <f t="shared" si="22"/>
        <v>2883155</v>
      </c>
    </row>
    <row r="191" spans="1:5" s="506" customFormat="1" x14ac:dyDescent="0.2">
      <c r="A191" s="512">
        <v>6</v>
      </c>
      <c r="B191" s="511" t="s">
        <v>722</v>
      </c>
      <c r="C191" s="513">
        <v>7349828</v>
      </c>
      <c r="D191" s="513">
        <v>7910671</v>
      </c>
      <c r="E191" s="546">
        <f t="shared" si="22"/>
        <v>560843</v>
      </c>
    </row>
    <row r="192" spans="1:5" ht="29.25" x14ac:dyDescent="0.2">
      <c r="A192" s="512">
        <v>7</v>
      </c>
      <c r="B192" s="548" t="s">
        <v>790</v>
      </c>
      <c r="C192" s="513">
        <v>1906334</v>
      </c>
      <c r="D192" s="513">
        <v>0</v>
      </c>
      <c r="E192" s="546">
        <f t="shared" si="22"/>
        <v>-1906334</v>
      </c>
    </row>
    <row r="193" spans="1:5" s="506" customFormat="1" x14ac:dyDescent="0.2">
      <c r="A193" s="512">
        <v>8</v>
      </c>
      <c r="B193" s="511" t="s">
        <v>791</v>
      </c>
      <c r="C193" s="513">
        <v>3153445</v>
      </c>
      <c r="D193" s="513">
        <v>3148344</v>
      </c>
      <c r="E193" s="546">
        <f t="shared" si="22"/>
        <v>-5101</v>
      </c>
    </row>
    <row r="194" spans="1:5" s="506" customFormat="1" x14ac:dyDescent="0.2">
      <c r="A194" s="512">
        <v>9</v>
      </c>
      <c r="B194" s="511" t="s">
        <v>792</v>
      </c>
      <c r="C194" s="513">
        <v>14381177</v>
      </c>
      <c r="D194" s="513">
        <v>13865210</v>
      </c>
      <c r="E194" s="546">
        <f t="shared" si="22"/>
        <v>-515967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17534622</v>
      </c>
      <c r="D195" s="513">
        <f>+D193+D194</f>
        <v>17013554</v>
      </c>
      <c r="E195" s="549">
        <f t="shared" si="22"/>
        <v>-521068</v>
      </c>
    </row>
    <row r="196" spans="1:5" s="506" customFormat="1" x14ac:dyDescent="0.2">
      <c r="A196" s="512">
        <v>11</v>
      </c>
      <c r="B196" s="511" t="s">
        <v>794</v>
      </c>
      <c r="C196" s="513">
        <v>224291485</v>
      </c>
      <c r="D196" s="513">
        <v>240219404</v>
      </c>
      <c r="E196" s="546">
        <f t="shared" si="22"/>
        <v>15927919</v>
      </c>
    </row>
    <row r="197" spans="1:5" s="506" customFormat="1" x14ac:dyDescent="0.2">
      <c r="A197" s="512">
        <v>12</v>
      </c>
      <c r="B197" s="511" t="s">
        <v>679</v>
      </c>
      <c r="C197" s="513">
        <v>299648936</v>
      </c>
      <c r="D197" s="513">
        <v>312331109</v>
      </c>
      <c r="E197" s="546">
        <f t="shared" si="22"/>
        <v>12682173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4943.0703000000003</v>
      </c>
      <c r="D203" s="553">
        <v>4784.7215999999999</v>
      </c>
      <c r="E203" s="554">
        <f t="shared" ref="E203:E211" si="23">D203-C203</f>
        <v>-158.34870000000046</v>
      </c>
    </row>
    <row r="204" spans="1:5" s="506" customFormat="1" x14ac:dyDescent="0.2">
      <c r="A204" s="512">
        <v>2</v>
      </c>
      <c r="B204" s="511" t="s">
        <v>604</v>
      </c>
      <c r="C204" s="553">
        <v>9894.5380999999998</v>
      </c>
      <c r="D204" s="553">
        <v>9910.9889999999996</v>
      </c>
      <c r="E204" s="554">
        <f t="shared" si="23"/>
        <v>16.45089999999982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2783.0351999999998</v>
      </c>
      <c r="D205" s="553">
        <f>D206+D207</f>
        <v>3090.0839999999998</v>
      </c>
      <c r="E205" s="554">
        <f t="shared" si="23"/>
        <v>307.04880000000003</v>
      </c>
    </row>
    <row r="206" spans="1:5" s="506" customFormat="1" x14ac:dyDescent="0.2">
      <c r="A206" s="512">
        <v>4</v>
      </c>
      <c r="B206" s="511" t="s">
        <v>114</v>
      </c>
      <c r="C206" s="553">
        <v>2293.4807999999998</v>
      </c>
      <c r="D206" s="553">
        <v>3041.3375999999998</v>
      </c>
      <c r="E206" s="554">
        <f t="shared" si="23"/>
        <v>747.85680000000002</v>
      </c>
    </row>
    <row r="207" spans="1:5" s="506" customFormat="1" x14ac:dyDescent="0.2">
      <c r="A207" s="512">
        <v>5</v>
      </c>
      <c r="B207" s="511" t="s">
        <v>717</v>
      </c>
      <c r="C207" s="553">
        <v>489.55439999999999</v>
      </c>
      <c r="D207" s="553">
        <v>48.746399999999994</v>
      </c>
      <c r="E207" s="554">
        <f t="shared" si="23"/>
        <v>-440.80799999999999</v>
      </c>
    </row>
    <row r="208" spans="1:5" s="506" customFormat="1" x14ac:dyDescent="0.2">
      <c r="A208" s="512">
        <v>6</v>
      </c>
      <c r="B208" s="511" t="s">
        <v>416</v>
      </c>
      <c r="C208" s="553">
        <v>696.61079999999993</v>
      </c>
      <c r="D208" s="553">
        <v>804.02599999999995</v>
      </c>
      <c r="E208" s="554">
        <f t="shared" si="23"/>
        <v>107.41520000000003</v>
      </c>
    </row>
    <row r="209" spans="1:5" s="506" customFormat="1" x14ac:dyDescent="0.2">
      <c r="A209" s="512">
        <v>7</v>
      </c>
      <c r="B209" s="511" t="s">
        <v>732</v>
      </c>
      <c r="C209" s="553">
        <v>154.3416</v>
      </c>
      <c r="D209" s="553">
        <v>79.299000000000007</v>
      </c>
      <c r="E209" s="554">
        <f t="shared" si="23"/>
        <v>-75.042599999999993</v>
      </c>
    </row>
    <row r="210" spans="1:5" s="506" customFormat="1" x14ac:dyDescent="0.2">
      <c r="A210" s="512"/>
      <c r="B210" s="516" t="s">
        <v>797</v>
      </c>
      <c r="C210" s="555">
        <f>C204+C205+C208</f>
        <v>13374.1841</v>
      </c>
      <c r="D210" s="555">
        <f>D204+D205+D208</f>
        <v>13805.099</v>
      </c>
      <c r="E210" s="556">
        <f t="shared" si="23"/>
        <v>430.91489999999976</v>
      </c>
    </row>
    <row r="211" spans="1:5" s="506" customFormat="1" x14ac:dyDescent="0.2">
      <c r="A211" s="512"/>
      <c r="B211" s="516" t="s">
        <v>696</v>
      </c>
      <c r="C211" s="555">
        <f>C210+C203</f>
        <v>18317.254400000002</v>
      </c>
      <c r="D211" s="555">
        <f>D210+D203</f>
        <v>18589.820599999999</v>
      </c>
      <c r="E211" s="556">
        <f t="shared" si="23"/>
        <v>272.56619999999748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10493.470831740078</v>
      </c>
      <c r="D215" s="557">
        <f>IF(D14*D137=0,0,D25/D14*D137)</f>
        <v>10697.362966404909</v>
      </c>
      <c r="E215" s="557">
        <f t="shared" ref="E215:E223" si="24">D215-C215</f>
        <v>203.89213466483125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4713.9188092867289</v>
      </c>
      <c r="D216" s="557">
        <f>IF(D15*D138=0,0,D26/D15*D138)</f>
        <v>4767.6468361492334</v>
      </c>
      <c r="E216" s="557">
        <f t="shared" si="24"/>
        <v>53.728026862504521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3395.9992400952933</v>
      </c>
      <c r="D217" s="557">
        <f>D218+D219</f>
        <v>4056.3059279023059</v>
      </c>
      <c r="E217" s="557">
        <f t="shared" si="24"/>
        <v>660.30668780701262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2917.8876431675562</v>
      </c>
      <c r="D218" s="557">
        <f t="shared" si="25"/>
        <v>4002.5046044554538</v>
      </c>
      <c r="E218" s="557">
        <f t="shared" si="24"/>
        <v>1084.6169612878975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478.11159692773708</v>
      </c>
      <c r="D219" s="557">
        <f t="shared" si="25"/>
        <v>53.801323446851981</v>
      </c>
      <c r="E219" s="557">
        <f t="shared" si="24"/>
        <v>-424.31027348088509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2027.7904428879797</v>
      </c>
      <c r="D220" s="557">
        <f t="shared" si="25"/>
        <v>1674.7933704014588</v>
      </c>
      <c r="E220" s="557">
        <f t="shared" si="24"/>
        <v>-352.99707248652089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715.94964770906211</v>
      </c>
      <c r="D221" s="557">
        <f t="shared" si="25"/>
        <v>878.05988035322559</v>
      </c>
      <c r="E221" s="557">
        <f t="shared" si="24"/>
        <v>162.11023264416349</v>
      </c>
    </row>
    <row r="222" spans="1:5" s="506" customFormat="1" x14ac:dyDescent="0.2">
      <c r="A222" s="512"/>
      <c r="B222" s="516" t="s">
        <v>799</v>
      </c>
      <c r="C222" s="558">
        <f>C216+C218+C219+C220</f>
        <v>10137.708492270001</v>
      </c>
      <c r="D222" s="558">
        <f>D216+D218+D219+D220</f>
        <v>10498.746134453</v>
      </c>
      <c r="E222" s="558">
        <f t="shared" si="24"/>
        <v>361.03764218299875</v>
      </c>
    </row>
    <row r="223" spans="1:5" s="506" customFormat="1" x14ac:dyDescent="0.2">
      <c r="A223" s="512"/>
      <c r="B223" s="516" t="s">
        <v>800</v>
      </c>
      <c r="C223" s="558">
        <f>C215+C222</f>
        <v>20631.179324010081</v>
      </c>
      <c r="D223" s="558">
        <f>D215+D222</f>
        <v>21196.10910085791</v>
      </c>
      <c r="E223" s="558">
        <f t="shared" si="24"/>
        <v>564.92977684782818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10645.700709536743</v>
      </c>
      <c r="D227" s="560">
        <f t="shared" si="26"/>
        <v>10908.967827929633</v>
      </c>
      <c r="E227" s="560">
        <f t="shared" ref="E227:E235" si="27">D227-C227</f>
        <v>263.26711839289055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7359.5257569426112</v>
      </c>
      <c r="D228" s="560">
        <f t="shared" si="26"/>
        <v>6975.6099012923942</v>
      </c>
      <c r="E228" s="560">
        <f t="shared" si="27"/>
        <v>-383.91585565021705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5073.3954065690587</v>
      </c>
      <c r="D229" s="560">
        <f t="shared" si="26"/>
        <v>6020.2832673804342</v>
      </c>
      <c r="E229" s="560">
        <f t="shared" si="27"/>
        <v>946.8878608113755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5391.3370454202195</v>
      </c>
      <c r="D230" s="560">
        <f t="shared" si="26"/>
        <v>6073.6798834828469</v>
      </c>
      <c r="E230" s="560">
        <f t="shared" si="27"/>
        <v>682.34283806262738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3583.8918003801009</v>
      </c>
      <c r="D231" s="560">
        <f t="shared" si="26"/>
        <v>2688.813943183497</v>
      </c>
      <c r="E231" s="560">
        <f t="shared" si="27"/>
        <v>-895.07785719660387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6039.6924652905191</v>
      </c>
      <c r="D232" s="560">
        <f t="shared" si="26"/>
        <v>5957.8533530010227</v>
      </c>
      <c r="E232" s="560">
        <f t="shared" si="27"/>
        <v>-81.83911228949637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0</v>
      </c>
      <c r="D233" s="560">
        <f t="shared" si="26"/>
        <v>0</v>
      </c>
      <c r="E233" s="560">
        <f t="shared" si="27"/>
        <v>0</v>
      </c>
    </row>
    <row r="234" spans="1:5" x14ac:dyDescent="0.2">
      <c r="A234" s="512"/>
      <c r="B234" s="516" t="s">
        <v>802</v>
      </c>
      <c r="C234" s="561">
        <f t="shared" si="26"/>
        <v>6815.0595444547525</v>
      </c>
      <c r="D234" s="561">
        <f t="shared" si="26"/>
        <v>6702.4976061381376</v>
      </c>
      <c r="E234" s="561">
        <f t="shared" si="27"/>
        <v>-112.56193831661494</v>
      </c>
    </row>
    <row r="235" spans="1:5" s="506" customFormat="1" x14ac:dyDescent="0.2">
      <c r="A235" s="512"/>
      <c r="B235" s="516" t="s">
        <v>803</v>
      </c>
      <c r="C235" s="561">
        <f t="shared" si="26"/>
        <v>7848.791355979638</v>
      </c>
      <c r="D235" s="561">
        <f t="shared" si="26"/>
        <v>7785.1755600051356</v>
      </c>
      <c r="E235" s="561">
        <f t="shared" si="27"/>
        <v>-63.615795974502362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9387.0639733474891</v>
      </c>
      <c r="D239" s="560">
        <f t="shared" si="28"/>
        <v>9263.8190656163424</v>
      </c>
      <c r="E239" s="562">
        <f t="shared" ref="E239:E247" si="29">D239-C239</f>
        <v>-123.24490773114667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5435.4215752555419</v>
      </c>
      <c r="D240" s="560">
        <f t="shared" si="28"/>
        <v>6465.6888522594218</v>
      </c>
      <c r="E240" s="562">
        <f t="shared" si="29"/>
        <v>1030.2672770038798</v>
      </c>
    </row>
    <row r="241" spans="1:5" x14ac:dyDescent="0.2">
      <c r="A241" s="512">
        <v>3</v>
      </c>
      <c r="B241" s="511" t="s">
        <v>750</v>
      </c>
      <c r="C241" s="560">
        <f t="shared" si="28"/>
        <v>4618.9815989357649</v>
      </c>
      <c r="D241" s="560">
        <f t="shared" si="28"/>
        <v>4926.5889593131542</v>
      </c>
      <c r="E241" s="562">
        <f t="shared" si="29"/>
        <v>307.60736037738934</v>
      </c>
    </row>
    <row r="242" spans="1:5" x14ac:dyDescent="0.2">
      <c r="A242" s="512">
        <v>4</v>
      </c>
      <c r="B242" s="511" t="s">
        <v>114</v>
      </c>
      <c r="C242" s="560">
        <f t="shared" si="28"/>
        <v>4677.3617318534561</v>
      </c>
      <c r="D242" s="560">
        <f t="shared" si="28"/>
        <v>4879.1931377820229</v>
      </c>
      <c r="E242" s="562">
        <f t="shared" si="29"/>
        <v>201.83140592856671</v>
      </c>
    </row>
    <row r="243" spans="1:5" x14ac:dyDescent="0.2">
      <c r="A243" s="512">
        <v>5</v>
      </c>
      <c r="B243" s="511" t="s">
        <v>717</v>
      </c>
      <c r="C243" s="560">
        <f t="shared" si="28"/>
        <v>4262.6909974493556</v>
      </c>
      <c r="D243" s="560">
        <f t="shared" si="28"/>
        <v>8452.5615889214496</v>
      </c>
      <c r="E243" s="562">
        <f t="shared" si="29"/>
        <v>4189.870591472094</v>
      </c>
    </row>
    <row r="244" spans="1:5" x14ac:dyDescent="0.2">
      <c r="A244" s="512">
        <v>6</v>
      </c>
      <c r="B244" s="511" t="s">
        <v>416</v>
      </c>
      <c r="C244" s="560">
        <f t="shared" si="28"/>
        <v>4350.6734292698129</v>
      </c>
      <c r="D244" s="560">
        <f t="shared" si="28"/>
        <v>5008.1485562540975</v>
      </c>
      <c r="E244" s="562">
        <f t="shared" si="29"/>
        <v>657.47512698428454</v>
      </c>
    </row>
    <row r="245" spans="1:5" x14ac:dyDescent="0.2">
      <c r="A245" s="512">
        <v>7</v>
      </c>
      <c r="B245" s="511" t="s">
        <v>732</v>
      </c>
      <c r="C245" s="560">
        <f t="shared" si="28"/>
        <v>0</v>
      </c>
      <c r="D245" s="560">
        <f t="shared" si="28"/>
        <v>0</v>
      </c>
      <c r="E245" s="562">
        <f t="shared" si="29"/>
        <v>0</v>
      </c>
    </row>
    <row r="246" spans="1:5" ht="25.5" x14ac:dyDescent="0.2">
      <c r="A246" s="512"/>
      <c r="B246" s="516" t="s">
        <v>805</v>
      </c>
      <c r="C246" s="561">
        <f t="shared" si="28"/>
        <v>4944.9486576009213</v>
      </c>
      <c r="D246" s="561">
        <f t="shared" si="28"/>
        <v>5638.5292340516507</v>
      </c>
      <c r="E246" s="563">
        <f t="shared" si="29"/>
        <v>693.5805764507295</v>
      </c>
    </row>
    <row r="247" spans="1:5" x14ac:dyDescent="0.2">
      <c r="A247" s="512"/>
      <c r="B247" s="516" t="s">
        <v>806</v>
      </c>
      <c r="C247" s="561">
        <f t="shared" si="28"/>
        <v>7204.3060489045347</v>
      </c>
      <c r="D247" s="561">
        <f t="shared" si="28"/>
        <v>7468.1594271277363</v>
      </c>
      <c r="E247" s="563">
        <f t="shared" si="29"/>
        <v>263.85337822320162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2211933.4498444786</v>
      </c>
      <c r="D251" s="546">
        <f>((IF((IF(D15=0,0,D26/D15)*D138)=0,0,D59/(IF(D15=0,0,D26/D15)*D138)))-(IF((IF(D17=0,0,D28/D17)*D140)=0,0,D61/(IF(D17=0,0,D28/D17)*D140))))*(IF(D17=0,0,D28/D17)*D140)</f>
        <v>6349956.4021446342</v>
      </c>
      <c r="E251" s="546">
        <f>D251-C251</f>
        <v>4138022.9523001555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2409074.3055454893</v>
      </c>
      <c r="D252" s="546">
        <f>IF(D231=0,0,(D228-D231)*D207)+IF(D243=0,0,(D240-D243)*D219)</f>
        <v>102069.48773947379</v>
      </c>
      <c r="E252" s="546">
        <f>D252-C252</f>
        <v>-2307004.8178060157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0</v>
      </c>
      <c r="D253" s="546">
        <f>IF(D233=0,0,(D228-D233)*D209+IF(D221=0,0,(D240-D245)*D221))</f>
        <v>0</v>
      </c>
      <c r="E253" s="546">
        <f>D253-C253</f>
        <v>0</v>
      </c>
    </row>
    <row r="254" spans="1:5" ht="15" customHeight="1" x14ac:dyDescent="0.2">
      <c r="A254" s="512"/>
      <c r="B254" s="516" t="s">
        <v>733</v>
      </c>
      <c r="C254" s="564">
        <f>+C251+C252+C253</f>
        <v>4621007.7553899679</v>
      </c>
      <c r="D254" s="564">
        <f>+D251+D252+D253</f>
        <v>6452025.8898841077</v>
      </c>
      <c r="E254" s="564">
        <f>D254-C254</f>
        <v>1831018.1344941398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624951148</v>
      </c>
      <c r="D258" s="549">
        <f>+D44</f>
        <v>661160920</v>
      </c>
      <c r="E258" s="546">
        <f t="shared" ref="E258:E271" si="30">D258-C258</f>
        <v>36209772</v>
      </c>
    </row>
    <row r="259" spans="1:5" x14ac:dyDescent="0.2">
      <c r="A259" s="512">
        <v>2</v>
      </c>
      <c r="B259" s="511" t="s">
        <v>716</v>
      </c>
      <c r="C259" s="546">
        <f>+(C43-C76)</f>
        <v>232501008</v>
      </c>
      <c r="D259" s="549">
        <f>+(D43-D76)</f>
        <v>257198613</v>
      </c>
      <c r="E259" s="546">
        <f t="shared" si="30"/>
        <v>24697605</v>
      </c>
    </row>
    <row r="260" spans="1:5" x14ac:dyDescent="0.2">
      <c r="A260" s="512">
        <v>3</v>
      </c>
      <c r="B260" s="511" t="s">
        <v>720</v>
      </c>
      <c r="C260" s="546">
        <f>C195</f>
        <v>17534622</v>
      </c>
      <c r="D260" s="546">
        <f>D195</f>
        <v>17013554</v>
      </c>
      <c r="E260" s="546">
        <f t="shared" si="30"/>
        <v>-521068</v>
      </c>
    </row>
    <row r="261" spans="1:5" x14ac:dyDescent="0.2">
      <c r="A261" s="512">
        <v>4</v>
      </c>
      <c r="B261" s="511" t="s">
        <v>721</v>
      </c>
      <c r="C261" s="546">
        <f>C188</f>
        <v>75164048</v>
      </c>
      <c r="D261" s="546">
        <f>D188</f>
        <v>88924595</v>
      </c>
      <c r="E261" s="546">
        <f t="shared" si="30"/>
        <v>13760547</v>
      </c>
    </row>
    <row r="262" spans="1:5" x14ac:dyDescent="0.2">
      <c r="A262" s="512">
        <v>5</v>
      </c>
      <c r="B262" s="511" t="s">
        <v>722</v>
      </c>
      <c r="C262" s="546">
        <f>C191</f>
        <v>7349828</v>
      </c>
      <c r="D262" s="546">
        <f>D191</f>
        <v>7910671</v>
      </c>
      <c r="E262" s="546">
        <f t="shared" si="30"/>
        <v>560843</v>
      </c>
    </row>
    <row r="263" spans="1:5" x14ac:dyDescent="0.2">
      <c r="A263" s="512">
        <v>6</v>
      </c>
      <c r="B263" s="511" t="s">
        <v>723</v>
      </c>
      <c r="C263" s="546">
        <f>+C259+C260+C261+C262</f>
        <v>332549506</v>
      </c>
      <c r="D263" s="546">
        <f>+D259+D260+D261+D262</f>
        <v>371047433</v>
      </c>
      <c r="E263" s="546">
        <f t="shared" si="30"/>
        <v>38497927</v>
      </c>
    </row>
    <row r="264" spans="1:5" x14ac:dyDescent="0.2">
      <c r="A264" s="512">
        <v>7</v>
      </c>
      <c r="B264" s="511" t="s">
        <v>623</v>
      </c>
      <c r="C264" s="546">
        <f>+C258-C263</f>
        <v>292401642</v>
      </c>
      <c r="D264" s="546">
        <f>+D258-D263</f>
        <v>290113487</v>
      </c>
      <c r="E264" s="546">
        <f t="shared" si="30"/>
        <v>-2288155</v>
      </c>
    </row>
    <row r="265" spans="1:5" x14ac:dyDescent="0.2">
      <c r="A265" s="512">
        <v>8</v>
      </c>
      <c r="B265" s="511" t="s">
        <v>809</v>
      </c>
      <c r="C265" s="565">
        <f>C192</f>
        <v>1906334</v>
      </c>
      <c r="D265" s="565">
        <f>D192</f>
        <v>0</v>
      </c>
      <c r="E265" s="546">
        <f t="shared" si="30"/>
        <v>-1906334</v>
      </c>
    </row>
    <row r="266" spans="1:5" x14ac:dyDescent="0.2">
      <c r="A266" s="512">
        <v>9</v>
      </c>
      <c r="B266" s="511" t="s">
        <v>810</v>
      </c>
      <c r="C266" s="546">
        <f>+C264+C265</f>
        <v>294307976</v>
      </c>
      <c r="D266" s="546">
        <f>+D264+D265</f>
        <v>290113487</v>
      </c>
      <c r="E266" s="565">
        <f t="shared" si="30"/>
        <v>-4194489</v>
      </c>
    </row>
    <row r="267" spans="1:5" x14ac:dyDescent="0.2">
      <c r="A267" s="512">
        <v>10</v>
      </c>
      <c r="B267" s="511" t="s">
        <v>811</v>
      </c>
      <c r="C267" s="566">
        <f>IF(C258=0,0,C266/C258)</f>
        <v>0.47092957096224103</v>
      </c>
      <c r="D267" s="566">
        <f>IF(D258=0,0,D266/D258)</f>
        <v>0.43879406393227233</v>
      </c>
      <c r="E267" s="567">
        <f t="shared" si="30"/>
        <v>-3.2135507029968702E-2</v>
      </c>
    </row>
    <row r="268" spans="1:5" x14ac:dyDescent="0.2">
      <c r="A268" s="512">
        <v>11</v>
      </c>
      <c r="B268" s="511" t="s">
        <v>685</v>
      </c>
      <c r="C268" s="546">
        <f>+C260*C267</f>
        <v>8257572.0154450731</v>
      </c>
      <c r="D268" s="568">
        <f>+D260*D267</f>
        <v>7465446.5015911674</v>
      </c>
      <c r="E268" s="546">
        <f t="shared" si="30"/>
        <v>-792125.51385390572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15544204.620858192</v>
      </c>
      <c r="D269" s="568">
        <f>((D17+D18+D28+D29)*D267)-(D50+D51+D61+D62)</f>
        <v>9724206.1189244613</v>
      </c>
      <c r="E269" s="546">
        <f t="shared" si="30"/>
        <v>-5819998.5019337311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814</v>
      </c>
      <c r="C271" s="546">
        <f>+C268+C269+C270</f>
        <v>23801776.636303265</v>
      </c>
      <c r="D271" s="546">
        <f>+D268+D269+D270</f>
        <v>17189652.62051563</v>
      </c>
      <c r="E271" s="549">
        <f t="shared" si="30"/>
        <v>-6612124.015787635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0.68036623774255101</v>
      </c>
      <c r="D276" s="547">
        <f t="shared" si="31"/>
        <v>0.72269728254559973</v>
      </c>
      <c r="E276" s="574">
        <f t="shared" ref="E276:E284" si="32">D276-C276</f>
        <v>4.2331044803048723E-2</v>
      </c>
    </row>
    <row r="277" spans="1:5" x14ac:dyDescent="0.2">
      <c r="A277" s="512">
        <v>2</v>
      </c>
      <c r="B277" s="511" t="s">
        <v>604</v>
      </c>
      <c r="C277" s="547">
        <f t="shared" si="31"/>
        <v>0.50493904318814842</v>
      </c>
      <c r="D277" s="547">
        <f t="shared" si="31"/>
        <v>0.44363049137424565</v>
      </c>
      <c r="E277" s="574">
        <f t="shared" si="32"/>
        <v>-6.1308551813902767E-2</v>
      </c>
    </row>
    <row r="278" spans="1:5" x14ac:dyDescent="0.2">
      <c r="A278" s="512">
        <v>3</v>
      </c>
      <c r="B278" s="511" t="s">
        <v>750</v>
      </c>
      <c r="C278" s="547">
        <f t="shared" si="31"/>
        <v>0.31165348333203324</v>
      </c>
      <c r="D278" s="547">
        <f t="shared" si="31"/>
        <v>0.37979077474053141</v>
      </c>
      <c r="E278" s="574">
        <f t="shared" si="32"/>
        <v>6.8137291408498168E-2</v>
      </c>
    </row>
    <row r="279" spans="1:5" x14ac:dyDescent="0.2">
      <c r="A279" s="512">
        <v>4</v>
      </c>
      <c r="B279" s="511" t="s">
        <v>114</v>
      </c>
      <c r="C279" s="547">
        <f t="shared" si="31"/>
        <v>0.33280268513175632</v>
      </c>
      <c r="D279" s="547">
        <f t="shared" si="31"/>
        <v>0.384797101990284</v>
      </c>
      <c r="E279" s="574">
        <f t="shared" si="32"/>
        <v>5.1994416858527681E-2</v>
      </c>
    </row>
    <row r="280" spans="1:5" x14ac:dyDescent="0.2">
      <c r="A280" s="512">
        <v>5</v>
      </c>
      <c r="B280" s="511" t="s">
        <v>717</v>
      </c>
      <c r="C280" s="547">
        <f t="shared" si="31"/>
        <v>0.21525102150105602</v>
      </c>
      <c r="D280" s="547">
        <f t="shared" si="31"/>
        <v>0.13403197256163968</v>
      </c>
      <c r="E280" s="574">
        <f t="shared" si="32"/>
        <v>-8.1219048939416338E-2</v>
      </c>
    </row>
    <row r="281" spans="1:5" x14ac:dyDescent="0.2">
      <c r="A281" s="512">
        <v>6</v>
      </c>
      <c r="B281" s="511" t="s">
        <v>416</v>
      </c>
      <c r="C281" s="547">
        <f t="shared" si="31"/>
        <v>0.39001059911413877</v>
      </c>
      <c r="D281" s="547">
        <f t="shared" si="31"/>
        <v>0.39151762179886934</v>
      </c>
      <c r="E281" s="574">
        <f t="shared" si="32"/>
        <v>1.5070226847305745E-3</v>
      </c>
    </row>
    <row r="282" spans="1:5" x14ac:dyDescent="0.2">
      <c r="A282" s="512">
        <v>7</v>
      </c>
      <c r="B282" s="511" t="s">
        <v>732</v>
      </c>
      <c r="C282" s="547">
        <f t="shared" si="31"/>
        <v>0</v>
      </c>
      <c r="D282" s="547">
        <f t="shared" si="31"/>
        <v>0</v>
      </c>
      <c r="E282" s="574">
        <f t="shared" si="32"/>
        <v>0</v>
      </c>
    </row>
    <row r="283" spans="1:5" ht="29.25" customHeight="1" x14ac:dyDescent="0.2">
      <c r="A283" s="512"/>
      <c r="B283" s="516" t="s">
        <v>818</v>
      </c>
      <c r="C283" s="575">
        <f t="shared" si="31"/>
        <v>0.45503246600639546</v>
      </c>
      <c r="D283" s="575">
        <f t="shared" si="31"/>
        <v>0.42628646381217816</v>
      </c>
      <c r="E283" s="576">
        <f t="shared" si="32"/>
        <v>-2.8746002194217302E-2</v>
      </c>
    </row>
    <row r="284" spans="1:5" x14ac:dyDescent="0.2">
      <c r="A284" s="512"/>
      <c r="B284" s="516" t="s">
        <v>819</v>
      </c>
      <c r="C284" s="575">
        <f t="shared" si="31"/>
        <v>0.51780302447490689</v>
      </c>
      <c r="D284" s="575">
        <f t="shared" si="31"/>
        <v>0.50029074070198576</v>
      </c>
      <c r="E284" s="576">
        <f t="shared" si="32"/>
        <v>-1.7512283772921133E-2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0.56666366525881995</v>
      </c>
      <c r="D287" s="547">
        <f t="shared" si="33"/>
        <v>0.55051082711908272</v>
      </c>
      <c r="E287" s="574">
        <f t="shared" ref="E287:E295" si="34">D287-C287</f>
        <v>-1.6152838139737224E-2</v>
      </c>
    </row>
    <row r="288" spans="1:5" x14ac:dyDescent="0.2">
      <c r="A288" s="512">
        <v>2</v>
      </c>
      <c r="B288" s="511" t="s">
        <v>604</v>
      </c>
      <c r="C288" s="547">
        <f t="shared" si="33"/>
        <v>0.2573854216031593</v>
      </c>
      <c r="D288" s="547">
        <f t="shared" si="33"/>
        <v>0.28615229664257863</v>
      </c>
      <c r="E288" s="574">
        <f t="shared" si="34"/>
        <v>2.8766875039419326E-2</v>
      </c>
    </row>
    <row r="289" spans="1:5" x14ac:dyDescent="0.2">
      <c r="A289" s="512">
        <v>3</v>
      </c>
      <c r="B289" s="511" t="s">
        <v>750</v>
      </c>
      <c r="C289" s="547">
        <f t="shared" si="33"/>
        <v>0.30760994097680089</v>
      </c>
      <c r="D289" s="547">
        <f t="shared" si="33"/>
        <v>0.32697485017775385</v>
      </c>
      <c r="E289" s="574">
        <f t="shared" si="34"/>
        <v>1.9364909200952962E-2</v>
      </c>
    </row>
    <row r="290" spans="1:5" x14ac:dyDescent="0.2">
      <c r="A290" s="512">
        <v>4</v>
      </c>
      <c r="B290" s="511" t="s">
        <v>114</v>
      </c>
      <c r="C290" s="547">
        <f t="shared" si="33"/>
        <v>0.32328920800869432</v>
      </c>
      <c r="D290" s="547">
        <f t="shared" si="33"/>
        <v>0.32443384620557625</v>
      </c>
      <c r="E290" s="574">
        <f t="shared" si="34"/>
        <v>1.1446381968819308E-3</v>
      </c>
    </row>
    <row r="291" spans="1:5" x14ac:dyDescent="0.2">
      <c r="A291" s="512">
        <v>5</v>
      </c>
      <c r="B291" s="511" t="s">
        <v>717</v>
      </c>
      <c r="C291" s="547">
        <f t="shared" si="33"/>
        <v>0.2321967812356055</v>
      </c>
      <c r="D291" s="547">
        <f t="shared" si="33"/>
        <v>0.49268383053961762</v>
      </c>
      <c r="E291" s="574">
        <f t="shared" si="34"/>
        <v>0.26048704930401212</v>
      </c>
    </row>
    <row r="292" spans="1:5" x14ac:dyDescent="0.2">
      <c r="A292" s="512">
        <v>6</v>
      </c>
      <c r="B292" s="511" t="s">
        <v>416</v>
      </c>
      <c r="C292" s="547">
        <f t="shared" si="33"/>
        <v>0.38474788509234709</v>
      </c>
      <c r="D292" s="547">
        <f t="shared" si="33"/>
        <v>0.36429953871075721</v>
      </c>
      <c r="E292" s="574">
        <f t="shared" si="34"/>
        <v>-2.0448346381589877E-2</v>
      </c>
    </row>
    <row r="293" spans="1:5" x14ac:dyDescent="0.2">
      <c r="A293" s="512">
        <v>7</v>
      </c>
      <c r="B293" s="511" t="s">
        <v>732</v>
      </c>
      <c r="C293" s="547">
        <f t="shared" si="33"/>
        <v>0</v>
      </c>
      <c r="D293" s="547">
        <f t="shared" si="33"/>
        <v>0</v>
      </c>
      <c r="E293" s="574">
        <f t="shared" si="34"/>
        <v>0</v>
      </c>
    </row>
    <row r="294" spans="1:5" ht="29.25" customHeight="1" x14ac:dyDescent="0.2">
      <c r="A294" s="512"/>
      <c r="B294" s="516" t="s">
        <v>821</v>
      </c>
      <c r="C294" s="575">
        <f t="shared" si="33"/>
        <v>0.28898454264145862</v>
      </c>
      <c r="D294" s="575">
        <f t="shared" si="33"/>
        <v>0.30853346069634913</v>
      </c>
      <c r="E294" s="576">
        <f t="shared" si="34"/>
        <v>1.9548918054890507E-2</v>
      </c>
    </row>
    <row r="295" spans="1:5" x14ac:dyDescent="0.2">
      <c r="A295" s="512"/>
      <c r="B295" s="516" t="s">
        <v>822</v>
      </c>
      <c r="C295" s="575">
        <f t="shared" si="33"/>
        <v>0.42796742068135724</v>
      </c>
      <c r="D295" s="575">
        <f t="shared" si="33"/>
        <v>0.42566501546155733</v>
      </c>
      <c r="E295" s="576">
        <f t="shared" si="34"/>
        <v>-2.3024052197999079E-3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292401638</v>
      </c>
      <c r="D301" s="514">
        <f>+D48+D47+D50+D51+D52+D59+D58+D61+D62+D63</f>
        <v>303020939</v>
      </c>
      <c r="E301" s="514">
        <f>D301-C301</f>
        <v>10619301</v>
      </c>
    </row>
    <row r="302" spans="1:5" ht="25.5" x14ac:dyDescent="0.2">
      <c r="A302" s="512">
        <v>2</v>
      </c>
      <c r="B302" s="511" t="s">
        <v>826</v>
      </c>
      <c r="C302" s="546">
        <f>C265</f>
        <v>1906334</v>
      </c>
      <c r="D302" s="546">
        <f>D265</f>
        <v>0</v>
      </c>
      <c r="E302" s="514">
        <f>D302-C302</f>
        <v>-1906334</v>
      </c>
    </row>
    <row r="303" spans="1:5" x14ac:dyDescent="0.2">
      <c r="A303" s="512"/>
      <c r="B303" s="516" t="s">
        <v>827</v>
      </c>
      <c r="C303" s="517">
        <f>+C301+C302</f>
        <v>294307972</v>
      </c>
      <c r="D303" s="517">
        <f>+D301+D302</f>
        <v>303020939</v>
      </c>
      <c r="E303" s="517">
        <f>D303-C303</f>
        <v>8712967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12255002</v>
      </c>
      <c r="D305" s="578">
        <v>15792142</v>
      </c>
      <c r="E305" s="579">
        <f>D305-C305</f>
        <v>3537140</v>
      </c>
    </row>
    <row r="306" spans="1:5" x14ac:dyDescent="0.2">
      <c r="A306" s="512">
        <v>4</v>
      </c>
      <c r="B306" s="516" t="s">
        <v>829</v>
      </c>
      <c r="C306" s="580">
        <f>+C303+C305</f>
        <v>306562974</v>
      </c>
      <c r="D306" s="580">
        <f>+D303+D305</f>
        <v>318813081</v>
      </c>
      <c r="E306" s="580">
        <f>D306-C306</f>
        <v>12250107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306562977</v>
      </c>
      <c r="D308" s="513">
        <v>318813210</v>
      </c>
      <c r="E308" s="514">
        <f>D308-C308</f>
        <v>12250233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-3</v>
      </c>
      <c r="D310" s="582">
        <f>D306-D308</f>
        <v>-129</v>
      </c>
      <c r="E310" s="580">
        <f>D310-C310</f>
        <v>-126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624951148</v>
      </c>
      <c r="D314" s="514">
        <f>+D14+D15+D16+D19+D25+D26+D27+D30</f>
        <v>661160920</v>
      </c>
      <c r="E314" s="514">
        <f>D314-C314</f>
        <v>36209772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624951148</v>
      </c>
      <c r="D316" s="581">
        <f>D314+D315</f>
        <v>661160920</v>
      </c>
      <c r="E316" s="517">
        <f>D316-C316</f>
        <v>36209772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624951148</v>
      </c>
      <c r="D318" s="513">
        <v>661160918</v>
      </c>
      <c r="E318" s="514">
        <f>D318-C318</f>
        <v>36209770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0</v>
      </c>
      <c r="D320" s="581">
        <f>D316-D318</f>
        <v>2</v>
      </c>
      <c r="E320" s="517">
        <f>D320-C320</f>
        <v>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17534622</v>
      </c>
      <c r="D324" s="513">
        <f>+D193+D194</f>
        <v>17013554</v>
      </c>
      <c r="E324" s="514">
        <f>D324-C324</f>
        <v>-521068</v>
      </c>
    </row>
    <row r="325" spans="1:5" x14ac:dyDescent="0.2">
      <c r="A325" s="512">
        <v>2</v>
      </c>
      <c r="B325" s="511" t="s">
        <v>839</v>
      </c>
      <c r="C325" s="513">
        <v>2126174</v>
      </c>
      <c r="D325" s="513">
        <v>3220157</v>
      </c>
      <c r="E325" s="514">
        <f>D325-C325</f>
        <v>1093983</v>
      </c>
    </row>
    <row r="326" spans="1:5" x14ac:dyDescent="0.2">
      <c r="A326" s="512"/>
      <c r="B326" s="516" t="s">
        <v>840</v>
      </c>
      <c r="C326" s="581">
        <f>C324+C325</f>
        <v>19660796</v>
      </c>
      <c r="D326" s="581">
        <f>D324+D325</f>
        <v>20233711</v>
      </c>
      <c r="E326" s="517">
        <f>D326-C326</f>
        <v>572915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19660796</v>
      </c>
      <c r="D328" s="513">
        <v>20233711</v>
      </c>
      <c r="E328" s="514">
        <f>D328-C328</f>
        <v>572915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&amp;LOFFICE OF HEALTH CARE ACCESS&amp;CTWELVE MONTHS ACTUAL FILING&amp;RLAWRENCE AND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4" t="s">
        <v>0</v>
      </c>
      <c r="B2" s="704"/>
      <c r="C2" s="704"/>
      <c r="D2" s="585"/>
    </row>
    <row r="3" spans="1:58" s="338" customFormat="1" ht="15.75" customHeight="1" x14ac:dyDescent="0.25">
      <c r="A3" s="697" t="s">
        <v>595</v>
      </c>
      <c r="B3" s="698"/>
      <c r="C3" s="699"/>
      <c r="D3" s="585"/>
    </row>
    <row r="4" spans="1:58" s="338" customFormat="1" ht="15.75" customHeight="1" x14ac:dyDescent="0.25">
      <c r="A4" s="697" t="s">
        <v>2</v>
      </c>
      <c r="B4" s="698"/>
      <c r="C4" s="699"/>
      <c r="D4" s="585"/>
    </row>
    <row r="5" spans="1:58" s="338" customFormat="1" ht="15.75" customHeight="1" x14ac:dyDescent="0.25">
      <c r="A5" s="697" t="s">
        <v>843</v>
      </c>
      <c r="B5" s="698"/>
      <c r="C5" s="699"/>
      <c r="D5" s="585"/>
    </row>
    <row r="6" spans="1:58" s="338" customFormat="1" ht="15.75" customHeight="1" x14ac:dyDescent="0.25">
      <c r="A6" s="697" t="s">
        <v>844</v>
      </c>
      <c r="B6" s="698"/>
      <c r="C6" s="699"/>
      <c r="D6" s="585"/>
    </row>
    <row r="7" spans="1:58" s="338" customFormat="1" ht="15.75" customHeight="1" x14ac:dyDescent="0.25">
      <c r="A7" s="712"/>
      <c r="B7" s="712"/>
      <c r="C7" s="712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72224395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155839588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48982709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48004808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977901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12235130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1105922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217057427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289281822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180011782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107726275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61117092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60194068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923024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23023949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10910851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191867316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371879098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252236177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408924743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661160920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52196374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69135193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18603181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18472111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131070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4790269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92528643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144725017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99098435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30826121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19983752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19528993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454759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8387614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59197487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158295922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151294809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151726130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303020939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4292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6897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3249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3192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57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890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89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11036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15328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1.1148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1.4370000000000001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0.95108771929824554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0.95279999999999998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0.85519999999999996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0.90339999999999998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0.89100000000000001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1.2509150960492932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1.2128014483298537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240219404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151294809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88924595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0.37018073277710739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15323591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7910671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3148344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13865210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17013554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15662907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312331109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303020939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303020939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15792142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318813081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318813210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-129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661160920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661160920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661160918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2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17013554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3220157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20233711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20233711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FILING&amp;RLAWRENCE AND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3" t="s">
        <v>0</v>
      </c>
      <c r="B2" s="714"/>
      <c r="C2" s="714"/>
      <c r="D2" s="714"/>
      <c r="E2" s="714"/>
      <c r="F2" s="715"/>
    </row>
    <row r="3" spans="1:14" ht="15.75" customHeight="1" x14ac:dyDescent="0.25">
      <c r="A3" s="713" t="s">
        <v>595</v>
      </c>
      <c r="B3" s="714"/>
      <c r="C3" s="714"/>
      <c r="D3" s="714"/>
      <c r="E3" s="714"/>
      <c r="F3" s="715"/>
    </row>
    <row r="4" spans="1:14" ht="15.75" customHeight="1" x14ac:dyDescent="0.25">
      <c r="A4" s="713" t="s">
        <v>596</v>
      </c>
      <c r="B4" s="714"/>
      <c r="C4" s="714"/>
      <c r="D4" s="714"/>
      <c r="E4" s="714"/>
      <c r="F4" s="715"/>
    </row>
    <row r="5" spans="1:14" ht="15.75" customHeight="1" x14ac:dyDescent="0.25">
      <c r="A5" s="713" t="s">
        <v>856</v>
      </c>
      <c r="B5" s="714"/>
      <c r="C5" s="714"/>
      <c r="D5" s="714"/>
      <c r="E5" s="714"/>
      <c r="F5" s="715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1481</v>
      </c>
      <c r="D12" s="49">
        <v>1544</v>
      </c>
      <c r="E12" s="49">
        <f>+D12-C12</f>
        <v>63</v>
      </c>
      <c r="F12" s="70">
        <f>IF(C12=0,0,+E12/C12)</f>
        <v>4.2538825118163405E-2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1354</v>
      </c>
      <c r="D13" s="49">
        <v>1383</v>
      </c>
      <c r="E13" s="49">
        <f>+D13-C13</f>
        <v>29</v>
      </c>
      <c r="F13" s="70">
        <f>IF(C13=0,0,+E13/C13)</f>
        <v>2.1418020679468242E-2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3153445</v>
      </c>
      <c r="D15" s="51">
        <v>3148344</v>
      </c>
      <c r="E15" s="51">
        <f>+D15-C15</f>
        <v>-5101</v>
      </c>
      <c r="F15" s="70">
        <f>IF(C15=0,0,+E15/C15)</f>
        <v>-1.6175959942221919E-3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2328.9844903988183</v>
      </c>
      <c r="D16" s="27">
        <f>IF(D13=0,0,+D15/+D13)</f>
        <v>2276.4598698481564</v>
      </c>
      <c r="E16" s="27">
        <f>+D16-C16</f>
        <v>-52.524620550661894</v>
      </c>
      <c r="F16" s="28">
        <f>IF(C16=0,0,+E16/C16)</f>
        <v>-2.2552584943005573E-2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0.47092299999999998</v>
      </c>
      <c r="D18" s="210">
        <v>0.46875499999999998</v>
      </c>
      <c r="E18" s="210">
        <f>+D18-C18</f>
        <v>-2.1680000000000033E-3</v>
      </c>
      <c r="F18" s="70">
        <f>IF(C18=0,0,+E18/C18)</f>
        <v>-4.6037250251102693E-3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1485029.7797349999</v>
      </c>
      <c r="D19" s="27">
        <f>+D15*D18</f>
        <v>1475801.9917199998</v>
      </c>
      <c r="E19" s="27">
        <f>+D19-C19</f>
        <v>-9227.7880150000565</v>
      </c>
      <c r="F19" s="28">
        <f>IF(C19=0,0,+E19/C19)</f>
        <v>-6.2138740521733736E-3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1096.7723631720826</v>
      </c>
      <c r="D20" s="27">
        <f>IF(D13=0,0,+D19/D13)</f>
        <v>1067.1019462906722</v>
      </c>
      <c r="E20" s="27">
        <f>+D20-C20</f>
        <v>-29.670416881410347</v>
      </c>
      <c r="F20" s="28">
        <f>IF(C20=0,0,+E20/C20)</f>
        <v>-2.7052484068432973E-2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980052</v>
      </c>
      <c r="D22" s="51">
        <v>650292</v>
      </c>
      <c r="E22" s="51">
        <f>+D22-C22</f>
        <v>-329760</v>
      </c>
      <c r="F22" s="70">
        <f>IF(C22=0,0,+E22/C22)</f>
        <v>-0.33647194230510219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1437283</v>
      </c>
      <c r="D23" s="49">
        <v>1517355</v>
      </c>
      <c r="E23" s="49">
        <f>+D23-C23</f>
        <v>80072</v>
      </c>
      <c r="F23" s="70">
        <f>IF(C23=0,0,+E23/C23)</f>
        <v>5.5710670758646698E-2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736110</v>
      </c>
      <c r="D24" s="49">
        <v>980697</v>
      </c>
      <c r="E24" s="49">
        <f>+D24-C24</f>
        <v>244587</v>
      </c>
      <c r="F24" s="70">
        <f>IF(C24=0,0,+E24/C24)</f>
        <v>0.33226963361454132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3153445</v>
      </c>
      <c r="D25" s="27">
        <f>+D22+D23+D24</f>
        <v>3148344</v>
      </c>
      <c r="E25" s="27">
        <f>+E22+E23+E24</f>
        <v>-5101</v>
      </c>
      <c r="F25" s="28">
        <f>IF(C25=0,0,+E25/C25)</f>
        <v>-1.6175959942221919E-3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259</v>
      </c>
      <c r="D27" s="49">
        <v>230</v>
      </c>
      <c r="E27" s="49">
        <f>+D27-C27</f>
        <v>-29</v>
      </c>
      <c r="F27" s="70">
        <f>IF(C27=0,0,+E27/C27)</f>
        <v>-0.11196911196911197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66</v>
      </c>
      <c r="D28" s="49">
        <v>46</v>
      </c>
      <c r="E28" s="49">
        <f>+D28-C28</f>
        <v>-20</v>
      </c>
      <c r="F28" s="70">
        <f>IF(C28=0,0,+E28/C28)</f>
        <v>-0.30303030303030304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605</v>
      </c>
      <c r="D29" s="49">
        <v>857</v>
      </c>
      <c r="E29" s="49">
        <f>+D29-C29</f>
        <v>252</v>
      </c>
      <c r="F29" s="70">
        <f>IF(C29=0,0,+E29/C29)</f>
        <v>0.41652892561983473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1626</v>
      </c>
      <c r="D30" s="49">
        <v>1516</v>
      </c>
      <c r="E30" s="49">
        <f>+D30-C30</f>
        <v>-110</v>
      </c>
      <c r="F30" s="70">
        <f>IF(C30=0,0,+E30/C30)</f>
        <v>-6.7650676506765067E-2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2792696</v>
      </c>
      <c r="D33" s="51">
        <v>3586698</v>
      </c>
      <c r="E33" s="51">
        <f>+D33-C33</f>
        <v>794002</v>
      </c>
      <c r="F33" s="70">
        <f>IF(C33=0,0,+E33/C33)</f>
        <v>0.28431379570135812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4217890</v>
      </c>
      <c r="D34" s="49">
        <v>3862447</v>
      </c>
      <c r="E34" s="49">
        <f>+D34-C34</f>
        <v>-355443</v>
      </c>
      <c r="F34" s="70">
        <f>IF(C34=0,0,+E34/C34)</f>
        <v>-8.4270334219242321E-2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7370591</v>
      </c>
      <c r="D35" s="49">
        <v>6416065</v>
      </c>
      <c r="E35" s="49">
        <f>+D35-C35</f>
        <v>-954526</v>
      </c>
      <c r="F35" s="70">
        <f>IF(C35=0,0,+E35/C35)</f>
        <v>-0.12950467608364105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14381177</v>
      </c>
      <c r="D36" s="27">
        <f>+D33+D34+D35</f>
        <v>13865210</v>
      </c>
      <c r="E36" s="27">
        <f>+E33+E34+E35</f>
        <v>-515967</v>
      </c>
      <c r="F36" s="28">
        <f>IF(C36=0,0,+E36/C36)</f>
        <v>-3.5877939615095479E-2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3153445</v>
      </c>
      <c r="D39" s="51">
        <f>+D25</f>
        <v>3148344</v>
      </c>
      <c r="E39" s="51">
        <f>+D39-C39</f>
        <v>-5101</v>
      </c>
      <c r="F39" s="70">
        <f>IF(C39=0,0,+E39/C39)</f>
        <v>-1.6175959942221919E-3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14381177</v>
      </c>
      <c r="D40" s="49">
        <f>+D36</f>
        <v>13865210</v>
      </c>
      <c r="E40" s="49">
        <f>+D40-C40</f>
        <v>-515967</v>
      </c>
      <c r="F40" s="70">
        <f>IF(C40=0,0,+E40/C40)</f>
        <v>-3.5877939615095479E-2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17534622</v>
      </c>
      <c r="D41" s="27">
        <f>+D39+D40</f>
        <v>17013554</v>
      </c>
      <c r="E41" s="27">
        <f>+E39+E40</f>
        <v>-521068</v>
      </c>
      <c r="F41" s="28">
        <f>IF(C41=0,0,+E41/C41)</f>
        <v>-2.9716523116380837E-2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3772748</v>
      </c>
      <c r="D43" s="51">
        <f t="shared" si="0"/>
        <v>4236990</v>
      </c>
      <c r="E43" s="51">
        <f>+D43-C43</f>
        <v>464242</v>
      </c>
      <c r="F43" s="70">
        <f>IF(C43=0,0,+E43/C43)</f>
        <v>0.12305142034400389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5655173</v>
      </c>
      <c r="D44" s="49">
        <f t="shared" si="0"/>
        <v>5379802</v>
      </c>
      <c r="E44" s="49">
        <f>+D44-C44</f>
        <v>-275371</v>
      </c>
      <c r="F44" s="70">
        <f>IF(C44=0,0,+E44/C44)</f>
        <v>-4.8693647391512163E-2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8106701</v>
      </c>
      <c r="D45" s="49">
        <f t="shared" si="0"/>
        <v>7396762</v>
      </c>
      <c r="E45" s="49">
        <f>+D45-C45</f>
        <v>-709939</v>
      </c>
      <c r="F45" s="70">
        <f>IF(C45=0,0,+E45/C45)</f>
        <v>-8.7574341276432918E-2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17534622</v>
      </c>
      <c r="D46" s="27">
        <f>+D43+D44+D45</f>
        <v>17013554</v>
      </c>
      <c r="E46" s="27">
        <f>+E43+E44+E45</f>
        <v>-521068</v>
      </c>
      <c r="F46" s="28">
        <f>IF(C46=0,0,+E46/C46)</f>
        <v>-2.9716523116380837E-2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6" t="s">
        <v>884</v>
      </c>
      <c r="B48" s="717"/>
      <c r="C48" s="717"/>
      <c r="D48" s="717"/>
      <c r="E48" s="717"/>
      <c r="F48" s="718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FILING&amp;RLAWRENCE AND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3" t="s">
        <v>0</v>
      </c>
      <c r="B2" s="714"/>
      <c r="C2" s="714"/>
      <c r="D2" s="714"/>
      <c r="E2" s="714"/>
      <c r="F2" s="715"/>
    </row>
    <row r="3" spans="1:14" ht="15.75" customHeight="1" x14ac:dyDescent="0.25">
      <c r="A3" s="713" t="s">
        <v>595</v>
      </c>
      <c r="B3" s="714"/>
      <c r="C3" s="714"/>
      <c r="D3" s="714"/>
      <c r="E3" s="714"/>
      <c r="F3" s="715"/>
    </row>
    <row r="4" spans="1:14" ht="15.75" customHeight="1" x14ac:dyDescent="0.25">
      <c r="A4" s="713" t="s">
        <v>596</v>
      </c>
      <c r="B4" s="714"/>
      <c r="C4" s="714"/>
      <c r="D4" s="714"/>
      <c r="E4" s="714"/>
      <c r="F4" s="715"/>
    </row>
    <row r="5" spans="1:14" ht="15.75" customHeight="1" x14ac:dyDescent="0.25">
      <c r="A5" s="713" t="s">
        <v>885</v>
      </c>
      <c r="B5" s="714"/>
      <c r="C5" s="714"/>
      <c r="D5" s="714"/>
      <c r="E5" s="714"/>
      <c r="F5" s="715"/>
    </row>
    <row r="6" spans="1:14" ht="15.75" customHeight="1" x14ac:dyDescent="0.25">
      <c r="A6" s="713" t="s">
        <v>886</v>
      </c>
      <c r="B6" s="714"/>
      <c r="C6" s="714"/>
      <c r="D6" s="714"/>
      <c r="E6" s="714"/>
      <c r="F6" s="715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224291485</v>
      </c>
      <c r="D15" s="51">
        <v>240219404</v>
      </c>
      <c r="E15" s="51">
        <f>+D15-C15</f>
        <v>15927919</v>
      </c>
      <c r="F15" s="70">
        <f>+E15/C15</f>
        <v>7.101437221301557E-2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75164048</v>
      </c>
      <c r="D17" s="51">
        <v>88924595</v>
      </c>
      <c r="E17" s="51">
        <f>+D17-C17</f>
        <v>13760547</v>
      </c>
      <c r="F17" s="70">
        <f>+E17/C17</f>
        <v>0.18307352206469774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149127437</v>
      </c>
      <c r="D19" s="27">
        <f>+D15-D17</f>
        <v>151294809</v>
      </c>
      <c r="E19" s="27">
        <f>+D19-C19</f>
        <v>2167372</v>
      </c>
      <c r="F19" s="28">
        <f>+E19/C19</f>
        <v>1.4533690403329335E-2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0.33511770631863264</v>
      </c>
      <c r="D21" s="628">
        <f>+D17/D15</f>
        <v>0.37018073277710739</v>
      </c>
      <c r="E21" s="628">
        <f>+D21-C21</f>
        <v>3.5063026458474755E-2</v>
      </c>
      <c r="F21" s="28">
        <f>+E21/C21</f>
        <v>0.10462898795665707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6" t="s">
        <v>893</v>
      </c>
      <c r="B26" s="717"/>
      <c r="C26" s="717"/>
      <c r="D26" s="717"/>
      <c r="E26" s="717"/>
      <c r="F26" s="718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fitToHeight="0" orientation="landscape" horizontalDpi="1200" verticalDpi="1200" r:id="rId1"/>
  <headerFooter>
    <oddHeader>&amp;L&amp;12OFFICE OF HEALTH CARE ACCESS&amp;C&amp;12TWELVE MONTHS ACTUAL FILING&amp;R&amp;12LAWRENCE AND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9" t="s">
        <v>0</v>
      </c>
      <c r="B1" s="719"/>
      <c r="C1" s="719"/>
      <c r="D1" s="719"/>
      <c r="E1" s="719"/>
      <c r="F1" s="630"/>
    </row>
    <row r="2" spans="1:6" ht="26.1" customHeight="1" x14ac:dyDescent="0.25">
      <c r="A2" s="719" t="s">
        <v>1</v>
      </c>
      <c r="B2" s="719"/>
      <c r="C2" s="719"/>
      <c r="D2" s="719"/>
      <c r="E2" s="719"/>
      <c r="F2" s="630"/>
    </row>
    <row r="3" spans="1:6" ht="26.1" customHeight="1" x14ac:dyDescent="0.25">
      <c r="A3" s="719" t="s">
        <v>2</v>
      </c>
      <c r="B3" s="719"/>
      <c r="C3" s="719"/>
      <c r="D3" s="719"/>
      <c r="E3" s="719"/>
      <c r="F3" s="630"/>
    </row>
    <row r="4" spans="1:6" ht="26.1" customHeight="1" x14ac:dyDescent="0.25">
      <c r="A4" s="719" t="s">
        <v>894</v>
      </c>
      <c r="B4" s="719"/>
      <c r="C4" s="719"/>
      <c r="D4" s="719"/>
      <c r="E4" s="719"/>
      <c r="F4" s="630"/>
    </row>
    <row r="5" spans="1:6" ht="26.1" customHeight="1" x14ac:dyDescent="0.2">
      <c r="A5" s="720"/>
      <c r="B5" s="720"/>
      <c r="C5" s="720"/>
      <c r="D5" s="720"/>
      <c r="E5" s="720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248699567</v>
      </c>
      <c r="D10" s="641">
        <v>277650576</v>
      </c>
      <c r="E10" s="641">
        <v>289281822</v>
      </c>
    </row>
    <row r="11" spans="1:6" ht="26.1" customHeight="1" x14ac:dyDescent="0.25">
      <c r="A11" s="639">
        <v>2</v>
      </c>
      <c r="B11" s="640" t="s">
        <v>906</v>
      </c>
      <c r="C11" s="641">
        <v>328160769</v>
      </c>
      <c r="D11" s="641">
        <v>347300572</v>
      </c>
      <c r="E11" s="641">
        <v>371879098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576860336</v>
      </c>
      <c r="D12" s="641">
        <f>+D11+D10</f>
        <v>624951148</v>
      </c>
      <c r="E12" s="641">
        <f>+E11+E10</f>
        <v>661160920</v>
      </c>
    </row>
    <row r="13" spans="1:6" ht="26.1" customHeight="1" x14ac:dyDescent="0.25">
      <c r="A13" s="639">
        <v>4</v>
      </c>
      <c r="B13" s="640" t="s">
        <v>482</v>
      </c>
      <c r="C13" s="641">
        <v>280126452</v>
      </c>
      <c r="D13" s="641">
        <v>306562977</v>
      </c>
      <c r="E13" s="641">
        <v>318813210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277530735</v>
      </c>
      <c r="D16" s="641">
        <v>299648936</v>
      </c>
      <c r="E16" s="641">
        <v>312331109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69025</v>
      </c>
      <c r="D19" s="644">
        <v>71761</v>
      </c>
      <c r="E19" s="644">
        <v>74082</v>
      </c>
    </row>
    <row r="20" spans="1:5" ht="26.1" customHeight="1" x14ac:dyDescent="0.25">
      <c r="A20" s="639">
        <v>2</v>
      </c>
      <c r="B20" s="640" t="s">
        <v>371</v>
      </c>
      <c r="C20" s="645">
        <v>14857</v>
      </c>
      <c r="D20" s="645">
        <v>15464</v>
      </c>
      <c r="E20" s="645">
        <v>15328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4.6459581342128287</v>
      </c>
      <c r="D21" s="646">
        <f>IF(D20=0,0,+D19/D20)</f>
        <v>4.6405199172271079</v>
      </c>
      <c r="E21" s="646">
        <f>IF(E20=0,0,+E19/E20)</f>
        <v>4.8331158663883089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160103.95664420279</v>
      </c>
      <c r="D22" s="645">
        <f>IF(D10=0,0,D19*(D12/D10))</f>
        <v>161523.59551246886</v>
      </c>
      <c r="E22" s="645">
        <f>IF(E10=0,0,E19*(E12/E10))</f>
        <v>169316.28450349017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34460.912478999213</v>
      </c>
      <c r="D23" s="645">
        <f>IF(D10=0,0,D20*(D12/D10))</f>
        <v>34807.219534354575</v>
      </c>
      <c r="E23" s="645">
        <f>IF(E10=0,0,E20*(E12/E10))</f>
        <v>35032.531638852852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1.1344870633371478</v>
      </c>
      <c r="D26" s="647">
        <v>1.1845094671495084</v>
      </c>
      <c r="E26" s="647">
        <v>1.2128014483298537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78307.969546846623</v>
      </c>
      <c r="D27" s="645">
        <f>D19*D26</f>
        <v>85001.58387211588</v>
      </c>
      <c r="E27" s="645">
        <f>E19*E26</f>
        <v>89846.756895172221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16855.074300000004</v>
      </c>
      <c r="D28" s="645">
        <f>D20*D26</f>
        <v>18317.254399999998</v>
      </c>
      <c r="E28" s="645">
        <f>E20*E26</f>
        <v>18589.820599999999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181635.86760193965</v>
      </c>
      <c r="D29" s="645">
        <f>D22*D26</f>
        <v>191326.22805254723</v>
      </c>
      <c r="E29" s="645">
        <f>E22*E26</f>
        <v>205347.03507166245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39095.459398218285</v>
      </c>
      <c r="D30" s="645">
        <f>D23*D26</f>
        <v>41229.481063594299</v>
      </c>
      <c r="E30" s="645">
        <f>E23*E26</f>
        <v>42487.505110262166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8357.2667294458533</v>
      </c>
      <c r="D33" s="641">
        <f>IF(D19=0,0,D12/D19)</f>
        <v>8708.7853848190516</v>
      </c>
      <c r="E33" s="641">
        <f>IF(E19=0,0,E12/E19)</f>
        <v>8924.7174752301507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38827.511341455203</v>
      </c>
      <c r="D34" s="641">
        <f>IF(D20=0,0,D12/D20)</f>
        <v>40413.292033109159</v>
      </c>
      <c r="E34" s="641">
        <f>IF(E20=0,0,E12/E20)</f>
        <v>43134.193632567847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3603.0361028612815</v>
      </c>
      <c r="D35" s="641">
        <f>IF(D22=0,0,D12/D22)</f>
        <v>3869.1012667047567</v>
      </c>
      <c r="E35" s="641">
        <f>IF(E22=0,0,E12/E22)</f>
        <v>3904.8867741151694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16739.554889950865</v>
      </c>
      <c r="D36" s="641">
        <f>IF(D23=0,0,D12/D23)</f>
        <v>17954.641489912054</v>
      </c>
      <c r="E36" s="641">
        <f>IF(E23=0,0,E12/E23)</f>
        <v>18872.770224425891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3175.9164289302507</v>
      </c>
      <c r="D37" s="641">
        <f>IF(D29=0,0,D12/D29)</f>
        <v>3266.4164989880992</v>
      </c>
      <c r="E37" s="641">
        <f>IF(E29=0,0,E12/E29)</f>
        <v>3219.7246956561444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14755.17476656866</v>
      </c>
      <c r="D38" s="641">
        <f>IF(D30=0,0,D12/D30)</f>
        <v>15157.870821513514</v>
      </c>
      <c r="E38" s="641">
        <f>IF(E30=0,0,E12/E30)</f>
        <v>15561.302511977983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1553.3630287019216</v>
      </c>
      <c r="D39" s="641">
        <f>IF(D22=0,0,D10/D22)</f>
        <v>1718.9474709196074</v>
      </c>
      <c r="E39" s="641">
        <f>IF(E22=0,0,E10/E22)</f>
        <v>1708.5292347886179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7216.8595985831698</v>
      </c>
      <c r="D40" s="641">
        <f>IF(D23=0,0,D10/D23)</f>
        <v>7976.8099754696032</v>
      </c>
      <c r="E40" s="641">
        <f>IF(E23=0,0,E10/E23)</f>
        <v>8257.5197528451481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4058.3332415791378</v>
      </c>
      <c r="D43" s="641">
        <f>IF(D19=0,0,D13/D19)</f>
        <v>4271.9997909728127</v>
      </c>
      <c r="E43" s="641">
        <f>IF(E19=0,0,E13/E19)</f>
        <v>4303.5178585891308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18854.846335060913</v>
      </c>
      <c r="D44" s="641">
        <f>IF(D20=0,0,D13/D20)</f>
        <v>19824.300116399379</v>
      </c>
      <c r="E44" s="641">
        <f>IF(E20=0,0,E13/E20)</f>
        <v>20799.400443632567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1749.6535243193387</v>
      </c>
      <c r="D45" s="641">
        <f>IF(D22=0,0,D13/D22)</f>
        <v>1897.9454737084204</v>
      </c>
      <c r="E45" s="641">
        <f>IF(E22=0,0,E13/E22)</f>
        <v>1882.9447559335511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8128.8170233655756</v>
      </c>
      <c r="D46" s="641">
        <f>IF(D23=0,0,D13/D23)</f>
        <v>8807.4537725549635</v>
      </c>
      <c r="E46" s="641">
        <f>IF(E23=0,0,E13/E23)</f>
        <v>9100.4901754351085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1542.241935463459</v>
      </c>
      <c r="D47" s="641">
        <f>IF(D29=0,0,D13/D29)</f>
        <v>1602.3050269710188</v>
      </c>
      <c r="E47" s="641">
        <f>IF(E29=0,0,E13/E29)</f>
        <v>1552.5581359805847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7165.1914649905948</v>
      </c>
      <c r="D48" s="641">
        <f>IF(D30=0,0,D13/D30)</f>
        <v>7435.5283911321312</v>
      </c>
      <c r="E48" s="641">
        <f>IF(E30=0,0,E13/E30)</f>
        <v>7503.6933604980222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4020.727779789931</v>
      </c>
      <c r="D51" s="641">
        <f>IF(D19=0,0,D16/D19)</f>
        <v>4175.6516213542172</v>
      </c>
      <c r="E51" s="641">
        <f>IF(E19=0,0,E16/E19)</f>
        <v>4216.0188574822496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18680.132933970519</v>
      </c>
      <c r="D52" s="641">
        <f>IF(D20=0,0,D16/D20)</f>
        <v>19377.194516295913</v>
      </c>
      <c r="E52" s="641">
        <f>IF(E20=0,0,E16/E20)</f>
        <v>20376.507633089772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1733.440826929427</v>
      </c>
      <c r="D53" s="641">
        <f>IF(D22=0,0,D16/D22)</f>
        <v>1855.1403282554375</v>
      </c>
      <c r="E53" s="641">
        <f>IF(E22=0,0,E16/E22)</f>
        <v>1844.6607774077504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8053.493510049384</v>
      </c>
      <c r="D54" s="641">
        <f>IF(D23=0,0,D16/D23)</f>
        <v>8608.8156425205925</v>
      </c>
      <c r="E54" s="641">
        <f>IF(E23=0,0,E16/E23)</f>
        <v>8915.4592713935926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1527.9511622022626</v>
      </c>
      <c r="D55" s="641">
        <f>IF(D29=0,0,D16/D29)</f>
        <v>1566.1675821973672</v>
      </c>
      <c r="E55" s="641">
        <f>IF(E29=0,0,E16/E29)</f>
        <v>1520.9915686924917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7098.7971307135485</v>
      </c>
      <c r="D56" s="641">
        <f>IF(D30=0,0,D16/D30)</f>
        <v>7267.8318589023065</v>
      </c>
      <c r="E56" s="641">
        <f>IF(E30=0,0,E16/E30)</f>
        <v>7351.1284832905267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43478209</v>
      </c>
      <c r="D59" s="649">
        <v>45991977</v>
      </c>
      <c r="E59" s="649">
        <v>48372889</v>
      </c>
    </row>
    <row r="60" spans="1:6" ht="26.1" customHeight="1" x14ac:dyDescent="0.25">
      <c r="A60" s="639">
        <v>2</v>
      </c>
      <c r="B60" s="640" t="s">
        <v>942</v>
      </c>
      <c r="C60" s="649">
        <v>12031371</v>
      </c>
      <c r="D60" s="649">
        <v>13654674</v>
      </c>
      <c r="E60" s="649">
        <v>14297260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55509580</v>
      </c>
      <c r="D61" s="652">
        <f>D59+D60</f>
        <v>59646651</v>
      </c>
      <c r="E61" s="652">
        <f>E59+E60</f>
        <v>62670149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2902131</v>
      </c>
      <c r="D64" s="641">
        <v>2994322</v>
      </c>
      <c r="E64" s="649">
        <v>2740700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803083</v>
      </c>
      <c r="D65" s="649">
        <v>888992</v>
      </c>
      <c r="E65" s="649">
        <v>810051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3705214</v>
      </c>
      <c r="D66" s="654">
        <f>D64+D65</f>
        <v>3883314</v>
      </c>
      <c r="E66" s="654">
        <f>E64+E65</f>
        <v>3550751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81739427</v>
      </c>
      <c r="D69" s="649">
        <v>85567860</v>
      </c>
      <c r="E69" s="649">
        <v>90052061</v>
      </c>
    </row>
    <row r="70" spans="1:6" ht="26.1" customHeight="1" x14ac:dyDescent="0.25">
      <c r="A70" s="639">
        <v>2</v>
      </c>
      <c r="B70" s="640" t="s">
        <v>950</v>
      </c>
      <c r="C70" s="649">
        <v>22619086</v>
      </c>
      <c r="D70" s="649">
        <v>25404457</v>
      </c>
      <c r="E70" s="649">
        <v>26616102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104358513</v>
      </c>
      <c r="D71" s="652">
        <f>D69+D70</f>
        <v>110972317</v>
      </c>
      <c r="E71" s="652">
        <f>E69+E70</f>
        <v>116668163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128119767</v>
      </c>
      <c r="D75" s="641">
        <f t="shared" si="0"/>
        <v>134554159</v>
      </c>
      <c r="E75" s="641">
        <f t="shared" si="0"/>
        <v>141165650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35453540</v>
      </c>
      <c r="D76" s="641">
        <f t="shared" si="0"/>
        <v>39948123</v>
      </c>
      <c r="E76" s="641">
        <f t="shared" si="0"/>
        <v>41723413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163573307</v>
      </c>
      <c r="D77" s="654">
        <f>D75+D76</f>
        <v>174502282</v>
      </c>
      <c r="E77" s="654">
        <f>E75+E76</f>
        <v>182889063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496.6</v>
      </c>
      <c r="D80" s="646">
        <v>496.9</v>
      </c>
      <c r="E80" s="646">
        <v>519.20000000000005</v>
      </c>
    </row>
    <row r="81" spans="1:5" ht="26.1" customHeight="1" x14ac:dyDescent="0.25">
      <c r="A81" s="639">
        <v>2</v>
      </c>
      <c r="B81" s="640" t="s">
        <v>582</v>
      </c>
      <c r="C81" s="646">
        <v>8</v>
      </c>
      <c r="D81" s="646">
        <v>8.1</v>
      </c>
      <c r="E81" s="646">
        <v>9.4</v>
      </c>
    </row>
    <row r="82" spans="1:5" ht="26.1" customHeight="1" x14ac:dyDescent="0.25">
      <c r="A82" s="639">
        <v>3</v>
      </c>
      <c r="B82" s="640" t="s">
        <v>956</v>
      </c>
      <c r="C82" s="646">
        <v>1384.7</v>
      </c>
      <c r="D82" s="646">
        <v>1387.8</v>
      </c>
      <c r="E82" s="646">
        <v>1410.5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1889.3000000000002</v>
      </c>
      <c r="D83" s="656">
        <f>D80+D81+D82</f>
        <v>1892.8</v>
      </c>
      <c r="E83" s="656">
        <f>E80+E81+E82</f>
        <v>1939.1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87551.770036246467</v>
      </c>
      <c r="D86" s="649">
        <f>IF(D80=0,0,D59/D80)</f>
        <v>92557.812437110086</v>
      </c>
      <c r="E86" s="649">
        <f>IF(E80=0,0,E59/E80)</f>
        <v>93168.122110939905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24227.488924687877</v>
      </c>
      <c r="D87" s="649">
        <f>IF(D80=0,0,D60/D80)</f>
        <v>27479.722278124373</v>
      </c>
      <c r="E87" s="649">
        <f>IF(E80=0,0,E60/E80)</f>
        <v>27537.095531587056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111779.25896093434</v>
      </c>
      <c r="D88" s="652">
        <f>+D86+D87</f>
        <v>120037.53471523446</v>
      </c>
      <c r="E88" s="652">
        <f>+E86+E87</f>
        <v>120705.21764252696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362766.375</v>
      </c>
      <c r="D91" s="641">
        <f>IF(D81=0,0,D64/D81)</f>
        <v>369669.38271604938</v>
      </c>
      <c r="E91" s="641">
        <f>IF(E81=0,0,E64/E81)</f>
        <v>291563.82978723402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100385.375</v>
      </c>
      <c r="D92" s="641">
        <f>IF(D81=0,0,D65/D81)</f>
        <v>109752.09876543211</v>
      </c>
      <c r="E92" s="641">
        <f>IF(E81=0,0,E65/E81)</f>
        <v>86175.638297872341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463151.75</v>
      </c>
      <c r="D93" s="654">
        <f>+D91+D92</f>
        <v>479421.48148148146</v>
      </c>
      <c r="E93" s="654">
        <f>+E91+E92</f>
        <v>377739.46808510635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59030.423196360221</v>
      </c>
      <c r="D96" s="649">
        <f>IF(D82=0,0,D69/D82)</f>
        <v>61657.198443579771</v>
      </c>
      <c r="E96" s="649">
        <f>IF(E82=0,0,E69/E82)</f>
        <v>63844.070187876641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16335.008305048024</v>
      </c>
      <c r="D97" s="649">
        <f>IF(D82=0,0,D70/D82)</f>
        <v>18305.560599510016</v>
      </c>
      <c r="E97" s="649">
        <f>IF(E82=0,0,E70/E82)</f>
        <v>18869.97660404112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75365.431501408253</v>
      </c>
      <c r="D98" s="654">
        <f>+D96+D97</f>
        <v>79962.759043089784</v>
      </c>
      <c r="E98" s="654">
        <f>+E96+E97</f>
        <v>82714.046791917761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67813.352564441855</v>
      </c>
      <c r="D101" s="641">
        <f>IF(D83=0,0,D75/D83)</f>
        <v>71087.3621090448</v>
      </c>
      <c r="E101" s="641">
        <f>IF(E83=0,0,E75/E83)</f>
        <v>72799.571966376156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18765.436934314293</v>
      </c>
      <c r="D102" s="658">
        <f>IF(D83=0,0,D76/D83)</f>
        <v>21105.30589602705</v>
      </c>
      <c r="E102" s="658">
        <f>IF(E83=0,0,E76/E83)</f>
        <v>21516.895982672373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86578.789498756145</v>
      </c>
      <c r="D103" s="654">
        <f>+D101+D102</f>
        <v>92192.668005071842</v>
      </c>
      <c r="E103" s="654">
        <f>+E101+E102</f>
        <v>94316.467949048529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2369.7690257153204</v>
      </c>
      <c r="D108" s="641">
        <f>IF(D19=0,0,D77/D19)</f>
        <v>2431.7147475648335</v>
      </c>
      <c r="E108" s="641">
        <f>IF(E19=0,0,E77/E19)</f>
        <v>2468.73819551308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11009.847681227704</v>
      </c>
      <c r="D109" s="641">
        <f>IF(D20=0,0,D77/D20)</f>
        <v>11284.420719089498</v>
      </c>
      <c r="E109" s="641">
        <f>IF(E20=0,0,E77/E20)</f>
        <v>11931.69774269311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1021.6693605112278</v>
      </c>
      <c r="D110" s="641">
        <f>IF(D22=0,0,D77/D22)</f>
        <v>1080.3516442681544</v>
      </c>
      <c r="E110" s="641">
        <f>IF(E22=0,0,E77/E22)</f>
        <v>1080.1622746229707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4746.6330759431585</v>
      </c>
      <c r="D111" s="641">
        <f>IF(D23=0,0,D77/D23)</f>
        <v>5013.3933228354254</v>
      </c>
      <c r="E111" s="641">
        <f>IF(E23=0,0,E77/E23)</f>
        <v>5220.5494277543667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900.55620158941133</v>
      </c>
      <c r="D112" s="641">
        <f>IF(D29=0,0,D77/D29)</f>
        <v>912.06670290951126</v>
      </c>
      <c r="E112" s="641">
        <f>IF(E29=0,0,E77/E29)</f>
        <v>890.63405729805152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4183.9464100901341</v>
      </c>
      <c r="D113" s="641">
        <f>IF(D30=0,0,D77/D30)</f>
        <v>4232.4637006912462</v>
      </c>
      <c r="E113" s="641">
        <f>IF(E30=0,0,E77/E30)</f>
        <v>4304.5375934730073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FILING&amp;R&amp;12LAWRENCE AND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624951148</v>
      </c>
      <c r="D12" s="51">
        <v>661160918</v>
      </c>
      <c r="E12" s="51">
        <f t="shared" ref="E12:E19" si="0">D12-C12</f>
        <v>36209770</v>
      </c>
      <c r="F12" s="70">
        <f t="shared" ref="F12:F19" si="1">IF(C12=0,0,E12/C12)</f>
        <v>5.7940160788375737E-2</v>
      </c>
    </row>
    <row r="13" spans="1:8" ht="23.1" customHeight="1" x14ac:dyDescent="0.2">
      <c r="A13" s="25">
        <v>2</v>
      </c>
      <c r="B13" s="48" t="s">
        <v>72</v>
      </c>
      <c r="C13" s="51">
        <v>315014886</v>
      </c>
      <c r="D13" s="51">
        <v>337906139</v>
      </c>
      <c r="E13" s="51">
        <f t="shared" si="0"/>
        <v>22891253</v>
      </c>
      <c r="F13" s="70">
        <f t="shared" si="1"/>
        <v>7.2667210399701559E-2</v>
      </c>
    </row>
    <row r="14" spans="1:8" ht="23.1" customHeight="1" x14ac:dyDescent="0.2">
      <c r="A14" s="25">
        <v>3</v>
      </c>
      <c r="B14" s="48" t="s">
        <v>73</v>
      </c>
      <c r="C14" s="51">
        <v>5279619</v>
      </c>
      <c r="D14" s="51">
        <v>6368501</v>
      </c>
      <c r="E14" s="51">
        <f t="shared" si="0"/>
        <v>1088882</v>
      </c>
      <c r="F14" s="70">
        <f t="shared" si="1"/>
        <v>0.20624253378889651</v>
      </c>
    </row>
    <row r="15" spans="1:8" ht="23.1" customHeight="1" x14ac:dyDescent="0.2">
      <c r="A15" s="25">
        <v>4</v>
      </c>
      <c r="B15" s="48" t="s">
        <v>74</v>
      </c>
      <c r="C15" s="51">
        <v>-1906334</v>
      </c>
      <c r="D15" s="51">
        <v>-1926932</v>
      </c>
      <c r="E15" s="51">
        <f t="shared" si="0"/>
        <v>-20598</v>
      </c>
      <c r="F15" s="70">
        <f t="shared" si="1"/>
        <v>1.080503206678368E-2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306562977</v>
      </c>
      <c r="D16" s="27">
        <f>D12-D13-D14-D15</f>
        <v>318813210</v>
      </c>
      <c r="E16" s="27">
        <f t="shared" si="0"/>
        <v>12250233</v>
      </c>
      <c r="F16" s="28">
        <f t="shared" si="1"/>
        <v>3.9959923144926926E-2</v>
      </c>
    </row>
    <row r="17" spans="1:7" ht="23.1" customHeight="1" x14ac:dyDescent="0.2">
      <c r="A17" s="25">
        <v>5</v>
      </c>
      <c r="B17" s="48" t="s">
        <v>76</v>
      </c>
      <c r="C17" s="51">
        <v>14292897</v>
      </c>
      <c r="D17" s="51">
        <v>15662907</v>
      </c>
      <c r="E17" s="51">
        <f t="shared" si="0"/>
        <v>1370010</v>
      </c>
      <c r="F17" s="70">
        <f t="shared" si="1"/>
        <v>9.5852506318348199E-2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412940</v>
      </c>
      <c r="D18" s="51">
        <v>394829</v>
      </c>
      <c r="E18" s="51">
        <f t="shared" si="0"/>
        <v>-18111</v>
      </c>
      <c r="F18" s="70">
        <f t="shared" si="1"/>
        <v>-4.3858671962028382E-2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321268814</v>
      </c>
      <c r="D19" s="27">
        <f>SUM(D16:D18)</f>
        <v>334870946</v>
      </c>
      <c r="E19" s="27">
        <f t="shared" si="0"/>
        <v>13602132</v>
      </c>
      <c r="F19" s="28">
        <f t="shared" si="1"/>
        <v>4.2338787355812257E-2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134554159</v>
      </c>
      <c r="D22" s="51">
        <v>141165650</v>
      </c>
      <c r="E22" s="51">
        <f t="shared" ref="E22:E31" si="2">D22-C22</f>
        <v>6611491</v>
      </c>
      <c r="F22" s="70">
        <f t="shared" ref="F22:F31" si="3">IF(C22=0,0,E22/C22)</f>
        <v>4.913628125013958E-2</v>
      </c>
    </row>
    <row r="23" spans="1:7" ht="23.1" customHeight="1" x14ac:dyDescent="0.2">
      <c r="A23" s="25">
        <v>2</v>
      </c>
      <c r="B23" s="48" t="s">
        <v>81</v>
      </c>
      <c r="C23" s="51">
        <v>39948123</v>
      </c>
      <c r="D23" s="51">
        <v>41723413</v>
      </c>
      <c r="E23" s="51">
        <f t="shared" si="2"/>
        <v>1775290</v>
      </c>
      <c r="F23" s="70">
        <f t="shared" si="3"/>
        <v>4.4439885198110561E-2</v>
      </c>
    </row>
    <row r="24" spans="1:7" ht="23.1" customHeight="1" x14ac:dyDescent="0.2">
      <c r="A24" s="25">
        <v>3</v>
      </c>
      <c r="B24" s="48" t="s">
        <v>82</v>
      </c>
      <c r="C24" s="51">
        <v>1343844</v>
      </c>
      <c r="D24" s="51">
        <v>1676732</v>
      </c>
      <c r="E24" s="51">
        <f t="shared" si="2"/>
        <v>332888</v>
      </c>
      <c r="F24" s="70">
        <f t="shared" si="3"/>
        <v>0.2477132762433735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37141661</v>
      </c>
      <c r="D25" s="51">
        <v>39118046</v>
      </c>
      <c r="E25" s="51">
        <f t="shared" si="2"/>
        <v>1976385</v>
      </c>
      <c r="F25" s="70">
        <f t="shared" si="3"/>
        <v>5.3212079018221614E-2</v>
      </c>
    </row>
    <row r="26" spans="1:7" ht="23.1" customHeight="1" x14ac:dyDescent="0.2">
      <c r="A26" s="25">
        <v>5</v>
      </c>
      <c r="B26" s="48" t="s">
        <v>84</v>
      </c>
      <c r="C26" s="51">
        <v>16728407</v>
      </c>
      <c r="D26" s="51">
        <v>17199558</v>
      </c>
      <c r="E26" s="51">
        <f t="shared" si="2"/>
        <v>471151</v>
      </c>
      <c r="F26" s="70">
        <f t="shared" si="3"/>
        <v>2.8164726025616187E-2</v>
      </c>
    </row>
    <row r="27" spans="1:7" ht="23.1" customHeight="1" x14ac:dyDescent="0.2">
      <c r="A27" s="25">
        <v>6</v>
      </c>
      <c r="B27" s="48" t="s">
        <v>85</v>
      </c>
      <c r="C27" s="51">
        <v>14381176</v>
      </c>
      <c r="D27" s="51">
        <v>13865211</v>
      </c>
      <c r="E27" s="51">
        <f t="shared" si="2"/>
        <v>-515965</v>
      </c>
      <c r="F27" s="70">
        <f t="shared" si="3"/>
        <v>-3.5877803039195126E-2</v>
      </c>
    </row>
    <row r="28" spans="1:7" ht="23.1" customHeight="1" x14ac:dyDescent="0.2">
      <c r="A28" s="25">
        <v>7</v>
      </c>
      <c r="B28" s="48" t="s">
        <v>86</v>
      </c>
      <c r="C28" s="51">
        <v>2332245</v>
      </c>
      <c r="D28" s="51">
        <v>2212177</v>
      </c>
      <c r="E28" s="51">
        <f t="shared" si="2"/>
        <v>-120068</v>
      </c>
      <c r="F28" s="70">
        <f t="shared" si="3"/>
        <v>-5.1481726834016153E-2</v>
      </c>
    </row>
    <row r="29" spans="1:7" ht="23.1" customHeight="1" x14ac:dyDescent="0.2">
      <c r="A29" s="25">
        <v>8</v>
      </c>
      <c r="B29" s="48" t="s">
        <v>87</v>
      </c>
      <c r="C29" s="51">
        <v>5435494</v>
      </c>
      <c r="D29" s="51">
        <v>3954496</v>
      </c>
      <c r="E29" s="51">
        <f t="shared" si="2"/>
        <v>-1480998</v>
      </c>
      <c r="F29" s="70">
        <f t="shared" si="3"/>
        <v>-0.27246796703298726</v>
      </c>
    </row>
    <row r="30" spans="1:7" ht="23.1" customHeight="1" x14ac:dyDescent="0.2">
      <c r="A30" s="25">
        <v>9</v>
      </c>
      <c r="B30" s="48" t="s">
        <v>88</v>
      </c>
      <c r="C30" s="51">
        <v>47783827</v>
      </c>
      <c r="D30" s="51">
        <v>51415826</v>
      </c>
      <c r="E30" s="51">
        <f t="shared" si="2"/>
        <v>3631999</v>
      </c>
      <c r="F30" s="70">
        <f t="shared" si="3"/>
        <v>7.600896010275611E-2</v>
      </c>
    </row>
    <row r="31" spans="1:7" ht="23.1" customHeight="1" x14ac:dyDescent="0.25">
      <c r="A31" s="29"/>
      <c r="B31" s="71" t="s">
        <v>89</v>
      </c>
      <c r="C31" s="27">
        <f>SUM(C22:C30)</f>
        <v>299648936</v>
      </c>
      <c r="D31" s="27">
        <f>SUM(D22:D30)</f>
        <v>312331109</v>
      </c>
      <c r="E31" s="27">
        <f t="shared" si="2"/>
        <v>12682173</v>
      </c>
      <c r="F31" s="28">
        <f t="shared" si="3"/>
        <v>4.2323437450817444E-2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21619878</v>
      </c>
      <c r="D33" s="27">
        <f>+D19-D31</f>
        <v>22539837</v>
      </c>
      <c r="E33" s="27">
        <f>D33-C33</f>
        <v>919959</v>
      </c>
      <c r="F33" s="28">
        <f>IF(C33=0,0,E33/C33)</f>
        <v>4.2551535212178346E-2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-18052615</v>
      </c>
      <c r="D36" s="51">
        <v>4137772</v>
      </c>
      <c r="E36" s="51">
        <f>D36-C36</f>
        <v>22190387</v>
      </c>
      <c r="F36" s="70">
        <f>IF(C36=0,0,E36/C36)</f>
        <v>-1.2292062396500452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-18052615</v>
      </c>
      <c r="D39" s="27">
        <f>SUM(D36:D38)</f>
        <v>4137772</v>
      </c>
      <c r="E39" s="27">
        <f>D39-C39</f>
        <v>22190387</v>
      </c>
      <c r="F39" s="28">
        <f>IF(C39=0,0,E39/C39)</f>
        <v>-1.2292062396500452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3567263</v>
      </c>
      <c r="D41" s="27">
        <f>D33+D39</f>
        <v>26677609</v>
      </c>
      <c r="E41" s="27">
        <f>D41-C41</f>
        <v>23110346</v>
      </c>
      <c r="F41" s="28">
        <f>IF(C41=0,0,E41/C41)</f>
        <v>6.478453088544355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3567263</v>
      </c>
      <c r="D48" s="27">
        <f>D41+D46</f>
        <v>26677609</v>
      </c>
      <c r="E48" s="27">
        <f>D48-C48</f>
        <v>23110346</v>
      </c>
      <c r="F48" s="28">
        <f>IF(C48=0,0,E48/C48)</f>
        <v>6.478453088544355</v>
      </c>
    </row>
    <row r="49" spans="1:6" ht="23.1" customHeight="1" x14ac:dyDescent="0.2">
      <c r="A49" s="44"/>
      <c r="B49" s="48" t="s">
        <v>102</v>
      </c>
      <c r="C49" s="51">
        <v>2640000</v>
      </c>
      <c r="D49" s="51">
        <v>2775000</v>
      </c>
      <c r="E49" s="51">
        <f>D49-C49</f>
        <v>135000</v>
      </c>
      <c r="F49" s="70">
        <f>IF(C49=0,0,E49/C49)</f>
        <v>5.113636363636364E-2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FILING&amp;RLAWRENCE AND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2" t="s">
        <v>0</v>
      </c>
      <c r="B2" s="672"/>
      <c r="C2" s="672"/>
      <c r="D2" s="672"/>
      <c r="E2" s="672"/>
      <c r="F2" s="672"/>
    </row>
    <row r="3" spans="1:6" ht="18" customHeight="1" x14ac:dyDescent="0.25">
      <c r="A3" s="672" t="s">
        <v>1</v>
      </c>
      <c r="B3" s="672"/>
      <c r="C3" s="672"/>
      <c r="D3" s="672"/>
      <c r="E3" s="672"/>
      <c r="F3" s="672"/>
    </row>
    <row r="4" spans="1:6" ht="18" customHeight="1" x14ac:dyDescent="0.25">
      <c r="A4" s="672" t="s">
        <v>2</v>
      </c>
      <c r="B4" s="672"/>
      <c r="C4" s="672"/>
      <c r="D4" s="672"/>
      <c r="E4" s="672"/>
      <c r="F4" s="672"/>
    </row>
    <row r="5" spans="1:6" ht="18" customHeight="1" x14ac:dyDescent="0.25">
      <c r="A5" s="672" t="s">
        <v>103</v>
      </c>
      <c r="B5" s="672"/>
      <c r="C5" s="672"/>
      <c r="D5" s="672"/>
      <c r="E5" s="672"/>
      <c r="F5" s="672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3"/>
      <c r="D9" s="674"/>
      <c r="E9" s="674"/>
      <c r="F9" s="675"/>
    </row>
    <row r="10" spans="1:6" ht="18" customHeight="1" x14ac:dyDescent="0.25">
      <c r="A10" s="662" t="s">
        <v>12</v>
      </c>
      <c r="B10" s="664" t="s">
        <v>109</v>
      </c>
      <c r="C10" s="666"/>
      <c r="D10" s="667"/>
      <c r="E10" s="667"/>
      <c r="F10" s="668"/>
    </row>
    <row r="11" spans="1:6" ht="18" customHeight="1" x14ac:dyDescent="0.25">
      <c r="A11" s="663"/>
      <c r="B11" s="665"/>
      <c r="C11" s="669"/>
      <c r="D11" s="670"/>
      <c r="E11" s="670"/>
      <c r="F11" s="671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132582042</v>
      </c>
      <c r="D14" s="97">
        <v>139616545</v>
      </c>
      <c r="E14" s="97">
        <f t="shared" ref="E14:E25" si="0">D14-C14</f>
        <v>7034503</v>
      </c>
      <c r="F14" s="98">
        <f t="shared" ref="F14:F25" si="1">IF(C14=0,0,E14/C14)</f>
        <v>5.3057736129905136E-2</v>
      </c>
    </row>
    <row r="15" spans="1:6" ht="18" customHeight="1" x14ac:dyDescent="0.25">
      <c r="A15" s="99">
        <v>2</v>
      </c>
      <c r="B15" s="100" t="s">
        <v>113</v>
      </c>
      <c r="C15" s="97">
        <v>11631619</v>
      </c>
      <c r="D15" s="97">
        <v>16223043</v>
      </c>
      <c r="E15" s="97">
        <f t="shared" si="0"/>
        <v>4591424</v>
      </c>
      <c r="F15" s="98">
        <f t="shared" si="1"/>
        <v>0.39473645070389601</v>
      </c>
    </row>
    <row r="16" spans="1:6" ht="18" customHeight="1" x14ac:dyDescent="0.25">
      <c r="A16" s="99">
        <v>3</v>
      </c>
      <c r="B16" s="100" t="s">
        <v>114</v>
      </c>
      <c r="C16" s="97">
        <v>20465318</v>
      </c>
      <c r="D16" s="97">
        <v>29897324</v>
      </c>
      <c r="E16" s="97">
        <f t="shared" si="0"/>
        <v>9432006</v>
      </c>
      <c r="F16" s="98">
        <f t="shared" si="1"/>
        <v>0.46087756857723883</v>
      </c>
    </row>
    <row r="17" spans="1:6" ht="18" customHeight="1" x14ac:dyDescent="0.25">
      <c r="A17" s="99">
        <v>4</v>
      </c>
      <c r="B17" s="100" t="s">
        <v>115</v>
      </c>
      <c r="C17" s="97">
        <v>16688613</v>
      </c>
      <c r="D17" s="97">
        <v>18107484</v>
      </c>
      <c r="E17" s="97">
        <f t="shared" si="0"/>
        <v>1418871</v>
      </c>
      <c r="F17" s="98">
        <f t="shared" si="1"/>
        <v>8.502030696020095E-2</v>
      </c>
    </row>
    <row r="18" spans="1:6" ht="18" customHeight="1" x14ac:dyDescent="0.25">
      <c r="A18" s="99">
        <v>5</v>
      </c>
      <c r="B18" s="100" t="s">
        <v>116</v>
      </c>
      <c r="C18" s="97">
        <v>10787694</v>
      </c>
      <c r="D18" s="97">
        <v>12235130</v>
      </c>
      <c r="E18" s="97">
        <f t="shared" si="0"/>
        <v>1447436</v>
      </c>
      <c r="F18" s="98">
        <f t="shared" si="1"/>
        <v>0.1341747365099529</v>
      </c>
    </row>
    <row r="19" spans="1:6" ht="18" customHeight="1" x14ac:dyDescent="0.25">
      <c r="A19" s="99">
        <v>6</v>
      </c>
      <c r="B19" s="100" t="s">
        <v>117</v>
      </c>
      <c r="C19" s="97">
        <v>15319153</v>
      </c>
      <c r="D19" s="97">
        <v>7631501</v>
      </c>
      <c r="E19" s="97">
        <f t="shared" si="0"/>
        <v>-7687652</v>
      </c>
      <c r="F19" s="98">
        <f t="shared" si="1"/>
        <v>-0.50183270576382388</v>
      </c>
    </row>
    <row r="20" spans="1:6" ht="18" customHeight="1" x14ac:dyDescent="0.25">
      <c r="A20" s="99">
        <v>7</v>
      </c>
      <c r="B20" s="100" t="s">
        <v>118</v>
      </c>
      <c r="C20" s="97">
        <v>56992539</v>
      </c>
      <c r="D20" s="97">
        <v>60286502</v>
      </c>
      <c r="E20" s="97">
        <f t="shared" si="0"/>
        <v>3293963</v>
      </c>
      <c r="F20" s="98">
        <f t="shared" si="1"/>
        <v>5.7796389804637409E-2</v>
      </c>
    </row>
    <row r="21" spans="1:6" ht="18" customHeight="1" x14ac:dyDescent="0.25">
      <c r="A21" s="99">
        <v>8</v>
      </c>
      <c r="B21" s="100" t="s">
        <v>119</v>
      </c>
      <c r="C21" s="97">
        <v>2668222</v>
      </c>
      <c r="D21" s="97">
        <v>3200470</v>
      </c>
      <c r="E21" s="97">
        <f t="shared" si="0"/>
        <v>532248</v>
      </c>
      <c r="F21" s="98">
        <f t="shared" si="1"/>
        <v>0.19947665524083077</v>
      </c>
    </row>
    <row r="22" spans="1:6" ht="18" customHeight="1" x14ac:dyDescent="0.25">
      <c r="A22" s="99">
        <v>9</v>
      </c>
      <c r="B22" s="100" t="s">
        <v>120</v>
      </c>
      <c r="C22" s="97">
        <v>2364381</v>
      </c>
      <c r="D22" s="97">
        <v>1105922</v>
      </c>
      <c r="E22" s="97">
        <f t="shared" si="0"/>
        <v>-1258459</v>
      </c>
      <c r="F22" s="98">
        <f t="shared" si="1"/>
        <v>-0.53225728002382022</v>
      </c>
    </row>
    <row r="23" spans="1:6" ht="18" customHeight="1" x14ac:dyDescent="0.25">
      <c r="A23" s="99">
        <v>10</v>
      </c>
      <c r="B23" s="100" t="s">
        <v>121</v>
      </c>
      <c r="C23" s="97">
        <v>7258692</v>
      </c>
      <c r="D23" s="97">
        <v>0</v>
      </c>
      <c r="E23" s="97">
        <f t="shared" si="0"/>
        <v>-7258692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892303</v>
      </c>
      <c r="D24" s="97">
        <v>977901</v>
      </c>
      <c r="E24" s="97">
        <f t="shared" si="0"/>
        <v>85598</v>
      </c>
      <c r="F24" s="98">
        <f t="shared" si="1"/>
        <v>9.5929297559237167E-2</v>
      </c>
    </row>
    <row r="25" spans="1:6" ht="18" customHeight="1" x14ac:dyDescent="0.25">
      <c r="A25" s="101"/>
      <c r="B25" s="102" t="s">
        <v>123</v>
      </c>
      <c r="C25" s="103">
        <f>SUM(C14:C24)</f>
        <v>277650576</v>
      </c>
      <c r="D25" s="103">
        <f>SUM(D14:D24)</f>
        <v>289281822</v>
      </c>
      <c r="E25" s="103">
        <f t="shared" si="0"/>
        <v>11631246</v>
      </c>
      <c r="F25" s="104">
        <f t="shared" si="1"/>
        <v>4.1891668901129886E-2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88906069</v>
      </c>
      <c r="D27" s="97">
        <v>94348371</v>
      </c>
      <c r="E27" s="97">
        <f t="shared" ref="E27:E38" si="2">D27-C27</f>
        <v>5442302</v>
      </c>
      <c r="F27" s="98">
        <f t="shared" ref="F27:F38" si="3">IF(C27=0,0,E27/C27)</f>
        <v>6.1214066274823148E-2</v>
      </c>
    </row>
    <row r="28" spans="1:6" ht="18" customHeight="1" x14ac:dyDescent="0.25">
      <c r="A28" s="99">
        <v>2</v>
      </c>
      <c r="B28" s="100" t="s">
        <v>113</v>
      </c>
      <c r="C28" s="97">
        <v>10641667</v>
      </c>
      <c r="D28" s="97">
        <v>13377904</v>
      </c>
      <c r="E28" s="97">
        <f t="shared" si="2"/>
        <v>2736237</v>
      </c>
      <c r="F28" s="98">
        <f t="shared" si="3"/>
        <v>0.25712484707518096</v>
      </c>
    </row>
    <row r="29" spans="1:6" ht="18" customHeight="1" x14ac:dyDescent="0.25">
      <c r="A29" s="99">
        <v>3</v>
      </c>
      <c r="B29" s="100" t="s">
        <v>114</v>
      </c>
      <c r="C29" s="97">
        <v>14192471</v>
      </c>
      <c r="D29" s="97">
        <v>27942466</v>
      </c>
      <c r="E29" s="97">
        <f t="shared" si="2"/>
        <v>13749995</v>
      </c>
      <c r="F29" s="98">
        <f t="shared" si="3"/>
        <v>0.9688231880128555</v>
      </c>
    </row>
    <row r="30" spans="1:6" ht="18" customHeight="1" x14ac:dyDescent="0.25">
      <c r="A30" s="99">
        <v>4</v>
      </c>
      <c r="B30" s="100" t="s">
        <v>115</v>
      </c>
      <c r="C30" s="97">
        <v>28023649</v>
      </c>
      <c r="D30" s="97">
        <v>32251602</v>
      </c>
      <c r="E30" s="97">
        <f t="shared" si="2"/>
        <v>4227953</v>
      </c>
      <c r="F30" s="98">
        <f t="shared" si="3"/>
        <v>0.15087089479317986</v>
      </c>
    </row>
    <row r="31" spans="1:6" ht="18" customHeight="1" x14ac:dyDescent="0.25">
      <c r="A31" s="99">
        <v>5</v>
      </c>
      <c r="B31" s="100" t="s">
        <v>116</v>
      </c>
      <c r="C31" s="97">
        <v>22929961</v>
      </c>
      <c r="D31" s="97">
        <v>23023949</v>
      </c>
      <c r="E31" s="97">
        <f t="shared" si="2"/>
        <v>93988</v>
      </c>
      <c r="F31" s="98">
        <f t="shared" si="3"/>
        <v>4.0989166968055466E-3</v>
      </c>
    </row>
    <row r="32" spans="1:6" ht="18" customHeight="1" x14ac:dyDescent="0.25">
      <c r="A32" s="99">
        <v>6</v>
      </c>
      <c r="B32" s="100" t="s">
        <v>117</v>
      </c>
      <c r="C32" s="97">
        <v>30644334</v>
      </c>
      <c r="D32" s="97">
        <v>17711987</v>
      </c>
      <c r="E32" s="97">
        <f t="shared" si="2"/>
        <v>-12932347</v>
      </c>
      <c r="F32" s="98">
        <f t="shared" si="3"/>
        <v>-0.42201429471431817</v>
      </c>
    </row>
    <row r="33" spans="1:6" ht="18" customHeight="1" x14ac:dyDescent="0.25">
      <c r="A33" s="99">
        <v>7</v>
      </c>
      <c r="B33" s="100" t="s">
        <v>118</v>
      </c>
      <c r="C33" s="97">
        <v>127329696</v>
      </c>
      <c r="D33" s="97">
        <v>144961817</v>
      </c>
      <c r="E33" s="97">
        <f t="shared" si="2"/>
        <v>17632121</v>
      </c>
      <c r="F33" s="98">
        <f t="shared" si="3"/>
        <v>0.13847611008197178</v>
      </c>
    </row>
    <row r="34" spans="1:6" ht="18" customHeight="1" x14ac:dyDescent="0.25">
      <c r="A34" s="99">
        <v>8</v>
      </c>
      <c r="B34" s="100" t="s">
        <v>119</v>
      </c>
      <c r="C34" s="97">
        <v>5779448</v>
      </c>
      <c r="D34" s="97">
        <v>6427127</v>
      </c>
      <c r="E34" s="97">
        <f t="shared" si="2"/>
        <v>647679</v>
      </c>
      <c r="F34" s="98">
        <f t="shared" si="3"/>
        <v>0.11206589279806653</v>
      </c>
    </row>
    <row r="35" spans="1:6" ht="18" customHeight="1" x14ac:dyDescent="0.25">
      <c r="A35" s="99">
        <v>9</v>
      </c>
      <c r="B35" s="100" t="s">
        <v>120</v>
      </c>
      <c r="C35" s="97">
        <v>10076058</v>
      </c>
      <c r="D35" s="97">
        <v>10910851</v>
      </c>
      <c r="E35" s="97">
        <f t="shared" si="2"/>
        <v>834793</v>
      </c>
      <c r="F35" s="98">
        <f t="shared" si="3"/>
        <v>8.2849165814646963E-2</v>
      </c>
    </row>
    <row r="36" spans="1:6" ht="18" customHeight="1" x14ac:dyDescent="0.25">
      <c r="A36" s="99">
        <v>10</v>
      </c>
      <c r="B36" s="100" t="s">
        <v>121</v>
      </c>
      <c r="C36" s="97">
        <v>8067918</v>
      </c>
      <c r="D36" s="97">
        <v>0</v>
      </c>
      <c r="E36" s="97">
        <f t="shared" si="2"/>
        <v>-8067918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709301</v>
      </c>
      <c r="D37" s="97">
        <v>923024</v>
      </c>
      <c r="E37" s="97">
        <f t="shared" si="2"/>
        <v>213723</v>
      </c>
      <c r="F37" s="98">
        <f t="shared" si="3"/>
        <v>0.30131495655582047</v>
      </c>
    </row>
    <row r="38" spans="1:6" ht="18" customHeight="1" x14ac:dyDescent="0.25">
      <c r="A38" s="101"/>
      <c r="B38" s="102" t="s">
        <v>126</v>
      </c>
      <c r="C38" s="103">
        <f>SUM(C27:C37)</f>
        <v>347300572</v>
      </c>
      <c r="D38" s="103">
        <f>SUM(D27:D37)</f>
        <v>371879098</v>
      </c>
      <c r="E38" s="103">
        <f t="shared" si="2"/>
        <v>24578526</v>
      </c>
      <c r="F38" s="104">
        <f t="shared" si="3"/>
        <v>7.0770185774413297E-2</v>
      </c>
    </row>
    <row r="39" spans="1:6" ht="18" customHeight="1" x14ac:dyDescent="0.25">
      <c r="A39" s="662" t="s">
        <v>127</v>
      </c>
      <c r="B39" s="664" t="s">
        <v>128</v>
      </c>
      <c r="C39" s="666"/>
      <c r="D39" s="667"/>
      <c r="E39" s="667"/>
      <c r="F39" s="668"/>
    </row>
    <row r="40" spans="1:6" ht="18" customHeight="1" x14ac:dyDescent="0.25">
      <c r="A40" s="663"/>
      <c r="B40" s="665"/>
      <c r="C40" s="669"/>
      <c r="D40" s="670"/>
      <c r="E40" s="670"/>
      <c r="F40" s="671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221488111</v>
      </c>
      <c r="D41" s="103">
        <f t="shared" si="4"/>
        <v>233964916</v>
      </c>
      <c r="E41" s="107">
        <f t="shared" ref="E41:E52" si="5">D41-C41</f>
        <v>12476805</v>
      </c>
      <c r="F41" s="108">
        <f t="shared" ref="F41:F52" si="6">IF(C41=0,0,E41/C41)</f>
        <v>5.6331714346509548E-2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22273286</v>
      </c>
      <c r="D42" s="103">
        <f t="shared" si="4"/>
        <v>29600947</v>
      </c>
      <c r="E42" s="107">
        <f t="shared" si="5"/>
        <v>7327661</v>
      </c>
      <c r="F42" s="108">
        <f t="shared" si="6"/>
        <v>0.32898877157146905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34657789</v>
      </c>
      <c r="D43" s="103">
        <f t="shared" si="4"/>
        <v>57839790</v>
      </c>
      <c r="E43" s="107">
        <f t="shared" si="5"/>
        <v>23182001</v>
      </c>
      <c r="F43" s="108">
        <f t="shared" si="6"/>
        <v>0.66888285920374202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44712262</v>
      </c>
      <c r="D44" s="103">
        <f t="shared" si="4"/>
        <v>50359086</v>
      </c>
      <c r="E44" s="107">
        <f t="shared" si="5"/>
        <v>5646824</v>
      </c>
      <c r="F44" s="108">
        <f t="shared" si="6"/>
        <v>0.1262925145679277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33717655</v>
      </c>
      <c r="D45" s="103">
        <f t="shared" si="4"/>
        <v>35259079</v>
      </c>
      <c r="E45" s="107">
        <f t="shared" si="5"/>
        <v>1541424</v>
      </c>
      <c r="F45" s="108">
        <f t="shared" si="6"/>
        <v>4.571563473201206E-2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45963487</v>
      </c>
      <c r="D46" s="103">
        <f t="shared" si="4"/>
        <v>25343488</v>
      </c>
      <c r="E46" s="107">
        <f t="shared" si="5"/>
        <v>-20619999</v>
      </c>
      <c r="F46" s="108">
        <f t="shared" si="6"/>
        <v>-0.44861694240038835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184322235</v>
      </c>
      <c r="D47" s="103">
        <f t="shared" si="4"/>
        <v>205248319</v>
      </c>
      <c r="E47" s="107">
        <f t="shared" si="5"/>
        <v>20926084</v>
      </c>
      <c r="F47" s="108">
        <f t="shared" si="6"/>
        <v>0.11352989507749839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8447670</v>
      </c>
      <c r="D48" s="103">
        <f t="shared" si="4"/>
        <v>9627597</v>
      </c>
      <c r="E48" s="107">
        <f t="shared" si="5"/>
        <v>1179927</v>
      </c>
      <c r="F48" s="108">
        <f t="shared" si="6"/>
        <v>0.13967484525318816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12440439</v>
      </c>
      <c r="D49" s="103">
        <f t="shared" si="4"/>
        <v>12016773</v>
      </c>
      <c r="E49" s="107">
        <f t="shared" si="5"/>
        <v>-423666</v>
      </c>
      <c r="F49" s="108">
        <f t="shared" si="6"/>
        <v>-3.4055550612000107E-2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15326610</v>
      </c>
      <c r="D50" s="103">
        <f t="shared" si="4"/>
        <v>0</v>
      </c>
      <c r="E50" s="107">
        <f t="shared" si="5"/>
        <v>-15326610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1601604</v>
      </c>
      <c r="D51" s="103">
        <f t="shared" si="4"/>
        <v>1900925</v>
      </c>
      <c r="E51" s="107">
        <f t="shared" si="5"/>
        <v>299321</v>
      </c>
      <c r="F51" s="108">
        <f t="shared" si="6"/>
        <v>0.18688826950981641</v>
      </c>
    </row>
    <row r="52" spans="1:6" ht="18.75" customHeight="1" thickBot="1" x14ac:dyDescent="0.3">
      <c r="A52" s="109"/>
      <c r="B52" s="110" t="s">
        <v>128</v>
      </c>
      <c r="C52" s="111">
        <f>SUM(C41:C51)</f>
        <v>624951148</v>
      </c>
      <c r="D52" s="112">
        <f>SUM(D41:D51)</f>
        <v>661160920</v>
      </c>
      <c r="E52" s="111">
        <f t="shared" si="5"/>
        <v>36209772</v>
      </c>
      <c r="F52" s="113">
        <f t="shared" si="6"/>
        <v>5.7940163988625878E-2</v>
      </c>
    </row>
    <row r="53" spans="1:6" ht="18" customHeight="1" x14ac:dyDescent="0.25">
      <c r="A53" s="662" t="s">
        <v>44</v>
      </c>
      <c r="B53" s="664" t="s">
        <v>129</v>
      </c>
      <c r="C53" s="666"/>
      <c r="D53" s="667"/>
      <c r="E53" s="667"/>
      <c r="F53" s="668"/>
    </row>
    <row r="54" spans="1:6" ht="18" customHeight="1" x14ac:dyDescent="0.25">
      <c r="A54" s="663"/>
      <c r="B54" s="665"/>
      <c r="C54" s="669"/>
      <c r="D54" s="670"/>
      <c r="E54" s="670"/>
      <c r="F54" s="671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68016054</v>
      </c>
      <c r="D57" s="97">
        <v>62725256</v>
      </c>
      <c r="E57" s="97">
        <f t="shared" ref="E57:E68" si="7">D57-C57</f>
        <v>-5290798</v>
      </c>
      <c r="F57" s="98">
        <f t="shared" ref="F57:F68" si="8">IF(C57=0,0,E57/C57)</f>
        <v>-7.7787488230352211E-2</v>
      </c>
    </row>
    <row r="58" spans="1:6" ht="18" customHeight="1" x14ac:dyDescent="0.25">
      <c r="A58" s="99">
        <v>2</v>
      </c>
      <c r="B58" s="100" t="s">
        <v>113</v>
      </c>
      <c r="C58" s="97">
        <v>4803054</v>
      </c>
      <c r="D58" s="97">
        <v>6409937</v>
      </c>
      <c r="E58" s="97">
        <f t="shared" si="7"/>
        <v>1606883</v>
      </c>
      <c r="F58" s="98">
        <f t="shared" si="8"/>
        <v>0.33455443140968227</v>
      </c>
    </row>
    <row r="59" spans="1:6" ht="18" customHeight="1" x14ac:dyDescent="0.25">
      <c r="A59" s="99">
        <v>3</v>
      </c>
      <c r="B59" s="100" t="s">
        <v>114</v>
      </c>
      <c r="C59" s="97">
        <v>7677564</v>
      </c>
      <c r="D59" s="97">
        <v>12325734</v>
      </c>
      <c r="E59" s="97">
        <f t="shared" si="7"/>
        <v>4648170</v>
      </c>
      <c r="F59" s="98">
        <f t="shared" si="8"/>
        <v>0.60542250119959928</v>
      </c>
    </row>
    <row r="60" spans="1:6" ht="18" customHeight="1" x14ac:dyDescent="0.25">
      <c r="A60" s="99">
        <v>4</v>
      </c>
      <c r="B60" s="100" t="s">
        <v>115</v>
      </c>
      <c r="C60" s="97">
        <v>4687364</v>
      </c>
      <c r="D60" s="97">
        <v>6146377</v>
      </c>
      <c r="E60" s="97">
        <f t="shared" si="7"/>
        <v>1459013</v>
      </c>
      <c r="F60" s="98">
        <f t="shared" si="8"/>
        <v>0.31126513750585616</v>
      </c>
    </row>
    <row r="61" spans="1:6" ht="18" customHeight="1" x14ac:dyDescent="0.25">
      <c r="A61" s="99">
        <v>5</v>
      </c>
      <c r="B61" s="100" t="s">
        <v>116</v>
      </c>
      <c r="C61" s="97">
        <v>4207315</v>
      </c>
      <c r="D61" s="97">
        <v>4790269</v>
      </c>
      <c r="E61" s="97">
        <f t="shared" si="7"/>
        <v>582954</v>
      </c>
      <c r="F61" s="98">
        <f t="shared" si="8"/>
        <v>0.13855725088328305</v>
      </c>
    </row>
    <row r="62" spans="1:6" ht="18" customHeight="1" x14ac:dyDescent="0.25">
      <c r="A62" s="99">
        <v>6</v>
      </c>
      <c r="B62" s="100" t="s">
        <v>117</v>
      </c>
      <c r="C62" s="97">
        <v>8342488</v>
      </c>
      <c r="D62" s="97">
        <v>4710203</v>
      </c>
      <c r="E62" s="97">
        <f t="shared" si="7"/>
        <v>-3632285</v>
      </c>
      <c r="F62" s="98">
        <f t="shared" si="8"/>
        <v>-0.43539589148944535</v>
      </c>
    </row>
    <row r="63" spans="1:6" ht="18" customHeight="1" x14ac:dyDescent="0.25">
      <c r="A63" s="99">
        <v>7</v>
      </c>
      <c r="B63" s="100" t="s">
        <v>118</v>
      </c>
      <c r="C63" s="97">
        <v>42715916</v>
      </c>
      <c r="D63" s="97">
        <v>45443830</v>
      </c>
      <c r="E63" s="97">
        <f t="shared" si="7"/>
        <v>2727914</v>
      </c>
      <c r="F63" s="98">
        <f t="shared" si="8"/>
        <v>6.3861769931376405E-2</v>
      </c>
    </row>
    <row r="64" spans="1:6" ht="18" customHeight="1" x14ac:dyDescent="0.25">
      <c r="A64" s="99">
        <v>8</v>
      </c>
      <c r="B64" s="100" t="s">
        <v>119</v>
      </c>
      <c r="C64" s="97">
        <v>1564043</v>
      </c>
      <c r="D64" s="97">
        <v>2042341</v>
      </c>
      <c r="E64" s="97">
        <f t="shared" si="7"/>
        <v>478298</v>
      </c>
      <c r="F64" s="98">
        <f t="shared" si="8"/>
        <v>0.30580872776515733</v>
      </c>
    </row>
    <row r="65" spans="1:6" ht="18" customHeight="1" x14ac:dyDescent="0.25">
      <c r="A65" s="99">
        <v>9</v>
      </c>
      <c r="B65" s="100" t="s">
        <v>120</v>
      </c>
      <c r="C65" s="97">
        <v>0</v>
      </c>
      <c r="D65" s="97">
        <v>0</v>
      </c>
      <c r="E65" s="97">
        <f t="shared" si="7"/>
        <v>0</v>
      </c>
      <c r="F65" s="98">
        <f t="shared" si="8"/>
        <v>0</v>
      </c>
    </row>
    <row r="66" spans="1:6" ht="18" customHeight="1" x14ac:dyDescent="0.25">
      <c r="A66" s="99">
        <v>10</v>
      </c>
      <c r="B66" s="100" t="s">
        <v>121</v>
      </c>
      <c r="C66" s="97">
        <v>1448044</v>
      </c>
      <c r="D66" s="97">
        <v>0</v>
      </c>
      <c r="E66" s="97">
        <f t="shared" si="7"/>
        <v>-1448044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306466</v>
      </c>
      <c r="D67" s="97">
        <v>131070</v>
      </c>
      <c r="E67" s="97">
        <f t="shared" si="7"/>
        <v>-175396</v>
      </c>
      <c r="F67" s="98">
        <f t="shared" si="8"/>
        <v>-0.57231797328251743</v>
      </c>
    </row>
    <row r="68" spans="1:6" ht="18" customHeight="1" x14ac:dyDescent="0.25">
      <c r="A68" s="101"/>
      <c r="B68" s="102" t="s">
        <v>131</v>
      </c>
      <c r="C68" s="103">
        <f>SUM(C57:C67)</f>
        <v>143768308</v>
      </c>
      <c r="D68" s="103">
        <f>SUM(D57:D67)</f>
        <v>144725017</v>
      </c>
      <c r="E68" s="103">
        <f t="shared" si="7"/>
        <v>956709</v>
      </c>
      <c r="F68" s="104">
        <f t="shared" si="8"/>
        <v>6.6545194369262524E-3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22841206</v>
      </c>
      <c r="D70" s="97">
        <v>27174464</v>
      </c>
      <c r="E70" s="97">
        <f t="shared" ref="E70:E81" si="9">D70-C70</f>
        <v>4333258</v>
      </c>
      <c r="F70" s="98">
        <f t="shared" ref="F70:F81" si="10">IF(C70=0,0,E70/C70)</f>
        <v>0.18971231203816472</v>
      </c>
    </row>
    <row r="71" spans="1:6" ht="18" customHeight="1" x14ac:dyDescent="0.25">
      <c r="A71" s="99">
        <v>2</v>
      </c>
      <c r="B71" s="100" t="s">
        <v>113</v>
      </c>
      <c r="C71" s="97">
        <v>2780930</v>
      </c>
      <c r="D71" s="97">
        <v>3651657</v>
      </c>
      <c r="E71" s="97">
        <f t="shared" si="9"/>
        <v>870727</v>
      </c>
      <c r="F71" s="98">
        <f t="shared" si="10"/>
        <v>0.31310640684950719</v>
      </c>
    </row>
    <row r="72" spans="1:6" ht="18" customHeight="1" x14ac:dyDescent="0.25">
      <c r="A72" s="99">
        <v>3</v>
      </c>
      <c r="B72" s="100" t="s">
        <v>114</v>
      </c>
      <c r="C72" s="97">
        <v>4278491</v>
      </c>
      <c r="D72" s="97">
        <v>8910228</v>
      </c>
      <c r="E72" s="97">
        <f t="shared" si="9"/>
        <v>4631737</v>
      </c>
      <c r="F72" s="98">
        <f t="shared" si="10"/>
        <v>1.0825632214722434</v>
      </c>
    </row>
    <row r="73" spans="1:6" ht="18" customHeight="1" x14ac:dyDescent="0.25">
      <c r="A73" s="99">
        <v>4</v>
      </c>
      <c r="B73" s="100" t="s">
        <v>115</v>
      </c>
      <c r="C73" s="97">
        <v>9369525</v>
      </c>
      <c r="D73" s="97">
        <v>10618765</v>
      </c>
      <c r="E73" s="97">
        <f t="shared" si="9"/>
        <v>1249240</v>
      </c>
      <c r="F73" s="98">
        <f t="shared" si="10"/>
        <v>0.1333301314634413</v>
      </c>
    </row>
    <row r="74" spans="1:6" ht="18" customHeight="1" x14ac:dyDescent="0.25">
      <c r="A74" s="99">
        <v>5</v>
      </c>
      <c r="B74" s="100" t="s">
        <v>116</v>
      </c>
      <c r="C74" s="97">
        <v>8822254</v>
      </c>
      <c r="D74" s="97">
        <v>8387614</v>
      </c>
      <c r="E74" s="97">
        <f t="shared" si="9"/>
        <v>-434640</v>
      </c>
      <c r="F74" s="98">
        <f t="shared" si="10"/>
        <v>-4.9266321282520315E-2</v>
      </c>
    </row>
    <row r="75" spans="1:6" ht="18" customHeight="1" x14ac:dyDescent="0.25">
      <c r="A75" s="99">
        <v>6</v>
      </c>
      <c r="B75" s="100" t="s">
        <v>117</v>
      </c>
      <c r="C75" s="97">
        <v>16757680</v>
      </c>
      <c r="D75" s="97">
        <v>10399743</v>
      </c>
      <c r="E75" s="97">
        <f t="shared" si="9"/>
        <v>-6357937</v>
      </c>
      <c r="F75" s="98">
        <f t="shared" si="10"/>
        <v>-0.37940436862381904</v>
      </c>
    </row>
    <row r="76" spans="1:6" ht="18" customHeight="1" x14ac:dyDescent="0.25">
      <c r="A76" s="99">
        <v>7</v>
      </c>
      <c r="B76" s="100" t="s">
        <v>118</v>
      </c>
      <c r="C76" s="97">
        <v>77993968</v>
      </c>
      <c r="D76" s="97">
        <v>84447092</v>
      </c>
      <c r="E76" s="97">
        <f t="shared" si="9"/>
        <v>6453124</v>
      </c>
      <c r="F76" s="98">
        <f t="shared" si="10"/>
        <v>8.2738757438267529E-2</v>
      </c>
    </row>
    <row r="77" spans="1:6" ht="18" customHeight="1" x14ac:dyDescent="0.25">
      <c r="A77" s="99">
        <v>8</v>
      </c>
      <c r="B77" s="100" t="s">
        <v>119</v>
      </c>
      <c r="C77" s="97">
        <v>3751234</v>
      </c>
      <c r="D77" s="97">
        <v>4251600</v>
      </c>
      <c r="E77" s="97">
        <f t="shared" si="9"/>
        <v>500366</v>
      </c>
      <c r="F77" s="98">
        <f t="shared" si="10"/>
        <v>0.13338704010466956</v>
      </c>
    </row>
    <row r="78" spans="1:6" ht="18" customHeight="1" x14ac:dyDescent="0.25">
      <c r="A78" s="99">
        <v>9</v>
      </c>
      <c r="B78" s="100" t="s">
        <v>120</v>
      </c>
      <c r="C78" s="97">
        <v>0</v>
      </c>
      <c r="D78" s="97">
        <v>0</v>
      </c>
      <c r="E78" s="97">
        <f t="shared" si="9"/>
        <v>0</v>
      </c>
      <c r="F78" s="98">
        <f t="shared" si="10"/>
        <v>0</v>
      </c>
    </row>
    <row r="79" spans="1:6" ht="18" customHeight="1" x14ac:dyDescent="0.25">
      <c r="A79" s="99">
        <v>10</v>
      </c>
      <c r="B79" s="100" t="s">
        <v>121</v>
      </c>
      <c r="C79" s="97">
        <v>1838517</v>
      </c>
      <c r="D79" s="97">
        <v>0</v>
      </c>
      <c r="E79" s="97">
        <f t="shared" si="9"/>
        <v>-1838517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199525</v>
      </c>
      <c r="D80" s="97">
        <v>454759</v>
      </c>
      <c r="E80" s="97">
        <f t="shared" si="9"/>
        <v>255234</v>
      </c>
      <c r="F80" s="98">
        <f t="shared" si="10"/>
        <v>1.2792081192832978</v>
      </c>
    </row>
    <row r="81" spans="1:6" ht="18" customHeight="1" x14ac:dyDescent="0.25">
      <c r="A81" s="101"/>
      <c r="B81" s="102" t="s">
        <v>133</v>
      </c>
      <c r="C81" s="103">
        <f>SUM(C70:C80)</f>
        <v>148633330</v>
      </c>
      <c r="D81" s="103">
        <f>SUM(D70:D80)</f>
        <v>158295922</v>
      </c>
      <c r="E81" s="103">
        <f t="shared" si="9"/>
        <v>9662592</v>
      </c>
      <c r="F81" s="104">
        <f t="shared" si="10"/>
        <v>6.5009591052020435E-2</v>
      </c>
    </row>
    <row r="82" spans="1:6" ht="18" customHeight="1" x14ac:dyDescent="0.25">
      <c r="A82" s="662" t="s">
        <v>127</v>
      </c>
      <c r="B82" s="664" t="s">
        <v>134</v>
      </c>
      <c r="C82" s="666"/>
      <c r="D82" s="667"/>
      <c r="E82" s="667"/>
      <c r="F82" s="668"/>
    </row>
    <row r="83" spans="1:6" ht="18" customHeight="1" x14ac:dyDescent="0.25">
      <c r="A83" s="663"/>
      <c r="B83" s="665"/>
      <c r="C83" s="669"/>
      <c r="D83" s="670"/>
      <c r="E83" s="670"/>
      <c r="F83" s="671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90857260</v>
      </c>
      <c r="D84" s="103">
        <f t="shared" si="11"/>
        <v>89899720</v>
      </c>
      <c r="E84" s="103">
        <f t="shared" ref="E84:E95" si="12">D84-C84</f>
        <v>-957540</v>
      </c>
      <c r="F84" s="104">
        <f t="shared" ref="F84:F95" si="13">IF(C84=0,0,E84/C84)</f>
        <v>-1.0538948676198248E-2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7583984</v>
      </c>
      <c r="D85" s="103">
        <f t="shared" si="11"/>
        <v>10061594</v>
      </c>
      <c r="E85" s="103">
        <f t="shared" si="12"/>
        <v>2477610</v>
      </c>
      <c r="F85" s="104">
        <f t="shared" si="13"/>
        <v>0.32668977149740824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11956055</v>
      </c>
      <c r="D86" s="103">
        <f t="shared" si="11"/>
        <v>21235962</v>
      </c>
      <c r="E86" s="103">
        <f t="shared" si="12"/>
        <v>9279907</v>
      </c>
      <c r="F86" s="104">
        <f t="shared" si="13"/>
        <v>0.77616797513895674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14056889</v>
      </c>
      <c r="D87" s="103">
        <f t="shared" si="11"/>
        <v>16765142</v>
      </c>
      <c r="E87" s="103">
        <f t="shared" si="12"/>
        <v>2708253</v>
      </c>
      <c r="F87" s="104">
        <f t="shared" si="13"/>
        <v>0.19266375369400726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13029569</v>
      </c>
      <c r="D88" s="103">
        <f t="shared" si="11"/>
        <v>13177883</v>
      </c>
      <c r="E88" s="103">
        <f t="shared" si="12"/>
        <v>148314</v>
      </c>
      <c r="F88" s="104">
        <f t="shared" si="13"/>
        <v>1.1382878435963615E-2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25100168</v>
      </c>
      <c r="D89" s="103">
        <f t="shared" si="11"/>
        <v>15109946</v>
      </c>
      <c r="E89" s="103">
        <f t="shared" si="12"/>
        <v>-9990222</v>
      </c>
      <c r="F89" s="104">
        <f t="shared" si="13"/>
        <v>-0.39801414874992069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120709884</v>
      </c>
      <c r="D90" s="103">
        <f t="shared" si="11"/>
        <v>129890922</v>
      </c>
      <c r="E90" s="103">
        <f t="shared" si="12"/>
        <v>9181038</v>
      </c>
      <c r="F90" s="104">
        <f t="shared" si="13"/>
        <v>7.6058709492256654E-2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5315277</v>
      </c>
      <c r="D91" s="103">
        <f t="shared" si="11"/>
        <v>6293941</v>
      </c>
      <c r="E91" s="103">
        <f t="shared" si="12"/>
        <v>978664</v>
      </c>
      <c r="F91" s="104">
        <f t="shared" si="13"/>
        <v>0.18412285944834109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0</v>
      </c>
      <c r="D92" s="103">
        <f t="shared" si="11"/>
        <v>0</v>
      </c>
      <c r="E92" s="103">
        <f t="shared" si="12"/>
        <v>0</v>
      </c>
      <c r="F92" s="104">
        <f t="shared" si="13"/>
        <v>0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3286561</v>
      </c>
      <c r="D93" s="103">
        <f t="shared" si="11"/>
        <v>0</v>
      </c>
      <c r="E93" s="103">
        <f t="shared" si="12"/>
        <v>-3286561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505991</v>
      </c>
      <c r="D94" s="103">
        <f t="shared" si="11"/>
        <v>585829</v>
      </c>
      <c r="E94" s="103">
        <f t="shared" si="12"/>
        <v>79838</v>
      </c>
      <c r="F94" s="104">
        <f t="shared" si="13"/>
        <v>0.15778541515560554</v>
      </c>
    </row>
    <row r="95" spans="1:6" ht="18.75" customHeight="1" thickBot="1" x14ac:dyDescent="0.3">
      <c r="A95" s="115"/>
      <c r="B95" s="116" t="s">
        <v>134</v>
      </c>
      <c r="C95" s="112">
        <f>SUM(C84:C94)</f>
        <v>292401638</v>
      </c>
      <c r="D95" s="112">
        <f>SUM(D84:D94)</f>
        <v>303020939</v>
      </c>
      <c r="E95" s="112">
        <f t="shared" si="12"/>
        <v>10619301</v>
      </c>
      <c r="F95" s="113">
        <f t="shared" si="13"/>
        <v>3.6317515430607815E-2</v>
      </c>
    </row>
    <row r="96" spans="1:6" ht="18" customHeight="1" x14ac:dyDescent="0.25">
      <c r="A96" s="662" t="s">
        <v>135</v>
      </c>
      <c r="B96" s="664" t="s">
        <v>136</v>
      </c>
      <c r="C96" s="666"/>
      <c r="D96" s="667"/>
      <c r="E96" s="667"/>
      <c r="F96" s="668"/>
    </row>
    <row r="97" spans="1:6" ht="18" customHeight="1" x14ac:dyDescent="0.25">
      <c r="A97" s="663"/>
      <c r="B97" s="665"/>
      <c r="C97" s="669"/>
      <c r="D97" s="670"/>
      <c r="E97" s="670"/>
      <c r="F97" s="671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6326</v>
      </c>
      <c r="D100" s="117">
        <v>6253</v>
      </c>
      <c r="E100" s="117">
        <f t="shared" ref="E100:E111" si="14">D100-C100</f>
        <v>-73</v>
      </c>
      <c r="F100" s="98">
        <f t="shared" ref="F100:F111" si="15">IF(C100=0,0,E100/C100)</f>
        <v>-1.15396775213405E-2</v>
      </c>
    </row>
    <row r="101" spans="1:6" ht="18" customHeight="1" x14ac:dyDescent="0.25">
      <c r="A101" s="99">
        <v>2</v>
      </c>
      <c r="B101" s="100" t="s">
        <v>113</v>
      </c>
      <c r="C101" s="117">
        <v>503</v>
      </c>
      <c r="D101" s="117">
        <v>644</v>
      </c>
      <c r="E101" s="117">
        <f t="shared" si="14"/>
        <v>141</v>
      </c>
      <c r="F101" s="98">
        <f t="shared" si="15"/>
        <v>0.28031809145129227</v>
      </c>
    </row>
    <row r="102" spans="1:6" ht="18" customHeight="1" x14ac:dyDescent="0.25">
      <c r="A102" s="99">
        <v>3</v>
      </c>
      <c r="B102" s="100" t="s">
        <v>114</v>
      </c>
      <c r="C102" s="117">
        <v>1181</v>
      </c>
      <c r="D102" s="117">
        <v>1630</v>
      </c>
      <c r="E102" s="117">
        <f t="shared" si="14"/>
        <v>449</v>
      </c>
      <c r="F102" s="98">
        <f t="shared" si="15"/>
        <v>0.38018628281117695</v>
      </c>
    </row>
    <row r="103" spans="1:6" ht="18" customHeight="1" x14ac:dyDescent="0.25">
      <c r="A103" s="99">
        <v>4</v>
      </c>
      <c r="B103" s="100" t="s">
        <v>115</v>
      </c>
      <c r="C103" s="117">
        <v>1387</v>
      </c>
      <c r="D103" s="117">
        <v>1562</v>
      </c>
      <c r="E103" s="117">
        <f t="shared" si="14"/>
        <v>175</v>
      </c>
      <c r="F103" s="98">
        <f t="shared" si="15"/>
        <v>0.12617159336697908</v>
      </c>
    </row>
    <row r="104" spans="1:6" ht="18" customHeight="1" x14ac:dyDescent="0.25">
      <c r="A104" s="99">
        <v>5</v>
      </c>
      <c r="B104" s="100" t="s">
        <v>116</v>
      </c>
      <c r="C104" s="117">
        <v>954</v>
      </c>
      <c r="D104" s="117">
        <v>890</v>
      </c>
      <c r="E104" s="117">
        <f t="shared" si="14"/>
        <v>-64</v>
      </c>
      <c r="F104" s="98">
        <f t="shared" si="15"/>
        <v>-6.7085953878406712E-2</v>
      </c>
    </row>
    <row r="105" spans="1:6" ht="18" customHeight="1" x14ac:dyDescent="0.25">
      <c r="A105" s="99">
        <v>6</v>
      </c>
      <c r="B105" s="100" t="s">
        <v>117</v>
      </c>
      <c r="C105" s="117">
        <v>898</v>
      </c>
      <c r="D105" s="117">
        <v>462</v>
      </c>
      <c r="E105" s="117">
        <f t="shared" si="14"/>
        <v>-436</v>
      </c>
      <c r="F105" s="98">
        <f t="shared" si="15"/>
        <v>-0.48552338530066813</v>
      </c>
    </row>
    <row r="106" spans="1:6" ht="18" customHeight="1" x14ac:dyDescent="0.25">
      <c r="A106" s="99">
        <v>7</v>
      </c>
      <c r="B106" s="100" t="s">
        <v>118</v>
      </c>
      <c r="C106" s="117">
        <v>3497</v>
      </c>
      <c r="D106" s="117">
        <v>3636</v>
      </c>
      <c r="E106" s="117">
        <f t="shared" si="14"/>
        <v>139</v>
      </c>
      <c r="F106" s="98">
        <f t="shared" si="15"/>
        <v>3.9748355733485848E-2</v>
      </c>
    </row>
    <row r="107" spans="1:6" ht="18" customHeight="1" x14ac:dyDescent="0.25">
      <c r="A107" s="99">
        <v>8</v>
      </c>
      <c r="B107" s="100" t="s">
        <v>119</v>
      </c>
      <c r="C107" s="117">
        <v>106</v>
      </c>
      <c r="D107" s="117">
        <v>105</v>
      </c>
      <c r="E107" s="117">
        <f t="shared" si="14"/>
        <v>-1</v>
      </c>
      <c r="F107" s="98">
        <f t="shared" si="15"/>
        <v>-9.433962264150943E-3</v>
      </c>
    </row>
    <row r="108" spans="1:6" ht="18" customHeight="1" x14ac:dyDescent="0.25">
      <c r="A108" s="99">
        <v>9</v>
      </c>
      <c r="B108" s="100" t="s">
        <v>120</v>
      </c>
      <c r="C108" s="117">
        <v>168</v>
      </c>
      <c r="D108" s="117">
        <v>89</v>
      </c>
      <c r="E108" s="117">
        <f t="shared" si="14"/>
        <v>-79</v>
      </c>
      <c r="F108" s="98">
        <f t="shared" si="15"/>
        <v>-0.47023809523809523</v>
      </c>
    </row>
    <row r="109" spans="1:6" ht="18" customHeight="1" x14ac:dyDescent="0.25">
      <c r="A109" s="99">
        <v>10</v>
      </c>
      <c r="B109" s="100" t="s">
        <v>121</v>
      </c>
      <c r="C109" s="117">
        <v>387</v>
      </c>
      <c r="D109" s="117">
        <v>0</v>
      </c>
      <c r="E109" s="117">
        <f t="shared" si="14"/>
        <v>-387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57</v>
      </c>
      <c r="D110" s="117">
        <v>57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15464</v>
      </c>
      <c r="D111" s="118">
        <f>SUM(D100:D110)</f>
        <v>15328</v>
      </c>
      <c r="E111" s="118">
        <f t="shared" si="14"/>
        <v>-136</v>
      </c>
      <c r="F111" s="104">
        <f t="shared" si="15"/>
        <v>-8.7946197620279356E-3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35381</v>
      </c>
      <c r="D113" s="117">
        <v>36505</v>
      </c>
      <c r="E113" s="117">
        <f t="shared" ref="E113:E124" si="16">D113-C113</f>
        <v>1124</v>
      </c>
      <c r="F113" s="98">
        <f t="shared" ref="F113:F124" si="17">IF(C113=0,0,E113/C113)</f>
        <v>3.1768463299511038E-2</v>
      </c>
    </row>
    <row r="114" spans="1:6" ht="18" customHeight="1" x14ac:dyDescent="0.25">
      <c r="A114" s="99">
        <v>2</v>
      </c>
      <c r="B114" s="100" t="s">
        <v>113</v>
      </c>
      <c r="C114" s="117">
        <v>2651</v>
      </c>
      <c r="D114" s="117">
        <v>3701</v>
      </c>
      <c r="E114" s="117">
        <f t="shared" si="16"/>
        <v>1050</v>
      </c>
      <c r="F114" s="98">
        <f t="shared" si="17"/>
        <v>0.39607695209354959</v>
      </c>
    </row>
    <row r="115" spans="1:6" ht="18" customHeight="1" x14ac:dyDescent="0.25">
      <c r="A115" s="99">
        <v>3</v>
      </c>
      <c r="B115" s="100" t="s">
        <v>114</v>
      </c>
      <c r="C115" s="117">
        <v>6774</v>
      </c>
      <c r="D115" s="117">
        <v>8969</v>
      </c>
      <c r="E115" s="117">
        <f t="shared" si="16"/>
        <v>2195</v>
      </c>
      <c r="F115" s="98">
        <f t="shared" si="17"/>
        <v>0.32403306761145556</v>
      </c>
    </row>
    <row r="116" spans="1:6" ht="18" customHeight="1" x14ac:dyDescent="0.25">
      <c r="A116" s="99">
        <v>4</v>
      </c>
      <c r="B116" s="100" t="s">
        <v>115</v>
      </c>
      <c r="C116" s="117">
        <v>4560</v>
      </c>
      <c r="D116" s="117">
        <v>5120</v>
      </c>
      <c r="E116" s="117">
        <f t="shared" si="16"/>
        <v>560</v>
      </c>
      <c r="F116" s="98">
        <f t="shared" si="17"/>
        <v>0.12280701754385964</v>
      </c>
    </row>
    <row r="117" spans="1:6" ht="18" customHeight="1" x14ac:dyDescent="0.25">
      <c r="A117" s="99">
        <v>5</v>
      </c>
      <c r="B117" s="100" t="s">
        <v>116</v>
      </c>
      <c r="C117" s="117">
        <v>2796</v>
      </c>
      <c r="D117" s="117">
        <v>2946</v>
      </c>
      <c r="E117" s="117">
        <f t="shared" si="16"/>
        <v>150</v>
      </c>
      <c r="F117" s="98">
        <f t="shared" si="17"/>
        <v>5.3648068669527899E-2</v>
      </c>
    </row>
    <row r="118" spans="1:6" ht="18" customHeight="1" x14ac:dyDescent="0.25">
      <c r="A118" s="99">
        <v>6</v>
      </c>
      <c r="B118" s="100" t="s">
        <v>117</v>
      </c>
      <c r="C118" s="117">
        <v>3569</v>
      </c>
      <c r="D118" s="117">
        <v>1877</v>
      </c>
      <c r="E118" s="117">
        <f t="shared" si="16"/>
        <v>-1692</v>
      </c>
      <c r="F118" s="98">
        <f t="shared" si="17"/>
        <v>-0.47408237601569064</v>
      </c>
    </row>
    <row r="119" spans="1:6" ht="18" customHeight="1" x14ac:dyDescent="0.25">
      <c r="A119" s="99">
        <v>7</v>
      </c>
      <c r="B119" s="100" t="s">
        <v>118</v>
      </c>
      <c r="C119" s="117">
        <v>12867</v>
      </c>
      <c r="D119" s="117">
        <v>13889</v>
      </c>
      <c r="E119" s="117">
        <f t="shared" si="16"/>
        <v>1022</v>
      </c>
      <c r="F119" s="98">
        <f t="shared" si="17"/>
        <v>7.9427994093417276E-2</v>
      </c>
    </row>
    <row r="120" spans="1:6" ht="18" customHeight="1" x14ac:dyDescent="0.25">
      <c r="A120" s="99">
        <v>8</v>
      </c>
      <c r="B120" s="100" t="s">
        <v>119</v>
      </c>
      <c r="C120" s="117">
        <v>373</v>
      </c>
      <c r="D120" s="117">
        <v>434</v>
      </c>
      <c r="E120" s="117">
        <f t="shared" si="16"/>
        <v>61</v>
      </c>
      <c r="F120" s="98">
        <f t="shared" si="17"/>
        <v>0.16353887399463807</v>
      </c>
    </row>
    <row r="121" spans="1:6" ht="18" customHeight="1" x14ac:dyDescent="0.25">
      <c r="A121" s="99">
        <v>9</v>
      </c>
      <c r="B121" s="100" t="s">
        <v>120</v>
      </c>
      <c r="C121" s="117">
        <v>636</v>
      </c>
      <c r="D121" s="117">
        <v>334</v>
      </c>
      <c r="E121" s="117">
        <f t="shared" si="16"/>
        <v>-302</v>
      </c>
      <c r="F121" s="98">
        <f t="shared" si="17"/>
        <v>-0.47484276729559749</v>
      </c>
    </row>
    <row r="122" spans="1:6" ht="18" customHeight="1" x14ac:dyDescent="0.25">
      <c r="A122" s="99">
        <v>10</v>
      </c>
      <c r="B122" s="100" t="s">
        <v>121</v>
      </c>
      <c r="C122" s="117">
        <v>1865</v>
      </c>
      <c r="D122" s="117">
        <v>0</v>
      </c>
      <c r="E122" s="117">
        <f t="shared" si="16"/>
        <v>-1865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289</v>
      </c>
      <c r="D123" s="117">
        <v>307</v>
      </c>
      <c r="E123" s="117">
        <f t="shared" si="16"/>
        <v>18</v>
      </c>
      <c r="F123" s="98">
        <f t="shared" si="17"/>
        <v>6.228373702422145E-2</v>
      </c>
    </row>
    <row r="124" spans="1:6" ht="18" customHeight="1" x14ac:dyDescent="0.25">
      <c r="A124" s="101"/>
      <c r="B124" s="102" t="s">
        <v>140</v>
      </c>
      <c r="C124" s="118">
        <f>SUM(C113:C123)</f>
        <v>71761</v>
      </c>
      <c r="D124" s="118">
        <f>SUM(D113:D123)</f>
        <v>74082</v>
      </c>
      <c r="E124" s="118">
        <f t="shared" si="16"/>
        <v>2321</v>
      </c>
      <c r="F124" s="104">
        <f t="shared" si="17"/>
        <v>3.2343473474449908E-2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143968</v>
      </c>
      <c r="D126" s="117">
        <v>139197</v>
      </c>
      <c r="E126" s="117">
        <f t="shared" ref="E126:E137" si="18">D126-C126</f>
        <v>-4771</v>
      </c>
      <c r="F126" s="98">
        <f t="shared" ref="F126:F137" si="19">IF(C126=0,0,E126/C126)</f>
        <v>-3.3139308735274507E-2</v>
      </c>
    </row>
    <row r="127" spans="1:6" ht="18" customHeight="1" x14ac:dyDescent="0.25">
      <c r="A127" s="99">
        <v>2</v>
      </c>
      <c r="B127" s="100" t="s">
        <v>113</v>
      </c>
      <c r="C127" s="117">
        <v>14382</v>
      </c>
      <c r="D127" s="117">
        <v>17301</v>
      </c>
      <c r="E127" s="117">
        <f t="shared" si="18"/>
        <v>2919</v>
      </c>
      <c r="F127" s="98">
        <f t="shared" si="19"/>
        <v>0.20296203587818107</v>
      </c>
    </row>
    <row r="128" spans="1:6" ht="18" customHeight="1" x14ac:dyDescent="0.25">
      <c r="A128" s="99">
        <v>3</v>
      </c>
      <c r="B128" s="100" t="s">
        <v>114</v>
      </c>
      <c r="C128" s="117">
        <v>14251</v>
      </c>
      <c r="D128" s="117">
        <v>24922</v>
      </c>
      <c r="E128" s="117">
        <f t="shared" si="18"/>
        <v>10671</v>
      </c>
      <c r="F128" s="98">
        <f t="shared" si="19"/>
        <v>0.74878955862746477</v>
      </c>
    </row>
    <row r="129" spans="1:6" ht="18" customHeight="1" x14ac:dyDescent="0.25">
      <c r="A129" s="99">
        <v>4</v>
      </c>
      <c r="B129" s="100" t="s">
        <v>115</v>
      </c>
      <c r="C129" s="117">
        <v>33953</v>
      </c>
      <c r="D129" s="117">
        <v>37233</v>
      </c>
      <c r="E129" s="117">
        <f t="shared" si="18"/>
        <v>3280</v>
      </c>
      <c r="F129" s="98">
        <f t="shared" si="19"/>
        <v>9.6604129237475328E-2</v>
      </c>
    </row>
    <row r="130" spans="1:6" ht="18" customHeight="1" x14ac:dyDescent="0.25">
      <c r="A130" s="99">
        <v>5</v>
      </c>
      <c r="B130" s="100" t="s">
        <v>116</v>
      </c>
      <c r="C130" s="117">
        <v>19390</v>
      </c>
      <c r="D130" s="117">
        <v>19268</v>
      </c>
      <c r="E130" s="117">
        <f t="shared" si="18"/>
        <v>-122</v>
      </c>
      <c r="F130" s="98">
        <f t="shared" si="19"/>
        <v>-6.2919030428055696E-3</v>
      </c>
    </row>
    <row r="131" spans="1:6" ht="18" customHeight="1" x14ac:dyDescent="0.25">
      <c r="A131" s="99">
        <v>6</v>
      </c>
      <c r="B131" s="100" t="s">
        <v>117</v>
      </c>
      <c r="C131" s="117">
        <v>33206</v>
      </c>
      <c r="D131" s="117">
        <v>31530</v>
      </c>
      <c r="E131" s="117">
        <f t="shared" si="18"/>
        <v>-1676</v>
      </c>
      <c r="F131" s="98">
        <f t="shared" si="19"/>
        <v>-5.0472806119376018E-2</v>
      </c>
    </row>
    <row r="132" spans="1:6" ht="18" customHeight="1" x14ac:dyDescent="0.25">
      <c r="A132" s="99">
        <v>7</v>
      </c>
      <c r="B132" s="100" t="s">
        <v>118</v>
      </c>
      <c r="C132" s="117">
        <v>149784</v>
      </c>
      <c r="D132" s="117">
        <v>146619</v>
      </c>
      <c r="E132" s="117">
        <f t="shared" si="18"/>
        <v>-3165</v>
      </c>
      <c r="F132" s="98">
        <f t="shared" si="19"/>
        <v>-2.113042781605512E-2</v>
      </c>
    </row>
    <row r="133" spans="1:6" ht="18" customHeight="1" x14ac:dyDescent="0.25">
      <c r="A133" s="99">
        <v>8</v>
      </c>
      <c r="B133" s="100" t="s">
        <v>119</v>
      </c>
      <c r="C133" s="117">
        <v>4760</v>
      </c>
      <c r="D133" s="117">
        <v>4772</v>
      </c>
      <c r="E133" s="117">
        <f t="shared" si="18"/>
        <v>12</v>
      </c>
      <c r="F133" s="98">
        <f t="shared" si="19"/>
        <v>2.5210084033613447E-3</v>
      </c>
    </row>
    <row r="134" spans="1:6" ht="18" customHeight="1" x14ac:dyDescent="0.25">
      <c r="A134" s="99">
        <v>9</v>
      </c>
      <c r="B134" s="100" t="s">
        <v>120</v>
      </c>
      <c r="C134" s="117">
        <v>11649</v>
      </c>
      <c r="D134" s="117">
        <v>9380</v>
      </c>
      <c r="E134" s="117">
        <f t="shared" si="18"/>
        <v>-2269</v>
      </c>
      <c r="F134" s="98">
        <f t="shared" si="19"/>
        <v>-0.19478066786848658</v>
      </c>
    </row>
    <row r="135" spans="1:6" ht="18" customHeight="1" x14ac:dyDescent="0.25">
      <c r="A135" s="99">
        <v>10</v>
      </c>
      <c r="B135" s="100" t="s">
        <v>121</v>
      </c>
      <c r="C135" s="117">
        <v>6920</v>
      </c>
      <c r="D135" s="117">
        <v>0</v>
      </c>
      <c r="E135" s="117">
        <f t="shared" si="18"/>
        <v>-6920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1176</v>
      </c>
      <c r="D136" s="117">
        <v>2338</v>
      </c>
      <c r="E136" s="117">
        <f t="shared" si="18"/>
        <v>1162</v>
      </c>
      <c r="F136" s="98">
        <f t="shared" si="19"/>
        <v>0.98809523809523814</v>
      </c>
    </row>
    <row r="137" spans="1:6" ht="18" customHeight="1" x14ac:dyDescent="0.25">
      <c r="A137" s="101"/>
      <c r="B137" s="102" t="s">
        <v>143</v>
      </c>
      <c r="C137" s="118">
        <f>SUM(C126:C136)</f>
        <v>433439</v>
      </c>
      <c r="D137" s="118">
        <f>SUM(D126:D136)</f>
        <v>432560</v>
      </c>
      <c r="E137" s="118">
        <f t="shared" si="18"/>
        <v>-879</v>
      </c>
      <c r="F137" s="104">
        <f t="shared" si="19"/>
        <v>-2.0279670265019993E-3</v>
      </c>
    </row>
    <row r="138" spans="1:6" ht="18" customHeight="1" x14ac:dyDescent="0.25">
      <c r="A138" s="662" t="s">
        <v>144</v>
      </c>
      <c r="B138" s="664" t="s">
        <v>145</v>
      </c>
      <c r="C138" s="666"/>
      <c r="D138" s="667"/>
      <c r="E138" s="667"/>
      <c r="F138" s="668"/>
    </row>
    <row r="139" spans="1:6" ht="18" customHeight="1" x14ac:dyDescent="0.25">
      <c r="A139" s="663"/>
      <c r="B139" s="665"/>
      <c r="C139" s="669"/>
      <c r="D139" s="670"/>
      <c r="E139" s="670"/>
      <c r="F139" s="671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13781152</v>
      </c>
      <c r="D142" s="97">
        <v>14240565</v>
      </c>
      <c r="E142" s="97">
        <f t="shared" ref="E142:E153" si="20">D142-C142</f>
        <v>459413</v>
      </c>
      <c r="F142" s="98">
        <f t="shared" ref="F142:F153" si="21">IF(C142=0,0,E142/C142)</f>
        <v>3.3336327761278595E-2</v>
      </c>
    </row>
    <row r="143" spans="1:6" ht="18" customHeight="1" x14ac:dyDescent="0.25">
      <c r="A143" s="99">
        <v>2</v>
      </c>
      <c r="B143" s="100" t="s">
        <v>113</v>
      </c>
      <c r="C143" s="97">
        <v>1144344</v>
      </c>
      <c r="D143" s="97">
        <v>1541452</v>
      </c>
      <c r="E143" s="97">
        <f t="shared" si="20"/>
        <v>397108</v>
      </c>
      <c r="F143" s="98">
        <f t="shared" si="21"/>
        <v>0.34701802954356381</v>
      </c>
    </row>
    <row r="144" spans="1:6" ht="18" customHeight="1" x14ac:dyDescent="0.25">
      <c r="A144" s="99">
        <v>3</v>
      </c>
      <c r="B144" s="100" t="s">
        <v>114</v>
      </c>
      <c r="C144" s="97">
        <v>6026639</v>
      </c>
      <c r="D144" s="97">
        <v>1107481</v>
      </c>
      <c r="E144" s="97">
        <f t="shared" si="20"/>
        <v>-4919158</v>
      </c>
      <c r="F144" s="98">
        <f t="shared" si="21"/>
        <v>-0.81623571612635171</v>
      </c>
    </row>
    <row r="145" spans="1:6" ht="18" customHeight="1" x14ac:dyDescent="0.25">
      <c r="A145" s="99">
        <v>4</v>
      </c>
      <c r="B145" s="100" t="s">
        <v>115</v>
      </c>
      <c r="C145" s="97">
        <v>12514742</v>
      </c>
      <c r="D145" s="97">
        <v>14015762</v>
      </c>
      <c r="E145" s="97">
        <f t="shared" si="20"/>
        <v>1501020</v>
      </c>
      <c r="F145" s="98">
        <f t="shared" si="21"/>
        <v>0.11994014738777675</v>
      </c>
    </row>
    <row r="146" spans="1:6" ht="18" customHeight="1" x14ac:dyDescent="0.25">
      <c r="A146" s="99">
        <v>5</v>
      </c>
      <c r="B146" s="100" t="s">
        <v>116</v>
      </c>
      <c r="C146" s="97">
        <v>7519691</v>
      </c>
      <c r="D146" s="97">
        <v>7844029</v>
      </c>
      <c r="E146" s="97">
        <f t="shared" si="20"/>
        <v>324338</v>
      </c>
      <c r="F146" s="98">
        <f t="shared" si="21"/>
        <v>4.3131825496552985E-2</v>
      </c>
    </row>
    <row r="147" spans="1:6" ht="18" customHeight="1" x14ac:dyDescent="0.25">
      <c r="A147" s="99">
        <v>6</v>
      </c>
      <c r="B147" s="100" t="s">
        <v>117</v>
      </c>
      <c r="C147" s="97">
        <v>6022563</v>
      </c>
      <c r="D147" s="97">
        <v>4360919</v>
      </c>
      <c r="E147" s="97">
        <f t="shared" si="20"/>
        <v>-1661644</v>
      </c>
      <c r="F147" s="98">
        <f t="shared" si="21"/>
        <v>-0.27590313293526358</v>
      </c>
    </row>
    <row r="148" spans="1:6" ht="18" customHeight="1" x14ac:dyDescent="0.25">
      <c r="A148" s="99">
        <v>7</v>
      </c>
      <c r="B148" s="100" t="s">
        <v>118</v>
      </c>
      <c r="C148" s="97">
        <v>23498776</v>
      </c>
      <c r="D148" s="97">
        <v>22555514</v>
      </c>
      <c r="E148" s="97">
        <f t="shared" si="20"/>
        <v>-943262</v>
      </c>
      <c r="F148" s="98">
        <f t="shared" si="21"/>
        <v>-4.014089925364623E-2</v>
      </c>
    </row>
    <row r="149" spans="1:6" ht="18" customHeight="1" x14ac:dyDescent="0.25">
      <c r="A149" s="99">
        <v>8</v>
      </c>
      <c r="B149" s="100" t="s">
        <v>119</v>
      </c>
      <c r="C149" s="97">
        <v>1318044</v>
      </c>
      <c r="D149" s="97">
        <v>1136665</v>
      </c>
      <c r="E149" s="97">
        <f t="shared" si="20"/>
        <v>-181379</v>
      </c>
      <c r="F149" s="98">
        <f t="shared" si="21"/>
        <v>-0.1376122496669307</v>
      </c>
    </row>
    <row r="150" spans="1:6" ht="18" customHeight="1" x14ac:dyDescent="0.25">
      <c r="A150" s="99">
        <v>9</v>
      </c>
      <c r="B150" s="100" t="s">
        <v>120</v>
      </c>
      <c r="C150" s="97">
        <v>5551583</v>
      </c>
      <c r="D150" s="97">
        <v>6203173</v>
      </c>
      <c r="E150" s="97">
        <f t="shared" si="20"/>
        <v>651590</v>
      </c>
      <c r="F150" s="98">
        <f t="shared" si="21"/>
        <v>0.11737012668278579</v>
      </c>
    </row>
    <row r="151" spans="1:6" ht="18" customHeight="1" x14ac:dyDescent="0.25">
      <c r="A151" s="99">
        <v>10</v>
      </c>
      <c r="B151" s="100" t="s">
        <v>121</v>
      </c>
      <c r="C151" s="97">
        <v>3519447</v>
      </c>
      <c r="D151" s="97">
        <v>0</v>
      </c>
      <c r="E151" s="97">
        <f t="shared" si="20"/>
        <v>-3519447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391826</v>
      </c>
      <c r="D152" s="97">
        <v>1846612</v>
      </c>
      <c r="E152" s="97">
        <f t="shared" si="20"/>
        <v>1454786</v>
      </c>
      <c r="F152" s="98">
        <f t="shared" si="21"/>
        <v>3.7128368204253928</v>
      </c>
    </row>
    <row r="153" spans="1:6" ht="33.75" customHeight="1" x14ac:dyDescent="0.25">
      <c r="A153" s="101"/>
      <c r="B153" s="102" t="s">
        <v>147</v>
      </c>
      <c r="C153" s="103">
        <f>SUM(C142:C152)</f>
        <v>81288807</v>
      </c>
      <c r="D153" s="103">
        <f>SUM(D142:D152)</f>
        <v>74852172</v>
      </c>
      <c r="E153" s="103">
        <f t="shared" si="20"/>
        <v>-6436635</v>
      </c>
      <c r="F153" s="104">
        <f t="shared" si="21"/>
        <v>-7.918230365959239E-2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3259768</v>
      </c>
      <c r="D155" s="97">
        <v>3268051</v>
      </c>
      <c r="E155" s="97">
        <f t="shared" ref="E155:E166" si="22">D155-C155</f>
        <v>8283</v>
      </c>
      <c r="F155" s="98">
        <f t="shared" ref="F155:F166" si="23">IF(C155=0,0,E155/C155)</f>
        <v>2.5409783763752514E-3</v>
      </c>
    </row>
    <row r="156" spans="1:6" ht="18" customHeight="1" x14ac:dyDescent="0.25">
      <c r="A156" s="99">
        <v>2</v>
      </c>
      <c r="B156" s="100" t="s">
        <v>113</v>
      </c>
      <c r="C156" s="97">
        <v>303170</v>
      </c>
      <c r="D156" s="97">
        <v>371014</v>
      </c>
      <c r="E156" s="97">
        <f t="shared" si="22"/>
        <v>67844</v>
      </c>
      <c r="F156" s="98">
        <f t="shared" si="23"/>
        <v>0.22378203648118217</v>
      </c>
    </row>
    <row r="157" spans="1:6" ht="18" customHeight="1" x14ac:dyDescent="0.25">
      <c r="A157" s="99">
        <v>3</v>
      </c>
      <c r="B157" s="100" t="s">
        <v>114</v>
      </c>
      <c r="C157" s="97">
        <v>1657774</v>
      </c>
      <c r="D157" s="97">
        <v>2907713</v>
      </c>
      <c r="E157" s="97">
        <f t="shared" si="22"/>
        <v>1249939</v>
      </c>
      <c r="F157" s="98">
        <f t="shared" si="23"/>
        <v>0.75398636967403276</v>
      </c>
    </row>
    <row r="158" spans="1:6" ht="18" customHeight="1" x14ac:dyDescent="0.25">
      <c r="A158" s="99">
        <v>4</v>
      </c>
      <c r="B158" s="100" t="s">
        <v>115</v>
      </c>
      <c r="C158" s="97">
        <v>3993760</v>
      </c>
      <c r="D158" s="97">
        <v>4391144</v>
      </c>
      <c r="E158" s="97">
        <f t="shared" si="22"/>
        <v>397384</v>
      </c>
      <c r="F158" s="98">
        <f t="shared" si="23"/>
        <v>9.9501221906173637E-2</v>
      </c>
    </row>
    <row r="159" spans="1:6" ht="18" customHeight="1" x14ac:dyDescent="0.25">
      <c r="A159" s="99">
        <v>5</v>
      </c>
      <c r="B159" s="100" t="s">
        <v>116</v>
      </c>
      <c r="C159" s="97">
        <v>3095512</v>
      </c>
      <c r="D159" s="97">
        <v>2836864</v>
      </c>
      <c r="E159" s="97">
        <f t="shared" si="22"/>
        <v>-258648</v>
      </c>
      <c r="F159" s="98">
        <f t="shared" si="23"/>
        <v>-8.3555805953910045E-2</v>
      </c>
    </row>
    <row r="160" spans="1:6" ht="18" customHeight="1" x14ac:dyDescent="0.25">
      <c r="A160" s="99">
        <v>6</v>
      </c>
      <c r="B160" s="100" t="s">
        <v>117</v>
      </c>
      <c r="C160" s="97">
        <v>3458469</v>
      </c>
      <c r="D160" s="97">
        <v>2979686</v>
      </c>
      <c r="E160" s="97">
        <f t="shared" si="22"/>
        <v>-478783</v>
      </c>
      <c r="F160" s="98">
        <f t="shared" si="23"/>
        <v>-0.13843784634183506</v>
      </c>
    </row>
    <row r="161" spans="1:6" ht="18" customHeight="1" x14ac:dyDescent="0.25">
      <c r="A161" s="99">
        <v>7</v>
      </c>
      <c r="B161" s="100" t="s">
        <v>118</v>
      </c>
      <c r="C161" s="97">
        <v>15181335</v>
      </c>
      <c r="D161" s="97">
        <v>14362388</v>
      </c>
      <c r="E161" s="97">
        <f t="shared" si="22"/>
        <v>-818947</v>
      </c>
      <c r="F161" s="98">
        <f t="shared" si="23"/>
        <v>-5.3944333617563935E-2</v>
      </c>
    </row>
    <row r="162" spans="1:6" ht="18" customHeight="1" x14ac:dyDescent="0.25">
      <c r="A162" s="99">
        <v>8</v>
      </c>
      <c r="B162" s="100" t="s">
        <v>119</v>
      </c>
      <c r="C162" s="97">
        <v>986710</v>
      </c>
      <c r="D162" s="97">
        <v>821566</v>
      </c>
      <c r="E162" s="97">
        <f t="shared" si="22"/>
        <v>-165144</v>
      </c>
      <c r="F162" s="98">
        <f t="shared" si="23"/>
        <v>-0.16736832503977866</v>
      </c>
    </row>
    <row r="163" spans="1:6" ht="18" customHeight="1" x14ac:dyDescent="0.25">
      <c r="A163" s="99">
        <v>9</v>
      </c>
      <c r="B163" s="100" t="s">
        <v>120</v>
      </c>
      <c r="C163" s="97">
        <v>229045</v>
      </c>
      <c r="D163" s="97">
        <v>682245</v>
      </c>
      <c r="E163" s="97">
        <f t="shared" si="22"/>
        <v>453200</v>
      </c>
      <c r="F163" s="98">
        <f t="shared" si="23"/>
        <v>1.9786504835294374</v>
      </c>
    </row>
    <row r="164" spans="1:6" ht="18" customHeight="1" x14ac:dyDescent="0.25">
      <c r="A164" s="99">
        <v>10</v>
      </c>
      <c r="B164" s="100" t="s">
        <v>121</v>
      </c>
      <c r="C164" s="97">
        <v>728425</v>
      </c>
      <c r="D164" s="97">
        <v>0</v>
      </c>
      <c r="E164" s="97">
        <f t="shared" si="22"/>
        <v>-728425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90485</v>
      </c>
      <c r="D165" s="97">
        <v>403450</v>
      </c>
      <c r="E165" s="97">
        <f t="shared" si="22"/>
        <v>312965</v>
      </c>
      <c r="F165" s="98">
        <f t="shared" si="23"/>
        <v>3.4587500690722219</v>
      </c>
    </row>
    <row r="166" spans="1:6" ht="33.75" customHeight="1" x14ac:dyDescent="0.25">
      <c r="A166" s="101"/>
      <c r="B166" s="102" t="s">
        <v>149</v>
      </c>
      <c r="C166" s="103">
        <f>SUM(C155:C165)</f>
        <v>32984453</v>
      </c>
      <c r="D166" s="103">
        <f>SUM(D155:D165)</f>
        <v>33024121</v>
      </c>
      <c r="E166" s="103">
        <f t="shared" si="22"/>
        <v>39668</v>
      </c>
      <c r="F166" s="104">
        <f t="shared" si="23"/>
        <v>1.2026271892397306E-3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9960</v>
      </c>
      <c r="D168" s="117">
        <v>10083</v>
      </c>
      <c r="E168" s="117">
        <f t="shared" ref="E168:E179" si="24">D168-C168</f>
        <v>123</v>
      </c>
      <c r="F168" s="98">
        <f t="shared" ref="F168:F179" si="25">IF(C168=0,0,E168/C168)</f>
        <v>1.2349397590361445E-2</v>
      </c>
    </row>
    <row r="169" spans="1:6" ht="18" customHeight="1" x14ac:dyDescent="0.25">
      <c r="A169" s="99">
        <v>2</v>
      </c>
      <c r="B169" s="100" t="s">
        <v>113</v>
      </c>
      <c r="C169" s="117">
        <v>764</v>
      </c>
      <c r="D169" s="117">
        <v>985</v>
      </c>
      <c r="E169" s="117">
        <f t="shared" si="24"/>
        <v>221</v>
      </c>
      <c r="F169" s="98">
        <f t="shared" si="25"/>
        <v>0.2892670157068063</v>
      </c>
    </row>
    <row r="170" spans="1:6" ht="18" customHeight="1" x14ac:dyDescent="0.25">
      <c r="A170" s="99">
        <v>3</v>
      </c>
      <c r="B170" s="100" t="s">
        <v>114</v>
      </c>
      <c r="C170" s="117">
        <v>5287</v>
      </c>
      <c r="D170" s="117">
        <v>9382</v>
      </c>
      <c r="E170" s="117">
        <f t="shared" si="24"/>
        <v>4095</v>
      </c>
      <c r="F170" s="98">
        <f t="shared" si="25"/>
        <v>0.77454132778513329</v>
      </c>
    </row>
    <row r="171" spans="1:6" ht="18" customHeight="1" x14ac:dyDescent="0.25">
      <c r="A171" s="99">
        <v>4</v>
      </c>
      <c r="B171" s="100" t="s">
        <v>115</v>
      </c>
      <c r="C171" s="117">
        <v>13785</v>
      </c>
      <c r="D171" s="117">
        <v>14787</v>
      </c>
      <c r="E171" s="117">
        <f t="shared" si="24"/>
        <v>1002</v>
      </c>
      <c r="F171" s="98">
        <f t="shared" si="25"/>
        <v>7.2687704026115338E-2</v>
      </c>
    </row>
    <row r="172" spans="1:6" ht="18" customHeight="1" x14ac:dyDescent="0.25">
      <c r="A172" s="99">
        <v>5</v>
      </c>
      <c r="B172" s="100" t="s">
        <v>116</v>
      </c>
      <c r="C172" s="117">
        <v>7281</v>
      </c>
      <c r="D172" s="117">
        <v>7016</v>
      </c>
      <c r="E172" s="117">
        <f t="shared" si="24"/>
        <v>-265</v>
      </c>
      <c r="F172" s="98">
        <f t="shared" si="25"/>
        <v>-3.6396099436890539E-2</v>
      </c>
    </row>
    <row r="173" spans="1:6" ht="18" customHeight="1" x14ac:dyDescent="0.25">
      <c r="A173" s="99">
        <v>6</v>
      </c>
      <c r="B173" s="100" t="s">
        <v>117</v>
      </c>
      <c r="C173" s="117">
        <v>5266</v>
      </c>
      <c r="D173" s="117">
        <v>3686</v>
      </c>
      <c r="E173" s="117">
        <f t="shared" si="24"/>
        <v>-1580</v>
      </c>
      <c r="F173" s="98">
        <f t="shared" si="25"/>
        <v>-0.3000379794910748</v>
      </c>
    </row>
    <row r="174" spans="1:6" ht="18" customHeight="1" x14ac:dyDescent="0.25">
      <c r="A174" s="99">
        <v>7</v>
      </c>
      <c r="B174" s="100" t="s">
        <v>118</v>
      </c>
      <c r="C174" s="117">
        <v>20002</v>
      </c>
      <c r="D174" s="117">
        <v>18534</v>
      </c>
      <c r="E174" s="117">
        <f t="shared" si="24"/>
        <v>-1468</v>
      </c>
      <c r="F174" s="98">
        <f t="shared" si="25"/>
        <v>-7.3392660733926612E-2</v>
      </c>
    </row>
    <row r="175" spans="1:6" ht="18" customHeight="1" x14ac:dyDescent="0.25">
      <c r="A175" s="99">
        <v>8</v>
      </c>
      <c r="B175" s="100" t="s">
        <v>119</v>
      </c>
      <c r="C175" s="117">
        <v>1499</v>
      </c>
      <c r="D175" s="117">
        <v>1297</v>
      </c>
      <c r="E175" s="117">
        <f t="shared" si="24"/>
        <v>-202</v>
      </c>
      <c r="F175" s="98">
        <f t="shared" si="25"/>
        <v>-0.13475650433622416</v>
      </c>
    </row>
    <row r="176" spans="1:6" ht="18" customHeight="1" x14ac:dyDescent="0.25">
      <c r="A176" s="99">
        <v>9</v>
      </c>
      <c r="B176" s="100" t="s">
        <v>120</v>
      </c>
      <c r="C176" s="117">
        <v>6044</v>
      </c>
      <c r="D176" s="117">
        <v>5428</v>
      </c>
      <c r="E176" s="117">
        <f t="shared" si="24"/>
        <v>-616</v>
      </c>
      <c r="F176" s="98">
        <f t="shared" si="25"/>
        <v>-0.10191925876902713</v>
      </c>
    </row>
    <row r="177" spans="1:6" ht="18" customHeight="1" x14ac:dyDescent="0.25">
      <c r="A177" s="99">
        <v>10</v>
      </c>
      <c r="B177" s="100" t="s">
        <v>121</v>
      </c>
      <c r="C177" s="117">
        <v>3210</v>
      </c>
      <c r="D177" s="117">
        <v>0</v>
      </c>
      <c r="E177" s="117">
        <f t="shared" si="24"/>
        <v>-3210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323</v>
      </c>
      <c r="D178" s="117">
        <v>1373</v>
      </c>
      <c r="E178" s="117">
        <f t="shared" si="24"/>
        <v>1050</v>
      </c>
      <c r="F178" s="98">
        <f t="shared" si="25"/>
        <v>3.2507739938080493</v>
      </c>
    </row>
    <row r="179" spans="1:6" ht="33.75" customHeight="1" x14ac:dyDescent="0.25">
      <c r="A179" s="101"/>
      <c r="B179" s="102" t="s">
        <v>151</v>
      </c>
      <c r="C179" s="118">
        <f>SUM(C168:C178)</f>
        <v>73421</v>
      </c>
      <c r="D179" s="118">
        <f>SUM(D168:D178)</f>
        <v>72571</v>
      </c>
      <c r="E179" s="118">
        <f t="shared" si="24"/>
        <v>-850</v>
      </c>
      <c r="F179" s="104">
        <f t="shared" si="25"/>
        <v>-1.1577069230874001E-2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FILING&amp;RLAWRENCE AND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3.8554687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45991977</v>
      </c>
      <c r="D15" s="146">
        <v>48372889</v>
      </c>
      <c r="E15" s="146">
        <f>+D15-C15</f>
        <v>2380912</v>
      </c>
      <c r="F15" s="150">
        <f>IF(C15=0,0,E15/C15)</f>
        <v>5.1767985533650793E-2</v>
      </c>
    </row>
    <row r="16" spans="1:7" ht="15" customHeight="1" x14ac:dyDescent="0.2">
      <c r="A16" s="141">
        <v>2</v>
      </c>
      <c r="B16" s="149" t="s">
        <v>158</v>
      </c>
      <c r="C16" s="146">
        <v>2994322</v>
      </c>
      <c r="D16" s="146">
        <v>2740700</v>
      </c>
      <c r="E16" s="146">
        <f>+D16-C16</f>
        <v>-253622</v>
      </c>
      <c r="F16" s="150">
        <f>IF(C16=0,0,E16/C16)</f>
        <v>-8.4700977383193932E-2</v>
      </c>
    </row>
    <row r="17" spans="1:7" ht="15" customHeight="1" x14ac:dyDescent="0.2">
      <c r="A17" s="141">
        <v>3</v>
      </c>
      <c r="B17" s="149" t="s">
        <v>159</v>
      </c>
      <c r="C17" s="146">
        <v>85567860</v>
      </c>
      <c r="D17" s="146">
        <v>90052061</v>
      </c>
      <c r="E17" s="146">
        <f>+D17-C17</f>
        <v>4484201</v>
      </c>
      <c r="F17" s="150">
        <f>IF(C17=0,0,E17/C17)</f>
        <v>5.2405202140149348E-2</v>
      </c>
    </row>
    <row r="18" spans="1:7" ht="15.75" customHeight="1" x14ac:dyDescent="0.25">
      <c r="A18" s="141"/>
      <c r="B18" s="151" t="s">
        <v>160</v>
      </c>
      <c r="C18" s="147">
        <f>SUM(C15:C17)</f>
        <v>134554159</v>
      </c>
      <c r="D18" s="147">
        <f>SUM(D15:D17)</f>
        <v>141165650</v>
      </c>
      <c r="E18" s="147">
        <f>+D18-C18</f>
        <v>6611491</v>
      </c>
      <c r="F18" s="148">
        <f>IF(C18=0,0,E18/C18)</f>
        <v>4.913628125013958E-2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13654674</v>
      </c>
      <c r="D21" s="146">
        <v>14297260</v>
      </c>
      <c r="E21" s="146">
        <f>+D21-C21</f>
        <v>642586</v>
      </c>
      <c r="F21" s="150">
        <f>IF(C21=0,0,E21/C21)</f>
        <v>4.705978333865752E-2</v>
      </c>
    </row>
    <row r="22" spans="1:7" ht="15" customHeight="1" x14ac:dyDescent="0.2">
      <c r="A22" s="141">
        <v>2</v>
      </c>
      <c r="B22" s="149" t="s">
        <v>163</v>
      </c>
      <c r="C22" s="146">
        <v>888992</v>
      </c>
      <c r="D22" s="146">
        <v>810051</v>
      </c>
      <c r="E22" s="146">
        <f>+D22-C22</f>
        <v>-78941</v>
      </c>
      <c r="F22" s="150">
        <f>IF(C22=0,0,E22/C22)</f>
        <v>-8.8798324394370257E-2</v>
      </c>
    </row>
    <row r="23" spans="1:7" ht="15" customHeight="1" x14ac:dyDescent="0.2">
      <c r="A23" s="141">
        <v>3</v>
      </c>
      <c r="B23" s="149" t="s">
        <v>164</v>
      </c>
      <c r="C23" s="146">
        <v>25404457</v>
      </c>
      <c r="D23" s="146">
        <v>26616102</v>
      </c>
      <c r="E23" s="146">
        <f>+D23-C23</f>
        <v>1211645</v>
      </c>
      <c r="F23" s="150">
        <f>IF(C23=0,0,E23/C23)</f>
        <v>4.7694190039173044E-2</v>
      </c>
    </row>
    <row r="24" spans="1:7" ht="15.75" customHeight="1" x14ac:dyDescent="0.25">
      <c r="A24" s="141"/>
      <c r="B24" s="151" t="s">
        <v>165</v>
      </c>
      <c r="C24" s="147">
        <f>SUM(C21:C23)</f>
        <v>39948123</v>
      </c>
      <c r="D24" s="147">
        <f>SUM(D21:D23)</f>
        <v>41723413</v>
      </c>
      <c r="E24" s="147">
        <f>+D24-C24</f>
        <v>1775290</v>
      </c>
      <c r="F24" s="148">
        <f>IF(C24=0,0,E24/C24)</f>
        <v>4.4439885198110561E-2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320772</v>
      </c>
      <c r="D27" s="146">
        <v>288491</v>
      </c>
      <c r="E27" s="146">
        <f>+D27-C27</f>
        <v>-32281</v>
      </c>
      <c r="F27" s="150">
        <f>IF(C27=0,0,E27/C27)</f>
        <v>-0.10063534223685359</v>
      </c>
    </row>
    <row r="28" spans="1:7" ht="15" customHeight="1" x14ac:dyDescent="0.2">
      <c r="A28" s="141">
        <v>2</v>
      </c>
      <c r="B28" s="149" t="s">
        <v>168</v>
      </c>
      <c r="C28" s="146">
        <v>1343844</v>
      </c>
      <c r="D28" s="146">
        <v>1676732</v>
      </c>
      <c r="E28" s="146">
        <f>+D28-C28</f>
        <v>332888</v>
      </c>
      <c r="F28" s="150">
        <f>IF(C28=0,0,E28/C28)</f>
        <v>0.2477132762433735</v>
      </c>
    </row>
    <row r="29" spans="1:7" ht="15" customHeight="1" x14ac:dyDescent="0.2">
      <c r="A29" s="141">
        <v>3</v>
      </c>
      <c r="B29" s="149" t="s">
        <v>169</v>
      </c>
      <c r="C29" s="146">
        <v>4488291</v>
      </c>
      <c r="D29" s="146">
        <v>4121629</v>
      </c>
      <c r="E29" s="146">
        <f>+D29-C29</f>
        <v>-366662</v>
      </c>
      <c r="F29" s="150">
        <f>IF(C29=0,0,E29/C29)</f>
        <v>-8.1693009655568236E-2</v>
      </c>
    </row>
    <row r="30" spans="1:7" ht="15.75" customHeight="1" x14ac:dyDescent="0.25">
      <c r="A30" s="141"/>
      <c r="B30" s="151" t="s">
        <v>170</v>
      </c>
      <c r="C30" s="147">
        <f>SUM(C27:C29)</f>
        <v>6152907</v>
      </c>
      <c r="D30" s="147">
        <f>SUM(D27:D29)</f>
        <v>6086852</v>
      </c>
      <c r="E30" s="147">
        <f>+D30-C30</f>
        <v>-66055</v>
      </c>
      <c r="F30" s="148">
        <f>IF(C30=0,0,E30/C30)</f>
        <v>-1.0735575883074456E-2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26702516</v>
      </c>
      <c r="D33" s="146">
        <v>28916037</v>
      </c>
      <c r="E33" s="146">
        <f>+D33-C33</f>
        <v>2213521</v>
      </c>
      <c r="F33" s="150">
        <f>IF(C33=0,0,E33/C33)</f>
        <v>8.289559680443595E-2</v>
      </c>
    </row>
    <row r="34" spans="1:7" ht="15" customHeight="1" x14ac:dyDescent="0.2">
      <c r="A34" s="141">
        <v>2</v>
      </c>
      <c r="B34" s="149" t="s">
        <v>174</v>
      </c>
      <c r="C34" s="146">
        <v>10439145</v>
      </c>
      <c r="D34" s="146">
        <v>10202009</v>
      </c>
      <c r="E34" s="146">
        <f>+D34-C34</f>
        <v>-237136</v>
      </c>
      <c r="F34" s="150">
        <f>IF(C34=0,0,E34/C34)</f>
        <v>-2.2716036610277948E-2</v>
      </c>
    </row>
    <row r="35" spans="1:7" ht="15.75" customHeight="1" x14ac:dyDescent="0.25">
      <c r="A35" s="141"/>
      <c r="B35" s="151" t="s">
        <v>175</v>
      </c>
      <c r="C35" s="147">
        <f>SUM(C33:C34)</f>
        <v>37141661</v>
      </c>
      <c r="D35" s="147">
        <f>SUM(D33:D34)</f>
        <v>39118046</v>
      </c>
      <c r="E35" s="147">
        <f>+D35-C35</f>
        <v>1976385</v>
      </c>
      <c r="F35" s="148">
        <f>IF(C35=0,0,E35/C35)</f>
        <v>5.3212079018221614E-2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3729867</v>
      </c>
      <c r="D38" s="146">
        <v>3460991</v>
      </c>
      <c r="E38" s="146">
        <f>+D38-C38</f>
        <v>-268876</v>
      </c>
      <c r="F38" s="150">
        <f>IF(C38=0,0,E38/C38)</f>
        <v>-7.2087288903330868E-2</v>
      </c>
    </row>
    <row r="39" spans="1:7" ht="15" customHeight="1" x14ac:dyDescent="0.2">
      <c r="A39" s="141">
        <v>2</v>
      </c>
      <c r="B39" s="149" t="s">
        <v>179</v>
      </c>
      <c r="C39" s="146">
        <v>12420578</v>
      </c>
      <c r="D39" s="146">
        <v>12910100</v>
      </c>
      <c r="E39" s="146">
        <f>+D39-C39</f>
        <v>489522</v>
      </c>
      <c r="F39" s="150">
        <f>IF(C39=0,0,E39/C39)</f>
        <v>3.9412175504231768E-2</v>
      </c>
    </row>
    <row r="40" spans="1:7" ht="15" customHeight="1" x14ac:dyDescent="0.2">
      <c r="A40" s="141">
        <v>3</v>
      </c>
      <c r="B40" s="149" t="s">
        <v>180</v>
      </c>
      <c r="C40" s="146">
        <v>577962</v>
      </c>
      <c r="D40" s="146">
        <v>828467</v>
      </c>
      <c r="E40" s="146">
        <f>+D40-C40</f>
        <v>250505</v>
      </c>
      <c r="F40" s="150">
        <f>IF(C40=0,0,E40/C40)</f>
        <v>0.43342814925548739</v>
      </c>
    </row>
    <row r="41" spans="1:7" ht="15.75" customHeight="1" x14ac:dyDescent="0.25">
      <c r="A41" s="141"/>
      <c r="B41" s="151" t="s">
        <v>181</v>
      </c>
      <c r="C41" s="147">
        <f>SUM(C38:C40)</f>
        <v>16728407</v>
      </c>
      <c r="D41" s="147">
        <f>SUM(D38:D40)</f>
        <v>17199558</v>
      </c>
      <c r="E41" s="147">
        <f>+D41-C41</f>
        <v>471151</v>
      </c>
      <c r="F41" s="148">
        <f>IF(C41=0,0,E41/C41)</f>
        <v>2.8164726025616187E-2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14381176</v>
      </c>
      <c r="D44" s="146">
        <v>13865211</v>
      </c>
      <c r="E44" s="146">
        <f>+D44-C44</f>
        <v>-515965</v>
      </c>
      <c r="F44" s="150">
        <f>IF(C44=0,0,E44/C44)</f>
        <v>-3.5877803039195126E-2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2332245</v>
      </c>
      <c r="D47" s="146">
        <v>2212177</v>
      </c>
      <c r="E47" s="146">
        <f>+D47-C47</f>
        <v>-120068</v>
      </c>
      <c r="F47" s="150">
        <f>IF(C47=0,0,E47/C47)</f>
        <v>-5.1481726834016153E-2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5435494</v>
      </c>
      <c r="D50" s="146">
        <v>3954496</v>
      </c>
      <c r="E50" s="146">
        <f>+D50-C50</f>
        <v>-1480998</v>
      </c>
      <c r="F50" s="150">
        <f>IF(C50=0,0,E50/C50)</f>
        <v>-0.27246796703298726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138052</v>
      </c>
      <c r="D53" s="146">
        <v>132521</v>
      </c>
      <c r="E53" s="146">
        <f t="shared" ref="E53:E59" si="0">+D53-C53</f>
        <v>-5531</v>
      </c>
      <c r="F53" s="150">
        <f t="shared" ref="F53:F59" si="1">IF(C53=0,0,E53/C53)</f>
        <v>-4.0064613334105992E-2</v>
      </c>
    </row>
    <row r="54" spans="1:7" ht="15" customHeight="1" x14ac:dyDescent="0.2">
      <c r="A54" s="141">
        <v>2</v>
      </c>
      <c r="B54" s="149" t="s">
        <v>193</v>
      </c>
      <c r="C54" s="146">
        <v>1189235</v>
      </c>
      <c r="D54" s="146">
        <v>1130500</v>
      </c>
      <c r="E54" s="146">
        <f t="shared" si="0"/>
        <v>-58735</v>
      </c>
      <c r="F54" s="150">
        <f t="shared" si="1"/>
        <v>-4.938889285969552E-2</v>
      </c>
    </row>
    <row r="55" spans="1:7" ht="15" customHeight="1" x14ac:dyDescent="0.2">
      <c r="A55" s="141">
        <v>3</v>
      </c>
      <c r="B55" s="149" t="s">
        <v>194</v>
      </c>
      <c r="C55" s="146">
        <v>61742</v>
      </c>
      <c r="D55" s="146">
        <v>60230</v>
      </c>
      <c r="E55" s="146">
        <f t="shared" si="0"/>
        <v>-1512</v>
      </c>
      <c r="F55" s="150">
        <f t="shared" si="1"/>
        <v>-2.4489002623821709E-2</v>
      </c>
    </row>
    <row r="56" spans="1:7" ht="15" customHeight="1" x14ac:dyDescent="0.2">
      <c r="A56" s="141">
        <v>4</v>
      </c>
      <c r="B56" s="149" t="s">
        <v>195</v>
      </c>
      <c r="C56" s="146">
        <v>3443201</v>
      </c>
      <c r="D56" s="146">
        <v>3078811</v>
      </c>
      <c r="E56" s="146">
        <f t="shared" si="0"/>
        <v>-364390</v>
      </c>
      <c r="F56" s="150">
        <f t="shared" si="1"/>
        <v>-0.10582884937591502</v>
      </c>
    </row>
    <row r="57" spans="1:7" ht="15" customHeight="1" x14ac:dyDescent="0.2">
      <c r="A57" s="141">
        <v>5</v>
      </c>
      <c r="B57" s="149" t="s">
        <v>196</v>
      </c>
      <c r="C57" s="146">
        <v>545211</v>
      </c>
      <c r="D57" s="146">
        <v>517320</v>
      </c>
      <c r="E57" s="146">
        <f t="shared" si="0"/>
        <v>-27891</v>
      </c>
      <c r="F57" s="150">
        <f t="shared" si="1"/>
        <v>-5.1156341306393308E-2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5377441</v>
      </c>
      <c r="D59" s="147">
        <f>SUM(D53:D58)</f>
        <v>4919382</v>
      </c>
      <c r="E59" s="147">
        <f t="shared" si="0"/>
        <v>-458059</v>
      </c>
      <c r="F59" s="148">
        <f t="shared" si="1"/>
        <v>-8.5181594739951585E-2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1027667</v>
      </c>
      <c r="D62" s="146">
        <v>948777</v>
      </c>
      <c r="E62" s="146">
        <f t="shared" ref="E62:E78" si="2">+D62-C62</f>
        <v>-78890</v>
      </c>
      <c r="F62" s="150">
        <f t="shared" ref="F62:F78" si="3">IF(C62=0,0,E62/C62)</f>
        <v>-7.6766111979853391E-2</v>
      </c>
    </row>
    <row r="63" spans="1:7" ht="15" customHeight="1" x14ac:dyDescent="0.2">
      <c r="A63" s="141">
        <v>2</v>
      </c>
      <c r="B63" s="149" t="s">
        <v>202</v>
      </c>
      <c r="C63" s="146">
        <v>1356952</v>
      </c>
      <c r="D63" s="146">
        <v>1207627</v>
      </c>
      <c r="E63" s="146">
        <f t="shared" si="2"/>
        <v>-149325</v>
      </c>
      <c r="F63" s="150">
        <f t="shared" si="3"/>
        <v>-0.11004442308939447</v>
      </c>
    </row>
    <row r="64" spans="1:7" ht="15" customHeight="1" x14ac:dyDescent="0.2">
      <c r="A64" s="141">
        <v>3</v>
      </c>
      <c r="B64" s="149" t="s">
        <v>203</v>
      </c>
      <c r="C64" s="146">
        <v>1839286</v>
      </c>
      <c r="D64" s="146">
        <v>2228689</v>
      </c>
      <c r="E64" s="146">
        <f t="shared" si="2"/>
        <v>389403</v>
      </c>
      <c r="F64" s="150">
        <f t="shared" si="3"/>
        <v>0.2117142195395387</v>
      </c>
    </row>
    <row r="65" spans="1:7" ht="15" customHeight="1" x14ac:dyDescent="0.2">
      <c r="A65" s="141">
        <v>4</v>
      </c>
      <c r="B65" s="149" t="s">
        <v>204</v>
      </c>
      <c r="C65" s="146">
        <v>516700</v>
      </c>
      <c r="D65" s="146">
        <v>489553</v>
      </c>
      <c r="E65" s="146">
        <f t="shared" si="2"/>
        <v>-27147</v>
      </c>
      <c r="F65" s="150">
        <f t="shared" si="3"/>
        <v>-5.2539191019934199E-2</v>
      </c>
    </row>
    <row r="66" spans="1:7" ht="15" customHeight="1" x14ac:dyDescent="0.2">
      <c r="A66" s="141">
        <v>5</v>
      </c>
      <c r="B66" s="149" t="s">
        <v>205</v>
      </c>
      <c r="C66" s="146">
        <v>1850248</v>
      </c>
      <c r="D66" s="146">
        <v>2664656</v>
      </c>
      <c r="E66" s="146">
        <f t="shared" si="2"/>
        <v>814408</v>
      </c>
      <c r="F66" s="150">
        <f t="shared" si="3"/>
        <v>0.44016153510232142</v>
      </c>
    </row>
    <row r="67" spans="1:7" ht="15" customHeight="1" x14ac:dyDescent="0.2">
      <c r="A67" s="141">
        <v>6</v>
      </c>
      <c r="B67" s="149" t="s">
        <v>206</v>
      </c>
      <c r="C67" s="146">
        <v>2056557</v>
      </c>
      <c r="D67" s="146">
        <v>2426892</v>
      </c>
      <c r="E67" s="146">
        <f t="shared" si="2"/>
        <v>370335</v>
      </c>
      <c r="F67" s="150">
        <f t="shared" si="3"/>
        <v>0.18007524226170243</v>
      </c>
    </row>
    <row r="68" spans="1:7" ht="15" customHeight="1" x14ac:dyDescent="0.2">
      <c r="A68" s="141">
        <v>7</v>
      </c>
      <c r="B68" s="149" t="s">
        <v>207</v>
      </c>
      <c r="C68" s="146">
        <v>7369468</v>
      </c>
      <c r="D68" s="146">
        <v>7839168</v>
      </c>
      <c r="E68" s="146">
        <f t="shared" si="2"/>
        <v>469700</v>
      </c>
      <c r="F68" s="150">
        <f t="shared" si="3"/>
        <v>6.3735944032866421E-2</v>
      </c>
    </row>
    <row r="69" spans="1:7" ht="15" customHeight="1" x14ac:dyDescent="0.2">
      <c r="A69" s="141">
        <v>8</v>
      </c>
      <c r="B69" s="149" t="s">
        <v>208</v>
      </c>
      <c r="C69" s="146">
        <v>466341</v>
      </c>
      <c r="D69" s="146">
        <v>610175</v>
      </c>
      <c r="E69" s="146">
        <f t="shared" si="2"/>
        <v>143834</v>
      </c>
      <c r="F69" s="150">
        <f t="shared" si="3"/>
        <v>0.30843095503076073</v>
      </c>
    </row>
    <row r="70" spans="1:7" ht="15" customHeight="1" x14ac:dyDescent="0.2">
      <c r="A70" s="141">
        <v>9</v>
      </c>
      <c r="B70" s="149" t="s">
        <v>209</v>
      </c>
      <c r="C70" s="146">
        <v>462182</v>
      </c>
      <c r="D70" s="146">
        <v>473453</v>
      </c>
      <c r="E70" s="146">
        <f t="shared" si="2"/>
        <v>11271</v>
      </c>
      <c r="F70" s="150">
        <f t="shared" si="3"/>
        <v>2.4386497094218296E-2</v>
      </c>
    </row>
    <row r="71" spans="1:7" ht="15" customHeight="1" x14ac:dyDescent="0.2">
      <c r="A71" s="141">
        <v>10</v>
      </c>
      <c r="B71" s="149" t="s">
        <v>210</v>
      </c>
      <c r="C71" s="146">
        <v>206510</v>
      </c>
      <c r="D71" s="146">
        <v>300314</v>
      </c>
      <c r="E71" s="146">
        <f t="shared" si="2"/>
        <v>93804</v>
      </c>
      <c r="F71" s="150">
        <f t="shared" si="3"/>
        <v>0.4542346617597211</v>
      </c>
    </row>
    <row r="72" spans="1:7" ht="15" customHeight="1" x14ac:dyDescent="0.2">
      <c r="A72" s="141">
        <v>11</v>
      </c>
      <c r="B72" s="149" t="s">
        <v>211</v>
      </c>
      <c r="C72" s="146">
        <v>51630</v>
      </c>
      <c r="D72" s="146">
        <v>76350</v>
      </c>
      <c r="E72" s="146">
        <f t="shared" si="2"/>
        <v>24720</v>
      </c>
      <c r="F72" s="150">
        <f t="shared" si="3"/>
        <v>0.47879140034863449</v>
      </c>
    </row>
    <row r="73" spans="1:7" ht="15" customHeight="1" x14ac:dyDescent="0.2">
      <c r="A73" s="141">
        <v>12</v>
      </c>
      <c r="B73" s="149" t="s">
        <v>212</v>
      </c>
      <c r="C73" s="146">
        <v>2412118</v>
      </c>
      <c r="D73" s="146">
        <v>2436633</v>
      </c>
      <c r="E73" s="146">
        <f t="shared" si="2"/>
        <v>24515</v>
      </c>
      <c r="F73" s="150">
        <f t="shared" si="3"/>
        <v>1.0163267302843393E-2</v>
      </c>
    </row>
    <row r="74" spans="1:7" ht="15" customHeight="1" x14ac:dyDescent="0.2">
      <c r="A74" s="141">
        <v>13</v>
      </c>
      <c r="B74" s="149" t="s">
        <v>213</v>
      </c>
      <c r="C74" s="146">
        <v>373611</v>
      </c>
      <c r="D74" s="146">
        <v>555173</v>
      </c>
      <c r="E74" s="146">
        <f t="shared" si="2"/>
        <v>181562</v>
      </c>
      <c r="F74" s="150">
        <f t="shared" si="3"/>
        <v>0.48596534898597737</v>
      </c>
    </row>
    <row r="75" spans="1:7" ht="15" customHeight="1" x14ac:dyDescent="0.2">
      <c r="A75" s="141">
        <v>14</v>
      </c>
      <c r="B75" s="149" t="s">
        <v>214</v>
      </c>
      <c r="C75" s="146">
        <v>262837</v>
      </c>
      <c r="D75" s="146">
        <v>286315</v>
      </c>
      <c r="E75" s="146">
        <f t="shared" si="2"/>
        <v>23478</v>
      </c>
      <c r="F75" s="150">
        <f t="shared" si="3"/>
        <v>8.9325323299231082E-2</v>
      </c>
    </row>
    <row r="76" spans="1:7" ht="15" customHeight="1" x14ac:dyDescent="0.2">
      <c r="A76" s="141">
        <v>15</v>
      </c>
      <c r="B76" s="149" t="s">
        <v>215</v>
      </c>
      <c r="C76" s="146">
        <v>1583628</v>
      </c>
      <c r="D76" s="146">
        <v>1891548</v>
      </c>
      <c r="E76" s="146">
        <f t="shared" si="2"/>
        <v>307920</v>
      </c>
      <c r="F76" s="150">
        <f t="shared" si="3"/>
        <v>0.19443960324015488</v>
      </c>
    </row>
    <row r="77" spans="1:7" ht="15" customHeight="1" x14ac:dyDescent="0.2">
      <c r="A77" s="141">
        <v>16</v>
      </c>
      <c r="B77" s="149" t="s">
        <v>216</v>
      </c>
      <c r="C77" s="146">
        <v>15350100</v>
      </c>
      <c r="D77" s="146">
        <v>17414285</v>
      </c>
      <c r="E77" s="146">
        <f t="shared" si="2"/>
        <v>2064185</v>
      </c>
      <c r="F77" s="150">
        <f t="shared" si="3"/>
        <v>0.13447371678360401</v>
      </c>
    </row>
    <row r="78" spans="1:7" ht="15.75" customHeight="1" x14ac:dyDescent="0.25">
      <c r="A78" s="141"/>
      <c r="B78" s="151" t="s">
        <v>217</v>
      </c>
      <c r="C78" s="147">
        <f>SUM(C62:C77)</f>
        <v>37185835</v>
      </c>
      <c r="D78" s="147">
        <f>SUM(D62:D77)</f>
        <v>41849608</v>
      </c>
      <c r="E78" s="147">
        <f t="shared" si="2"/>
        <v>4663773</v>
      </c>
      <c r="F78" s="148">
        <f t="shared" si="3"/>
        <v>0.12541799854702737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411488</v>
      </c>
      <c r="D81" s="146">
        <v>236716</v>
      </c>
      <c r="E81" s="146">
        <f>+D81-C81</f>
        <v>-174772</v>
      </c>
      <c r="F81" s="150">
        <f>IF(C81=0,0,E81/C81)</f>
        <v>-0.42473170542032818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299648936</v>
      </c>
      <c r="D83" s="147">
        <f>+D81+D78+D59+D50+D47+D44+D41+D35+D30+D24+D18</f>
        <v>312331109</v>
      </c>
      <c r="E83" s="147">
        <f>+D83-C83</f>
        <v>12682173</v>
      </c>
      <c r="F83" s="148">
        <f>IF(C83=0,0,E83/C83)</f>
        <v>4.2323437450817444E-2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660" t="s">
        <v>982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17670326</v>
      </c>
      <c r="D91" s="146">
        <v>17102734</v>
      </c>
      <c r="E91" s="146">
        <f t="shared" ref="E91:E109" si="4">D91-C91</f>
        <v>-567592</v>
      </c>
      <c r="F91" s="150">
        <f t="shared" ref="F91:F109" si="5">IF(C91=0,0,E91/C91)</f>
        <v>-3.2121195726666274E-2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1936934</v>
      </c>
      <c r="D92" s="146">
        <v>1469145</v>
      </c>
      <c r="E92" s="146">
        <f t="shared" si="4"/>
        <v>-467789</v>
      </c>
      <c r="F92" s="150">
        <f t="shared" si="5"/>
        <v>-0.24151003596405454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3176727</v>
      </c>
      <c r="D93" s="146">
        <v>3544226</v>
      </c>
      <c r="E93" s="146">
        <f t="shared" si="4"/>
        <v>367499</v>
      </c>
      <c r="F93" s="150">
        <f t="shared" si="5"/>
        <v>0.11568479129619888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3547721</v>
      </c>
      <c r="D94" s="146">
        <v>4420824</v>
      </c>
      <c r="E94" s="146">
        <f t="shared" si="4"/>
        <v>873103</v>
      </c>
      <c r="F94" s="150">
        <f t="shared" si="5"/>
        <v>0.24610249791344924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7796242</v>
      </c>
      <c r="D95" s="146">
        <v>8702132</v>
      </c>
      <c r="E95" s="146">
        <f t="shared" si="4"/>
        <v>905890</v>
      </c>
      <c r="F95" s="150">
        <f t="shared" si="5"/>
        <v>0.1161957260947005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321370</v>
      </c>
      <c r="D96" s="146">
        <v>344747</v>
      </c>
      <c r="E96" s="146">
        <f t="shared" si="4"/>
        <v>23377</v>
      </c>
      <c r="F96" s="150">
        <f t="shared" si="5"/>
        <v>7.2741699598593515E-2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41984746</v>
      </c>
      <c r="D97" s="146">
        <v>44203434</v>
      </c>
      <c r="E97" s="146">
        <f t="shared" si="4"/>
        <v>2218688</v>
      </c>
      <c r="F97" s="150">
        <f t="shared" si="5"/>
        <v>5.2845097598065736E-2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1020353</v>
      </c>
      <c r="D98" s="146">
        <v>860283</v>
      </c>
      <c r="E98" s="146">
        <f t="shared" si="4"/>
        <v>-160070</v>
      </c>
      <c r="F98" s="150">
        <f t="shared" si="5"/>
        <v>-0.15687708077498669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1460249</v>
      </c>
      <c r="D99" s="146">
        <v>1756798</v>
      </c>
      <c r="E99" s="146">
        <f t="shared" si="4"/>
        <v>296549</v>
      </c>
      <c r="F99" s="150">
        <f t="shared" si="5"/>
        <v>0.20308111835721168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5290506</v>
      </c>
      <c r="D100" s="146">
        <v>5528065</v>
      </c>
      <c r="E100" s="146">
        <f t="shared" si="4"/>
        <v>237559</v>
      </c>
      <c r="F100" s="150">
        <f t="shared" si="5"/>
        <v>4.4902888305957879E-2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4035946</v>
      </c>
      <c r="D101" s="146">
        <v>4114487</v>
      </c>
      <c r="E101" s="146">
        <f t="shared" si="4"/>
        <v>78541</v>
      </c>
      <c r="F101" s="150">
        <f t="shared" si="5"/>
        <v>1.9460369390472517E-2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4974426</v>
      </c>
      <c r="D103" s="146">
        <v>4359081</v>
      </c>
      <c r="E103" s="146">
        <f t="shared" si="4"/>
        <v>-615345</v>
      </c>
      <c r="F103" s="150">
        <f t="shared" si="5"/>
        <v>-0.12370170950376988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1378708</v>
      </c>
      <c r="D104" s="146">
        <v>1644138</v>
      </c>
      <c r="E104" s="146">
        <f t="shared" si="4"/>
        <v>265430</v>
      </c>
      <c r="F104" s="150">
        <f t="shared" si="5"/>
        <v>0.19252082384377259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4128832</v>
      </c>
      <c r="D105" s="146">
        <v>4329324</v>
      </c>
      <c r="E105" s="146">
        <f t="shared" si="4"/>
        <v>200492</v>
      </c>
      <c r="F105" s="150">
        <f t="shared" si="5"/>
        <v>4.8559011362051062E-2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1994175</v>
      </c>
      <c r="D106" s="146">
        <v>2100010</v>
      </c>
      <c r="E106" s="146">
        <f t="shared" si="4"/>
        <v>105835</v>
      </c>
      <c r="F106" s="150">
        <f t="shared" si="5"/>
        <v>5.3072072410896738E-2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13265381</v>
      </c>
      <c r="D107" s="146">
        <v>12951250</v>
      </c>
      <c r="E107" s="146">
        <f t="shared" si="4"/>
        <v>-314131</v>
      </c>
      <c r="F107" s="150">
        <f t="shared" si="5"/>
        <v>-2.3680510948008202E-2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4900470</v>
      </c>
      <c r="D108" s="146">
        <v>5297467</v>
      </c>
      <c r="E108" s="146">
        <f t="shared" si="4"/>
        <v>396997</v>
      </c>
      <c r="F108" s="150">
        <f t="shared" si="5"/>
        <v>8.1012025377157695E-2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118883112</v>
      </c>
      <c r="D109" s="147">
        <f>SUM(D91:D108)</f>
        <v>122728145</v>
      </c>
      <c r="E109" s="147">
        <f t="shared" si="4"/>
        <v>3845033</v>
      </c>
      <c r="F109" s="148">
        <f t="shared" si="5"/>
        <v>3.23429706315225E-2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167871</v>
      </c>
      <c r="D112" s="146">
        <v>198619</v>
      </c>
      <c r="E112" s="146">
        <f t="shared" ref="E112:E118" si="6">D112-C112</f>
        <v>30748</v>
      </c>
      <c r="F112" s="150">
        <f t="shared" ref="F112:F118" si="7">IF(C112=0,0,E112/C112)</f>
        <v>0.18316445365786824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106896</v>
      </c>
      <c r="D113" s="146">
        <v>110340</v>
      </c>
      <c r="E113" s="146">
        <f t="shared" si="6"/>
        <v>3444</v>
      </c>
      <c r="F113" s="150">
        <f t="shared" si="7"/>
        <v>3.221823080377189E-2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2366753</v>
      </c>
      <c r="D114" s="146">
        <v>3073851</v>
      </c>
      <c r="E114" s="146">
        <f t="shared" si="6"/>
        <v>707098</v>
      </c>
      <c r="F114" s="150">
        <f t="shared" si="7"/>
        <v>0.29876290428278746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3934680</v>
      </c>
      <c r="D115" s="146">
        <v>4230593</v>
      </c>
      <c r="E115" s="146">
        <f t="shared" si="6"/>
        <v>295913</v>
      </c>
      <c r="F115" s="150">
        <f t="shared" si="7"/>
        <v>7.5206370022466884E-2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2334699</v>
      </c>
      <c r="D116" s="146">
        <v>2738767</v>
      </c>
      <c r="E116" s="146">
        <f t="shared" si="6"/>
        <v>404068</v>
      </c>
      <c r="F116" s="150">
        <f t="shared" si="7"/>
        <v>0.17307070418927664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3659713</v>
      </c>
      <c r="D117" s="146">
        <v>3307523</v>
      </c>
      <c r="E117" s="146">
        <f t="shared" si="6"/>
        <v>-352190</v>
      </c>
      <c r="F117" s="150">
        <f t="shared" si="7"/>
        <v>-9.623432219958232E-2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12570612</v>
      </c>
      <c r="D118" s="147">
        <f>SUM(D112:D117)</f>
        <v>13659693</v>
      </c>
      <c r="E118" s="147">
        <f t="shared" si="6"/>
        <v>1089081</v>
      </c>
      <c r="F118" s="148">
        <f t="shared" si="7"/>
        <v>8.6637070653361986E-2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17745243</v>
      </c>
      <c r="D121" s="146">
        <v>21139451</v>
      </c>
      <c r="E121" s="146">
        <f t="shared" ref="E121:E155" si="8">D121-C121</f>
        <v>3394208</v>
      </c>
      <c r="F121" s="150">
        <f t="shared" ref="F121:F155" si="9">IF(C121=0,0,E121/C121)</f>
        <v>0.19127424741379986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1003321</v>
      </c>
      <c r="D122" s="146">
        <v>1027597</v>
      </c>
      <c r="E122" s="146">
        <f t="shared" si="8"/>
        <v>24276</v>
      </c>
      <c r="F122" s="150">
        <f t="shared" si="9"/>
        <v>2.4195646258774611E-2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530485</v>
      </c>
      <c r="D123" s="146">
        <v>475395</v>
      </c>
      <c r="E123" s="146">
        <f t="shared" si="8"/>
        <v>-55090</v>
      </c>
      <c r="F123" s="150">
        <f t="shared" si="9"/>
        <v>-0.10384836517526415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116942</v>
      </c>
      <c r="D124" s="146">
        <v>120248</v>
      </c>
      <c r="E124" s="146">
        <f t="shared" si="8"/>
        <v>3306</v>
      </c>
      <c r="F124" s="150">
        <f t="shared" si="9"/>
        <v>2.8270424654957157E-2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4293221</v>
      </c>
      <c r="D125" s="146">
        <v>4334844</v>
      </c>
      <c r="E125" s="146">
        <f t="shared" si="8"/>
        <v>41623</v>
      </c>
      <c r="F125" s="150">
        <f t="shared" si="9"/>
        <v>9.6950518037622561E-3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2412318</v>
      </c>
      <c r="D126" s="146">
        <v>2883167</v>
      </c>
      <c r="E126" s="146">
        <f t="shared" si="8"/>
        <v>470849</v>
      </c>
      <c r="F126" s="150">
        <f t="shared" si="9"/>
        <v>0.19518529480773264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2459530</v>
      </c>
      <c r="D127" s="146">
        <v>2796424</v>
      </c>
      <c r="E127" s="146">
        <f t="shared" si="8"/>
        <v>336894</v>
      </c>
      <c r="F127" s="150">
        <f t="shared" si="9"/>
        <v>0.1369749504986725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1686811</v>
      </c>
      <c r="D128" s="146">
        <v>1640588</v>
      </c>
      <c r="E128" s="146">
        <f t="shared" si="8"/>
        <v>-46223</v>
      </c>
      <c r="F128" s="150">
        <f t="shared" si="9"/>
        <v>-2.7402595785775644E-2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2241226</v>
      </c>
      <c r="D129" s="146">
        <v>2317005</v>
      </c>
      <c r="E129" s="146">
        <f t="shared" si="8"/>
        <v>75779</v>
      </c>
      <c r="F129" s="150">
        <f t="shared" si="9"/>
        <v>3.3811405007794844E-2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15525731</v>
      </c>
      <c r="D130" s="146">
        <v>16401845</v>
      </c>
      <c r="E130" s="146">
        <f t="shared" si="8"/>
        <v>876114</v>
      </c>
      <c r="F130" s="150">
        <f t="shared" si="9"/>
        <v>5.6429806751128173E-2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503294</v>
      </c>
      <c r="D132" s="146">
        <v>642465</v>
      </c>
      <c r="E132" s="146">
        <f t="shared" si="8"/>
        <v>139171</v>
      </c>
      <c r="F132" s="150">
        <f t="shared" si="9"/>
        <v>0.27652028436659287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55645</v>
      </c>
      <c r="D133" s="146">
        <v>37598</v>
      </c>
      <c r="E133" s="146">
        <f t="shared" si="8"/>
        <v>-18047</v>
      </c>
      <c r="F133" s="150">
        <f t="shared" si="9"/>
        <v>-0.32432383861982211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222719</v>
      </c>
      <c r="D134" s="146">
        <v>251811</v>
      </c>
      <c r="E134" s="146">
        <f t="shared" si="8"/>
        <v>29092</v>
      </c>
      <c r="F134" s="150">
        <f t="shared" si="9"/>
        <v>0.13062199453122544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1866957</v>
      </c>
      <c r="D135" s="146">
        <v>1675977</v>
      </c>
      <c r="E135" s="146">
        <f t="shared" si="8"/>
        <v>-190980</v>
      </c>
      <c r="F135" s="150">
        <f t="shared" si="9"/>
        <v>-0.10229480379033903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826926</v>
      </c>
      <c r="D136" s="146">
        <v>837436</v>
      </c>
      <c r="E136" s="146">
        <f t="shared" si="8"/>
        <v>10510</v>
      </c>
      <c r="F136" s="150">
        <f t="shared" si="9"/>
        <v>1.2709722514469252E-2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666910</v>
      </c>
      <c r="D137" s="146">
        <v>572201</v>
      </c>
      <c r="E137" s="146">
        <f t="shared" si="8"/>
        <v>-94709</v>
      </c>
      <c r="F137" s="150">
        <f t="shared" si="9"/>
        <v>-0.14201166574200416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2928288</v>
      </c>
      <c r="D138" s="146">
        <v>2891373</v>
      </c>
      <c r="E138" s="146">
        <f t="shared" si="8"/>
        <v>-36915</v>
      </c>
      <c r="F138" s="150">
        <f t="shared" si="9"/>
        <v>-1.2606341999147624E-2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2058399</v>
      </c>
      <c r="D140" s="146">
        <v>2161644</v>
      </c>
      <c r="E140" s="146">
        <f t="shared" si="8"/>
        <v>103245</v>
      </c>
      <c r="F140" s="150">
        <f t="shared" si="9"/>
        <v>5.0157913990436259E-2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965058</v>
      </c>
      <c r="D142" s="146">
        <v>1159522</v>
      </c>
      <c r="E142" s="146">
        <f t="shared" si="8"/>
        <v>194464</v>
      </c>
      <c r="F142" s="150">
        <f t="shared" si="9"/>
        <v>0.20150498726501412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663032</v>
      </c>
      <c r="D143" s="146">
        <v>604582</v>
      </c>
      <c r="E143" s="146">
        <f t="shared" si="8"/>
        <v>-58450</v>
      </c>
      <c r="F143" s="150">
        <f t="shared" si="9"/>
        <v>-8.815562446458089E-2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13580435</v>
      </c>
      <c r="D144" s="146">
        <v>13021547</v>
      </c>
      <c r="E144" s="146">
        <f t="shared" si="8"/>
        <v>-558888</v>
      </c>
      <c r="F144" s="150">
        <f t="shared" si="9"/>
        <v>-4.1153910018346243E-2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1431714</v>
      </c>
      <c r="D145" s="146">
        <v>1443583</v>
      </c>
      <c r="E145" s="146">
        <f t="shared" si="8"/>
        <v>11869</v>
      </c>
      <c r="F145" s="150">
        <f t="shared" si="9"/>
        <v>8.2900635182725033E-3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1042237</v>
      </c>
      <c r="D148" s="146">
        <v>1164914</v>
      </c>
      <c r="E148" s="146">
        <f t="shared" si="8"/>
        <v>122677</v>
      </c>
      <c r="F148" s="150">
        <f t="shared" si="9"/>
        <v>0.11770547389893085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1036585</v>
      </c>
      <c r="D149" s="146">
        <v>1202606</v>
      </c>
      <c r="E149" s="146">
        <f t="shared" si="8"/>
        <v>166021</v>
      </c>
      <c r="F149" s="150">
        <f t="shared" si="9"/>
        <v>0.160161491821703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5236919</v>
      </c>
      <c r="D151" s="146">
        <v>5043541</v>
      </c>
      <c r="E151" s="146">
        <f t="shared" si="8"/>
        <v>-193378</v>
      </c>
      <c r="F151" s="150">
        <f t="shared" si="9"/>
        <v>-3.6925910062767825E-2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3909201</v>
      </c>
      <c r="D152" s="146">
        <v>4006475</v>
      </c>
      <c r="E152" s="146">
        <f t="shared" si="8"/>
        <v>97274</v>
      </c>
      <c r="F152" s="150">
        <f t="shared" si="9"/>
        <v>2.4883345727170336E-2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7074338</v>
      </c>
      <c r="D154" s="146">
        <v>7137509</v>
      </c>
      <c r="E154" s="146">
        <f t="shared" si="8"/>
        <v>63171</v>
      </c>
      <c r="F154" s="150">
        <f t="shared" si="9"/>
        <v>8.92959878366004E-3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92083485</v>
      </c>
      <c r="D155" s="147">
        <f>SUM(D121:D154)</f>
        <v>96991348</v>
      </c>
      <c r="E155" s="147">
        <f t="shared" si="8"/>
        <v>4907863</v>
      </c>
      <c r="F155" s="148">
        <f t="shared" si="9"/>
        <v>5.329797194361182E-2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20178560</v>
      </c>
      <c r="D158" s="146">
        <v>21774840</v>
      </c>
      <c r="E158" s="146">
        <f t="shared" ref="E158:E171" si="10">D158-C158</f>
        <v>1596280</v>
      </c>
      <c r="F158" s="150">
        <f t="shared" ref="F158:F171" si="11">IF(C158=0,0,E158/C158)</f>
        <v>7.9107726220305111E-2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3086638</v>
      </c>
      <c r="D159" s="146">
        <v>3033380</v>
      </c>
      <c r="E159" s="146">
        <f t="shared" si="10"/>
        <v>-53258</v>
      </c>
      <c r="F159" s="150">
        <f t="shared" si="11"/>
        <v>-1.725437190885358E-2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3049978</v>
      </c>
      <c r="D160" s="146">
        <v>3346286</v>
      </c>
      <c r="E160" s="146">
        <f t="shared" si="10"/>
        <v>296308</v>
      </c>
      <c r="F160" s="150">
        <f t="shared" si="11"/>
        <v>9.7150864694761738E-2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2442746</v>
      </c>
      <c r="D161" s="146">
        <v>2526774</v>
      </c>
      <c r="E161" s="146">
        <f t="shared" si="10"/>
        <v>84028</v>
      </c>
      <c r="F161" s="150">
        <f t="shared" si="11"/>
        <v>3.4398991954136864E-2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5621925</v>
      </c>
      <c r="D163" s="146">
        <v>5723900</v>
      </c>
      <c r="E163" s="146">
        <f t="shared" si="10"/>
        <v>101975</v>
      </c>
      <c r="F163" s="150">
        <f t="shared" si="11"/>
        <v>1.8138804768829182E-2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1967955</v>
      </c>
      <c r="D165" s="146">
        <v>2345092</v>
      </c>
      <c r="E165" s="146">
        <f t="shared" si="10"/>
        <v>377137</v>
      </c>
      <c r="F165" s="150">
        <f t="shared" si="11"/>
        <v>0.19163903646170771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2608867</v>
      </c>
      <c r="D166" s="146">
        <v>2657878</v>
      </c>
      <c r="E166" s="146">
        <f t="shared" si="10"/>
        <v>49011</v>
      </c>
      <c r="F166" s="150">
        <f t="shared" si="11"/>
        <v>1.8786316052140643E-2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2170659</v>
      </c>
      <c r="D167" s="146">
        <v>2315055</v>
      </c>
      <c r="E167" s="146">
        <f t="shared" si="10"/>
        <v>144396</v>
      </c>
      <c r="F167" s="150">
        <f t="shared" si="11"/>
        <v>6.6521733722339618E-2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1020716</v>
      </c>
      <c r="D170" s="146">
        <v>1217296</v>
      </c>
      <c r="E170" s="146">
        <f t="shared" si="10"/>
        <v>196580</v>
      </c>
      <c r="F170" s="150">
        <f t="shared" si="11"/>
        <v>0.19259029935848954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42148044</v>
      </c>
      <c r="D171" s="147">
        <f>SUM(D158:D170)</f>
        <v>44940501</v>
      </c>
      <c r="E171" s="147">
        <f t="shared" si="10"/>
        <v>2792457</v>
      </c>
      <c r="F171" s="148">
        <f t="shared" si="11"/>
        <v>6.6253537174821214E-2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33963683</v>
      </c>
      <c r="D174" s="146">
        <v>34011422</v>
      </c>
      <c r="E174" s="146">
        <f>D174-C174</f>
        <v>47739</v>
      </c>
      <c r="F174" s="150">
        <f>IF(C174=0,0,E174/C174)</f>
        <v>1.4055896117037719E-3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299648936</v>
      </c>
      <c r="D176" s="147">
        <f>+D174+D171+D155+D118+D109</f>
        <v>312331109</v>
      </c>
      <c r="E176" s="147">
        <f>D176-C176</f>
        <v>12682173</v>
      </c>
      <c r="F176" s="148">
        <f>IF(C176=0,0,E176/C176)</f>
        <v>4.2323437450817444E-2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660" t="s">
        <v>983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0" fitToHeight="0" orientation="portrait" horizontalDpi="1200" verticalDpi="1200" r:id="rId1"/>
  <headerFooter>
    <oddHeader>&amp;LOFFICE OF HEALTH CARE ACCESS&amp;CTWELVE MONTHS ACTUAL FILING&amp;RLAWRENCE AND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280126452</v>
      </c>
      <c r="D11" s="164">
        <v>306562977</v>
      </c>
      <c r="E11" s="51">
        <v>318813210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12934063</v>
      </c>
      <c r="D12" s="49">
        <v>14705837</v>
      </c>
      <c r="E12" s="49">
        <v>16057736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293060515</v>
      </c>
      <c r="D13" s="51">
        <f>+D11+D12</f>
        <v>321268814</v>
      </c>
      <c r="E13" s="51">
        <f>+E11+E12</f>
        <v>334870946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277530735</v>
      </c>
      <c r="D14" s="49">
        <v>299648936</v>
      </c>
      <c r="E14" s="49">
        <v>312331109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15529780</v>
      </c>
      <c r="D15" s="51">
        <f>+D13-D14</f>
        <v>21619878</v>
      </c>
      <c r="E15" s="51">
        <f>+E13-E14</f>
        <v>22539837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-425131</v>
      </c>
      <c r="D16" s="49">
        <v>-18052615</v>
      </c>
      <c r="E16" s="49">
        <v>4137772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15104649</v>
      </c>
      <c r="D17" s="51">
        <f>D15+D16</f>
        <v>3567263</v>
      </c>
      <c r="E17" s="51">
        <f>E15+E16</f>
        <v>26677609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5.3068702040488719E-2</v>
      </c>
      <c r="D20" s="169">
        <f>IF(+D27=0,0,+D24/+D27)</f>
        <v>7.1301856798224691E-2</v>
      </c>
      <c r="E20" s="169">
        <f>IF(+E27=0,0,+E24/+E27)</f>
        <v>6.6487484843973835E-2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-1.4527669012165665E-3</v>
      </c>
      <c r="D21" s="169">
        <f>IF(D27=0,0,+D26/D27)</f>
        <v>-5.9537106063386802E-2</v>
      </c>
      <c r="E21" s="169">
        <f>IF(E27=0,0,+E26/E27)</f>
        <v>1.2205503222486449E-2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5.1615935139272151E-2</v>
      </c>
      <c r="D22" s="169">
        <f>IF(D27=0,0,+D28/D27)</f>
        <v>1.1764750734837884E-2</v>
      </c>
      <c r="E22" s="169">
        <f>IF(E27=0,0,+E28/E27)</f>
        <v>7.8692988066460287E-2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15529780</v>
      </c>
      <c r="D24" s="51">
        <f>+D15</f>
        <v>21619878</v>
      </c>
      <c r="E24" s="51">
        <f>+E15</f>
        <v>22539837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293060515</v>
      </c>
      <c r="D25" s="51">
        <f>+D13</f>
        <v>321268814</v>
      </c>
      <c r="E25" s="51">
        <f>+E13</f>
        <v>334870946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-425131</v>
      </c>
      <c r="D26" s="51">
        <f>+D16</f>
        <v>-18052615</v>
      </c>
      <c r="E26" s="51">
        <f>+E16</f>
        <v>4137772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292635384</v>
      </c>
      <c r="D27" s="51">
        <f>+D25+D26</f>
        <v>303216199</v>
      </c>
      <c r="E27" s="51">
        <f>+E25+E26</f>
        <v>339008718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15104649</v>
      </c>
      <c r="D28" s="51">
        <f>+D17</f>
        <v>3567263</v>
      </c>
      <c r="E28" s="51">
        <f>+E17</f>
        <v>26677609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141020827</v>
      </c>
      <c r="D31" s="51">
        <v>137717053</v>
      </c>
      <c r="E31" s="51">
        <v>142478037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163776737</v>
      </c>
      <c r="D32" s="51">
        <v>161616678</v>
      </c>
      <c r="E32" s="51">
        <v>165780674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-3296931</v>
      </c>
      <c r="D33" s="51">
        <f>+D32-C32</f>
        <v>-2160059</v>
      </c>
      <c r="E33" s="51">
        <f>+E32-D32</f>
        <v>4163996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0.98019999999999996</v>
      </c>
      <c r="D34" s="171">
        <f>IF(C32=0,0,+D33/C32)</f>
        <v>-1.3189046500541771E-2</v>
      </c>
      <c r="E34" s="171">
        <f>IF(D32=0,0,+E33/D32)</f>
        <v>2.5764642928745262E-2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0.47092259702836564</v>
      </c>
      <c r="D38" s="172">
        <f>IF((D40+D41)=0,0,+D39/(D40+D41))</f>
        <v>0.46875514655752482</v>
      </c>
      <c r="E38" s="172">
        <f>IF((E40+E41)=0,0,+E39/(E40+E41))</f>
        <v>0.46146588896611052</v>
      </c>
      <c r="F38" s="5"/>
    </row>
    <row r="39" spans="1:6" ht="24" customHeight="1" x14ac:dyDescent="0.2">
      <c r="A39" s="21">
        <v>2</v>
      </c>
      <c r="B39" s="48" t="s">
        <v>322</v>
      </c>
      <c r="C39" s="51">
        <v>277530735</v>
      </c>
      <c r="D39" s="51">
        <v>299648936</v>
      </c>
      <c r="E39" s="23">
        <v>312331109</v>
      </c>
      <c r="F39" s="5"/>
    </row>
    <row r="40" spans="1:6" ht="24" customHeight="1" x14ac:dyDescent="0.2">
      <c r="A40" s="21">
        <v>3</v>
      </c>
      <c r="B40" s="48" t="s">
        <v>323</v>
      </c>
      <c r="C40" s="51">
        <v>576860336</v>
      </c>
      <c r="D40" s="51">
        <v>624951148</v>
      </c>
      <c r="E40" s="23">
        <v>661160920</v>
      </c>
      <c r="F40" s="5"/>
    </row>
    <row r="41" spans="1:6" ht="24" customHeight="1" x14ac:dyDescent="0.2">
      <c r="A41" s="21">
        <v>4</v>
      </c>
      <c r="B41" s="48" t="s">
        <v>324</v>
      </c>
      <c r="C41" s="51">
        <v>12473743</v>
      </c>
      <c r="D41" s="51">
        <v>14292897</v>
      </c>
      <c r="E41" s="23">
        <v>15662907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1.3103828831885955</v>
      </c>
      <c r="D43" s="173">
        <f>IF(D38=0,0,IF((D46-D47)=0,0,((+D44-D45)/(D46-D47)/D38)))</f>
        <v>1.3504485462351214</v>
      </c>
      <c r="E43" s="173">
        <f>IF(E38=0,0,IF((E46-E47)=0,0,((+E44-E45)/(E46-E47)/E38)))</f>
        <v>1.3648230178702239</v>
      </c>
      <c r="F43" s="5"/>
    </row>
    <row r="44" spans="1:6" ht="24" customHeight="1" x14ac:dyDescent="0.2">
      <c r="A44" s="21">
        <v>6</v>
      </c>
      <c r="B44" s="48" t="s">
        <v>326</v>
      </c>
      <c r="C44" s="51">
        <v>141036108</v>
      </c>
      <c r="D44" s="51">
        <v>151125329</v>
      </c>
      <c r="E44" s="23">
        <v>151294809</v>
      </c>
      <c r="F44" s="5"/>
    </row>
    <row r="45" spans="1:6" ht="24" customHeight="1" x14ac:dyDescent="0.2">
      <c r="A45" s="21">
        <v>7</v>
      </c>
      <c r="B45" s="48" t="s">
        <v>327</v>
      </c>
      <c r="C45" s="51">
        <v>0</v>
      </c>
      <c r="D45" s="51">
        <v>0</v>
      </c>
      <c r="E45" s="23">
        <v>0</v>
      </c>
      <c r="F45" s="5"/>
    </row>
    <row r="46" spans="1:6" ht="24" customHeight="1" x14ac:dyDescent="0.2">
      <c r="A46" s="21">
        <v>8</v>
      </c>
      <c r="B46" s="48" t="s">
        <v>328</v>
      </c>
      <c r="C46" s="51">
        <v>241530587</v>
      </c>
      <c r="D46" s="51">
        <v>251173831</v>
      </c>
      <c r="E46" s="23">
        <v>252236177</v>
      </c>
      <c r="F46" s="5"/>
    </row>
    <row r="47" spans="1:6" ht="24" customHeight="1" x14ac:dyDescent="0.2">
      <c r="A47" s="21">
        <v>9</v>
      </c>
      <c r="B47" s="48" t="s">
        <v>329</v>
      </c>
      <c r="C47" s="51">
        <v>12979878</v>
      </c>
      <c r="D47" s="51">
        <v>12440439</v>
      </c>
      <c r="E47" s="174">
        <v>12016773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0.85371236793439231</v>
      </c>
      <c r="D49" s="175">
        <f>IF(D38=0,0,IF(D51=0,0,(D50/D51)/D38))</f>
        <v>0.86152148807979667</v>
      </c>
      <c r="E49" s="175">
        <f>IF(E38=0,0,IF(E51=0,0,(E50/E51)/E38))</f>
        <v>0.82187012195438502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89655623</v>
      </c>
      <c r="D50" s="176">
        <v>98441244</v>
      </c>
      <c r="E50" s="176">
        <v>99961314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223005939</v>
      </c>
      <c r="D51" s="176">
        <v>243761397</v>
      </c>
      <c r="E51" s="176">
        <v>263565863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0.70278489914168618</v>
      </c>
      <c r="D53" s="175">
        <f>IF(D38=0,0,IF(D55=0,0,(D54/D55)/D38))</f>
        <v>0.69917645952385465</v>
      </c>
      <c r="E53" s="175">
        <f>IF(E38=0,0,IF(E55=0,0,(E54/E55)/E38))</f>
        <v>0.7610862231696025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21159382</v>
      </c>
      <c r="D54" s="176">
        <v>26012944</v>
      </c>
      <c r="E54" s="176">
        <v>38001104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63933875</v>
      </c>
      <c r="D55" s="176">
        <v>79370051</v>
      </c>
      <c r="E55" s="176">
        <v>108198876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8239436.4698917829</v>
      </c>
      <c r="D57" s="53">
        <f>+D60*D38</f>
        <v>8219444.3054407993</v>
      </c>
      <c r="E57" s="53">
        <f>+E60*E38</f>
        <v>7851174.8210829254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2405415</v>
      </c>
      <c r="D58" s="51">
        <v>3153445</v>
      </c>
      <c r="E58" s="52">
        <v>3148344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15090956</v>
      </c>
      <c r="D59" s="51">
        <v>14381177</v>
      </c>
      <c r="E59" s="52">
        <v>13865210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17496371</v>
      </c>
      <c r="D60" s="51">
        <v>17534622</v>
      </c>
      <c r="E60" s="52">
        <v>17013554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2.968837476646247E-2</v>
      </c>
      <c r="D62" s="178">
        <f>IF(D63=0,0,+D57/D63)</f>
        <v>2.7430246925491501E-2</v>
      </c>
      <c r="E62" s="178">
        <f>IF(E63=0,0,+E57/E63)</f>
        <v>2.5137344935700676E-2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277530735</v>
      </c>
      <c r="D63" s="176">
        <v>299648936</v>
      </c>
      <c r="E63" s="176">
        <v>312331109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4.3127143497566189</v>
      </c>
      <c r="D67" s="179">
        <f>IF(D69=0,0,D68/D69)</f>
        <v>3.708627930776363</v>
      </c>
      <c r="E67" s="179">
        <f>IF(E69=0,0,E68/E69)</f>
        <v>3.8798612172870093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176993012</v>
      </c>
      <c r="D68" s="180">
        <v>188159530</v>
      </c>
      <c r="E68" s="180">
        <v>189459218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41039818</v>
      </c>
      <c r="D69" s="180">
        <v>50735618</v>
      </c>
      <c r="E69" s="180">
        <v>48831442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162.20645195767719</v>
      </c>
      <c r="D71" s="181">
        <f>IF((D77/365)=0,0,+D74/(D77/365))</f>
        <v>175.19389269910491</v>
      </c>
      <c r="E71" s="181">
        <f>IF((E77/365)=0,0,+E74/(E77/365))</f>
        <v>180.36229022155615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17038903</v>
      </c>
      <c r="D72" s="182">
        <v>29002112</v>
      </c>
      <c r="E72" s="182">
        <v>39933225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99233961</v>
      </c>
      <c r="D73" s="184">
        <v>106795008</v>
      </c>
      <c r="E73" s="184">
        <v>105904042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116272864</v>
      </c>
      <c r="D74" s="180">
        <f>+D72+D73</f>
        <v>135797120</v>
      </c>
      <c r="E74" s="180">
        <f>+E72+E73</f>
        <v>145837267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277530735</v>
      </c>
      <c r="D75" s="180">
        <f>+D14</f>
        <v>299648936</v>
      </c>
      <c r="E75" s="180">
        <f>+E14</f>
        <v>312331109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15891356</v>
      </c>
      <c r="D76" s="180">
        <v>16728407</v>
      </c>
      <c r="E76" s="180">
        <v>17199558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261639379</v>
      </c>
      <c r="D77" s="180">
        <f>+D75-D76</f>
        <v>282920529</v>
      </c>
      <c r="E77" s="180">
        <f>+E75-E76</f>
        <v>295131551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24.203607305175165</v>
      </c>
      <c r="D79" s="179">
        <f>IF((D84/365)=0,0,+D83/(D84/365))</f>
        <v>25.154664892884309</v>
      </c>
      <c r="E79" s="179">
        <f>IF((E84/365)=0,0,+E83/(E84/365))</f>
        <v>25.281927652872351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27664974</v>
      </c>
      <c r="D80" s="189">
        <v>29686477</v>
      </c>
      <c r="E80" s="189">
        <v>29920862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9089438</v>
      </c>
      <c r="D82" s="190">
        <v>8559110</v>
      </c>
      <c r="E82" s="190">
        <v>7838088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18575536</v>
      </c>
      <c r="D83" s="191">
        <f>+D80+D81-D82</f>
        <v>21127367</v>
      </c>
      <c r="E83" s="191">
        <f>+E80+E81-E82</f>
        <v>22082774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280126452</v>
      </c>
      <c r="D84" s="191">
        <f>+D11</f>
        <v>306562977</v>
      </c>
      <c r="E84" s="191">
        <f>+E11</f>
        <v>318813210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57.252595642340211</v>
      </c>
      <c r="D86" s="179">
        <f>IF((D90/365)=0,0,+D87/(D90/365))</f>
        <v>65.45477853959477</v>
      </c>
      <c r="E86" s="179">
        <f>IF((E90/365)=0,0,+E87/(E90/365))</f>
        <v>60.391633051797974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41039818</v>
      </c>
      <c r="D87" s="51">
        <f>+D69</f>
        <v>50735618</v>
      </c>
      <c r="E87" s="51">
        <f>+E69</f>
        <v>48831442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277530735</v>
      </c>
      <c r="D88" s="51">
        <f t="shared" si="0"/>
        <v>299648936</v>
      </c>
      <c r="E88" s="51">
        <f t="shared" si="0"/>
        <v>312331109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15891356</v>
      </c>
      <c r="D89" s="52">
        <f t="shared" si="0"/>
        <v>16728407</v>
      </c>
      <c r="E89" s="52">
        <f t="shared" si="0"/>
        <v>17199558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261639379</v>
      </c>
      <c r="D90" s="51">
        <f>+D88-D89</f>
        <v>282920529</v>
      </c>
      <c r="E90" s="51">
        <f>+E88-E89</f>
        <v>295131551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50.290967354422698</v>
      </c>
      <c r="D94" s="192">
        <f>IF(D96=0,0,(D95/D96)*100)</f>
        <v>47.724345013604378</v>
      </c>
      <c r="E94" s="192">
        <f>IF(E96=0,0,(E95/E96)*100)</f>
        <v>46.764782060287864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163776737</v>
      </c>
      <c r="D95" s="51">
        <f>+D32</f>
        <v>161616678</v>
      </c>
      <c r="E95" s="51">
        <f>+E32</f>
        <v>165780674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325658355</v>
      </c>
      <c r="D96" s="51">
        <v>338646194</v>
      </c>
      <c r="E96" s="51">
        <v>354498977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29.06334542455572</v>
      </c>
      <c r="D98" s="192">
        <f>IF(D104=0,0,(D101/D104)*100)</f>
        <v>18.021573104328954</v>
      </c>
      <c r="E98" s="192">
        <f>IF(E104=0,0,(E101/E104)*100)</f>
        <v>33.473230923554183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15104649</v>
      </c>
      <c r="D99" s="51">
        <f>+D28</f>
        <v>3567263</v>
      </c>
      <c r="E99" s="51">
        <f>+E28</f>
        <v>26677609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15891356</v>
      </c>
      <c r="D100" s="52">
        <f>+D76</f>
        <v>16728407</v>
      </c>
      <c r="E100" s="52">
        <f>+E76</f>
        <v>17199558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30996005</v>
      </c>
      <c r="D101" s="51">
        <f>+D99+D100</f>
        <v>20295670</v>
      </c>
      <c r="E101" s="51">
        <f>+E99+E100</f>
        <v>43877167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41039818</v>
      </c>
      <c r="D102" s="180">
        <f>+D69</f>
        <v>50735618</v>
      </c>
      <c r="E102" s="180">
        <f>+E69</f>
        <v>48831442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65610000</v>
      </c>
      <c r="D103" s="194">
        <v>61883130</v>
      </c>
      <c r="E103" s="194">
        <v>82249920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106649818</v>
      </c>
      <c r="D104" s="180">
        <f>+D102+D103</f>
        <v>112618748</v>
      </c>
      <c r="E104" s="180">
        <f>+E102+E103</f>
        <v>131081362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28.602351146396053</v>
      </c>
      <c r="D106" s="197">
        <f>IF(D109=0,0,(D107/D109)*100)</f>
        <v>27.68822512813971</v>
      </c>
      <c r="E106" s="197">
        <f>IF(E109=0,0,(E107/E109)*100)</f>
        <v>33.161199460740718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65610000</v>
      </c>
      <c r="D107" s="180">
        <f>+D103</f>
        <v>61883130</v>
      </c>
      <c r="E107" s="180">
        <f>+E103</f>
        <v>82249920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163776737</v>
      </c>
      <c r="D108" s="180">
        <f>+D32</f>
        <v>161616678</v>
      </c>
      <c r="E108" s="180">
        <f>+E32</f>
        <v>165780674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229386737</v>
      </c>
      <c r="D109" s="180">
        <f>+D107+D108</f>
        <v>223499808</v>
      </c>
      <c r="E109" s="180">
        <f>+E107+E108</f>
        <v>248030594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6.5998929215564877</v>
      </c>
      <c r="D111" s="197">
        <f>IF((+D113+D115)=0,0,((+D112+D113+D114)/(+D113+D115)))</f>
        <v>4.5508447391470046</v>
      </c>
      <c r="E111" s="197">
        <f>IF((+E113+E115)=0,0,((+E112+E113+E114)/(+E113+E115)))</f>
        <v>9.2415697297288624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15104649</v>
      </c>
      <c r="D112" s="180">
        <f>+D17</f>
        <v>3567263</v>
      </c>
      <c r="E112" s="180">
        <f>+E17</f>
        <v>26677609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2570991</v>
      </c>
      <c r="D113" s="180">
        <v>2332245</v>
      </c>
      <c r="E113" s="180">
        <v>2212177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15891356</v>
      </c>
      <c r="D114" s="180">
        <v>16728407</v>
      </c>
      <c r="E114" s="180">
        <v>17199558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2515000</v>
      </c>
      <c r="D115" s="180">
        <v>2640000</v>
      </c>
      <c r="E115" s="180">
        <v>2775000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11.333987609364486</v>
      </c>
      <c r="D119" s="197">
        <f>IF(+D121=0,0,(+D120)/(+D121))</f>
        <v>11.580594434365448</v>
      </c>
      <c r="E119" s="197">
        <f>IF(+E121=0,0,(+E120)/(+E121))</f>
        <v>12.233739320510447</v>
      </c>
    </row>
    <row r="120" spans="1:8" ht="24" customHeight="1" x14ac:dyDescent="0.25">
      <c r="A120" s="17">
        <v>21</v>
      </c>
      <c r="B120" s="48" t="s">
        <v>367</v>
      </c>
      <c r="C120" s="180">
        <v>180112432</v>
      </c>
      <c r="D120" s="180">
        <v>193724897</v>
      </c>
      <c r="E120" s="180">
        <v>210414909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15891356</v>
      </c>
      <c r="D121" s="180">
        <v>16728407</v>
      </c>
      <c r="E121" s="180">
        <v>17199558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69025</v>
      </c>
      <c r="D124" s="198">
        <v>71761</v>
      </c>
      <c r="E124" s="198">
        <v>74082</v>
      </c>
    </row>
    <row r="125" spans="1:8" ht="24" customHeight="1" x14ac:dyDescent="0.2">
      <c r="A125" s="44">
        <v>2</v>
      </c>
      <c r="B125" s="48" t="s">
        <v>371</v>
      </c>
      <c r="C125" s="198">
        <v>14857</v>
      </c>
      <c r="D125" s="198">
        <v>15464</v>
      </c>
      <c r="E125" s="198">
        <v>15328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4.6459581342128287</v>
      </c>
      <c r="D126" s="199">
        <f>IF(D125=0,0,D124/D125)</f>
        <v>4.6405199172271079</v>
      </c>
      <c r="E126" s="199">
        <f>IF(E125=0,0,E124/E125)</f>
        <v>4.8331158663883089</v>
      </c>
    </row>
    <row r="127" spans="1:8" ht="24" customHeight="1" x14ac:dyDescent="0.2">
      <c r="A127" s="44">
        <v>4</v>
      </c>
      <c r="B127" s="48" t="s">
        <v>373</v>
      </c>
      <c r="C127" s="198">
        <v>252</v>
      </c>
      <c r="D127" s="198">
        <v>256</v>
      </c>
      <c r="E127" s="198">
        <v>256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256</v>
      </c>
      <c r="E128" s="198">
        <v>256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308</v>
      </c>
      <c r="D129" s="198">
        <v>308</v>
      </c>
      <c r="E129" s="198">
        <v>308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0.75039999999999996</v>
      </c>
      <c r="D130" s="171">
        <v>0.76790000000000003</v>
      </c>
      <c r="E130" s="171">
        <v>0.79279999999999995</v>
      </c>
    </row>
    <row r="131" spans="1:8" ht="24" customHeight="1" x14ac:dyDescent="0.2">
      <c r="A131" s="44">
        <v>7</v>
      </c>
      <c r="B131" s="48" t="s">
        <v>377</v>
      </c>
      <c r="C131" s="171">
        <v>0.75039999999999996</v>
      </c>
      <c r="D131" s="171">
        <v>0.76790000000000003</v>
      </c>
      <c r="E131" s="171">
        <v>0.79279999999999995</v>
      </c>
    </row>
    <row r="132" spans="1:8" ht="24" customHeight="1" x14ac:dyDescent="0.2">
      <c r="A132" s="44">
        <v>8</v>
      </c>
      <c r="B132" s="48" t="s">
        <v>378</v>
      </c>
      <c r="C132" s="199">
        <v>1889.3</v>
      </c>
      <c r="D132" s="199">
        <v>1892.8</v>
      </c>
      <c r="E132" s="199">
        <v>1939.1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0.39619764913079414</v>
      </c>
      <c r="D135" s="203">
        <f>IF(D149=0,0,D143/D149)</f>
        <v>0.3820032857992286</v>
      </c>
      <c r="E135" s="203">
        <f>IF(E149=0,0,E143/E149)</f>
        <v>0.36332970799302539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0.38658566915233361</v>
      </c>
      <c r="D136" s="203">
        <f>IF(D149=0,0,D144/D149)</f>
        <v>0.39004872265631874</v>
      </c>
      <c r="E136" s="203">
        <f>IF(E149=0,0,E144/E149)</f>
        <v>0.39864101919393541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0.11083076961630449</v>
      </c>
      <c r="D137" s="203">
        <f>IF(D149=0,0,D145/D149)</f>
        <v>0.12700200848338949</v>
      </c>
      <c r="E137" s="203">
        <f>IF(E149=0,0,E145/E149)</f>
        <v>0.16364983580699236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3.0309558326090218E-2</v>
      </c>
      <c r="D138" s="203">
        <f>IF(D149=0,0,D146/D149)</f>
        <v>2.7087259626891669E-2</v>
      </c>
      <c r="E138" s="203">
        <f>IF(E149=0,0,E146/E149)</f>
        <v>2.8751321236590937E-3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2.2500902194114453E-2</v>
      </c>
      <c r="D139" s="203">
        <f>IF(D149=0,0,D147/D149)</f>
        <v>1.9906258336851636E-2</v>
      </c>
      <c r="E139" s="203">
        <f>IF(E149=0,0,E147/E149)</f>
        <v>1.8175262082943438E-2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5.3575451580363122E-2</v>
      </c>
      <c r="D140" s="203">
        <f>IF(D149=0,0,D148/D149)</f>
        <v>5.3952465097319893E-2</v>
      </c>
      <c r="E140" s="203">
        <f>IF(E149=0,0,E148/E149)</f>
        <v>5.3329042799444344E-2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228550709</v>
      </c>
      <c r="D143" s="205">
        <f>+D46-D147</f>
        <v>238733392</v>
      </c>
      <c r="E143" s="205">
        <f>+E46-E147</f>
        <v>240219404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223005939</v>
      </c>
      <c r="D144" s="205">
        <f>+D51</f>
        <v>243761397</v>
      </c>
      <c r="E144" s="205">
        <f>+E51</f>
        <v>263565863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63933875</v>
      </c>
      <c r="D145" s="205">
        <f>+D55</f>
        <v>79370051</v>
      </c>
      <c r="E145" s="205">
        <f>+E55</f>
        <v>108198876</v>
      </c>
    </row>
    <row r="146" spans="1:7" ht="20.100000000000001" customHeight="1" x14ac:dyDescent="0.2">
      <c r="A146" s="202">
        <v>11</v>
      </c>
      <c r="B146" s="201" t="s">
        <v>390</v>
      </c>
      <c r="C146" s="204">
        <v>17484382</v>
      </c>
      <c r="D146" s="205">
        <v>16928214</v>
      </c>
      <c r="E146" s="205">
        <v>1900925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12979878</v>
      </c>
      <c r="D147" s="205">
        <f>+D47</f>
        <v>12440439</v>
      </c>
      <c r="E147" s="205">
        <f>+E47</f>
        <v>12016773</v>
      </c>
    </row>
    <row r="148" spans="1:7" ht="20.100000000000001" customHeight="1" x14ac:dyDescent="0.2">
      <c r="A148" s="202">
        <v>13</v>
      </c>
      <c r="B148" s="201" t="s">
        <v>392</v>
      </c>
      <c r="C148" s="206">
        <v>30905553</v>
      </c>
      <c r="D148" s="205">
        <v>33717655</v>
      </c>
      <c r="E148" s="205">
        <v>35259079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576860336</v>
      </c>
      <c r="D149" s="205">
        <f>SUM(D143:D148)</f>
        <v>624951148</v>
      </c>
      <c r="E149" s="205">
        <f>SUM(E143:E148)</f>
        <v>661160920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0.53140890180216005</v>
      </c>
      <c r="D152" s="203">
        <f>IF(D166=0,0,D160/D166)</f>
        <v>0.51684159512129679</v>
      </c>
      <c r="E152" s="203">
        <f>IF(E166=0,0,E160/E166)</f>
        <v>0.49928829835749405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0.33781275472248906</v>
      </c>
      <c r="D153" s="203">
        <f>IF(D166=0,0,D161/D166)</f>
        <v>0.33666447518327514</v>
      </c>
      <c r="E153" s="203">
        <f>IF(E166=0,0,E161/E166)</f>
        <v>0.32988252999902423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7.9726277978632201E-2</v>
      </c>
      <c r="D154" s="203">
        <f>IF(D166=0,0,D162/D166)</f>
        <v>8.8963058408038059E-2</v>
      </c>
      <c r="E154" s="203">
        <f>IF(E166=0,0,E162/E166)</f>
        <v>0.12540751845535003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1.027475664698542E-2</v>
      </c>
      <c r="D155" s="203">
        <f>IF(D166=0,0,D163/D166)</f>
        <v>1.297035141779883E-2</v>
      </c>
      <c r="E155" s="203">
        <f>IF(E166=0,0,E163/E166)</f>
        <v>1.9332954413424216E-3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0</v>
      </c>
      <c r="D156" s="203">
        <f>IF(D166=0,0,D164/D166)</f>
        <v>0</v>
      </c>
      <c r="E156" s="203">
        <f>IF(E166=0,0,E164/E166)</f>
        <v>0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4.0777308849733275E-2</v>
      </c>
      <c r="D157" s="203">
        <f>IF(D166=0,0,D165/D166)</f>
        <v>4.4560519869591156E-2</v>
      </c>
      <c r="E157" s="203">
        <f>IF(E166=0,0,E165/E166)</f>
        <v>4.348835774678924E-2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141036108</v>
      </c>
      <c r="D160" s="208">
        <f>+D44-D164</f>
        <v>151125329</v>
      </c>
      <c r="E160" s="208">
        <f>+E44-E164</f>
        <v>151294809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89655623</v>
      </c>
      <c r="D161" s="208">
        <f>+D50</f>
        <v>98441244</v>
      </c>
      <c r="E161" s="208">
        <f>+E50</f>
        <v>99961314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21159382</v>
      </c>
      <c r="D162" s="208">
        <f>+D54</f>
        <v>26012944</v>
      </c>
      <c r="E162" s="208">
        <f>+E54</f>
        <v>38001104</v>
      </c>
    </row>
    <row r="163" spans="1:6" ht="20.100000000000001" customHeight="1" x14ac:dyDescent="0.2">
      <c r="A163" s="202">
        <v>11</v>
      </c>
      <c r="B163" s="201" t="s">
        <v>406</v>
      </c>
      <c r="C163" s="207">
        <v>2726924</v>
      </c>
      <c r="D163" s="208">
        <v>3792552</v>
      </c>
      <c r="E163" s="208">
        <v>585829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0</v>
      </c>
      <c r="D164" s="208">
        <f>+D45</f>
        <v>0</v>
      </c>
      <c r="E164" s="208">
        <f>+E45</f>
        <v>0</v>
      </c>
    </row>
    <row r="165" spans="1:6" ht="20.100000000000001" customHeight="1" x14ac:dyDescent="0.2">
      <c r="A165" s="202">
        <v>13</v>
      </c>
      <c r="B165" s="201" t="s">
        <v>408</v>
      </c>
      <c r="C165" s="209">
        <v>10822312</v>
      </c>
      <c r="D165" s="208">
        <v>13029569</v>
      </c>
      <c r="E165" s="208">
        <v>13177883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265400349</v>
      </c>
      <c r="D166" s="208">
        <f>SUM(D160:D165)</f>
        <v>292401638</v>
      </c>
      <c r="E166" s="208">
        <f>SUM(E160:E165)</f>
        <v>303020939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4741</v>
      </c>
      <c r="D169" s="198">
        <v>4669</v>
      </c>
      <c r="E169" s="198">
        <v>4292</v>
      </c>
    </row>
    <row r="170" spans="1:6" ht="20.100000000000001" customHeight="1" x14ac:dyDescent="0.2">
      <c r="A170" s="202">
        <v>2</v>
      </c>
      <c r="B170" s="201" t="s">
        <v>412</v>
      </c>
      <c r="C170" s="198">
        <v>6498</v>
      </c>
      <c r="D170" s="198">
        <v>6829</v>
      </c>
      <c r="E170" s="198">
        <v>6897</v>
      </c>
    </row>
    <row r="171" spans="1:6" ht="20.100000000000001" customHeight="1" x14ac:dyDescent="0.2">
      <c r="A171" s="202">
        <v>3</v>
      </c>
      <c r="B171" s="201" t="s">
        <v>413</v>
      </c>
      <c r="C171" s="198">
        <v>2751</v>
      </c>
      <c r="D171" s="198">
        <v>3012</v>
      </c>
      <c r="E171" s="198">
        <v>3249</v>
      </c>
    </row>
    <row r="172" spans="1:6" ht="20.100000000000001" customHeight="1" x14ac:dyDescent="0.2">
      <c r="A172" s="202">
        <v>4</v>
      </c>
      <c r="B172" s="201" t="s">
        <v>414</v>
      </c>
      <c r="C172" s="198">
        <v>2254</v>
      </c>
      <c r="D172" s="198">
        <v>2568</v>
      </c>
      <c r="E172" s="198">
        <v>3192</v>
      </c>
    </row>
    <row r="173" spans="1:6" ht="20.100000000000001" customHeight="1" x14ac:dyDescent="0.2">
      <c r="A173" s="202">
        <v>5</v>
      </c>
      <c r="B173" s="201" t="s">
        <v>415</v>
      </c>
      <c r="C173" s="198">
        <v>497</v>
      </c>
      <c r="D173" s="198">
        <v>444</v>
      </c>
      <c r="E173" s="198">
        <v>57</v>
      </c>
    </row>
    <row r="174" spans="1:6" ht="20.100000000000001" customHeight="1" x14ac:dyDescent="0.2">
      <c r="A174" s="202">
        <v>6</v>
      </c>
      <c r="B174" s="201" t="s">
        <v>416</v>
      </c>
      <c r="C174" s="198">
        <v>867</v>
      </c>
      <c r="D174" s="198">
        <v>954</v>
      </c>
      <c r="E174" s="198">
        <v>890</v>
      </c>
    </row>
    <row r="175" spans="1:6" ht="20.100000000000001" customHeight="1" x14ac:dyDescent="0.2">
      <c r="A175" s="202">
        <v>7</v>
      </c>
      <c r="B175" s="201" t="s">
        <v>417</v>
      </c>
      <c r="C175" s="198">
        <v>217</v>
      </c>
      <c r="D175" s="198">
        <v>168</v>
      </c>
      <c r="E175" s="198">
        <v>89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14857</v>
      </c>
      <c r="D176" s="198">
        <f>+D169+D170+D171+D174</f>
        <v>15464</v>
      </c>
      <c r="E176" s="198">
        <f>+E169+E170+E171+E174</f>
        <v>15328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0.97850000000000004</v>
      </c>
      <c r="D179" s="210">
        <v>1.0587</v>
      </c>
      <c r="E179" s="210">
        <v>1.1148</v>
      </c>
    </row>
    <row r="180" spans="1:6" ht="20.100000000000001" customHeight="1" x14ac:dyDescent="0.2">
      <c r="A180" s="202">
        <v>2</v>
      </c>
      <c r="B180" s="201" t="s">
        <v>412</v>
      </c>
      <c r="C180" s="210">
        <v>1.3948</v>
      </c>
      <c r="D180" s="210">
        <v>1.4489000000000001</v>
      </c>
      <c r="E180" s="210">
        <v>1.4370000000000001</v>
      </c>
    </row>
    <row r="181" spans="1:6" ht="20.100000000000001" customHeight="1" x14ac:dyDescent="0.2">
      <c r="A181" s="202">
        <v>3</v>
      </c>
      <c r="B181" s="201" t="s">
        <v>413</v>
      </c>
      <c r="C181" s="210">
        <v>0.88317100000000004</v>
      </c>
      <c r="D181" s="210">
        <v>0.92398199999999997</v>
      </c>
      <c r="E181" s="210">
        <v>0.95108700000000002</v>
      </c>
    </row>
    <row r="182" spans="1:6" ht="20.100000000000001" customHeight="1" x14ac:dyDescent="0.2">
      <c r="A182" s="202">
        <v>4</v>
      </c>
      <c r="B182" s="201" t="s">
        <v>414</v>
      </c>
      <c r="C182" s="210">
        <v>0.85170000000000001</v>
      </c>
      <c r="D182" s="210">
        <v>0.8931</v>
      </c>
      <c r="E182" s="210">
        <v>0.95279999999999998</v>
      </c>
    </row>
    <row r="183" spans="1:6" ht="20.100000000000001" customHeight="1" x14ac:dyDescent="0.2">
      <c r="A183" s="202">
        <v>5</v>
      </c>
      <c r="B183" s="201" t="s">
        <v>415</v>
      </c>
      <c r="C183" s="210">
        <v>1.0259</v>
      </c>
      <c r="D183" s="210">
        <v>1.1026</v>
      </c>
      <c r="E183" s="210">
        <v>0.85519999999999996</v>
      </c>
    </row>
    <row r="184" spans="1:6" ht="20.100000000000001" customHeight="1" x14ac:dyDescent="0.2">
      <c r="A184" s="202">
        <v>6</v>
      </c>
      <c r="B184" s="201" t="s">
        <v>416</v>
      </c>
      <c r="C184" s="210">
        <v>0.83389999999999997</v>
      </c>
      <c r="D184" s="210">
        <v>0.73019999999999996</v>
      </c>
      <c r="E184" s="210">
        <v>0.90339999999999998</v>
      </c>
    </row>
    <row r="185" spans="1:6" ht="20.100000000000001" customHeight="1" x14ac:dyDescent="0.2">
      <c r="A185" s="202">
        <v>7</v>
      </c>
      <c r="B185" s="201" t="s">
        <v>417</v>
      </c>
      <c r="C185" s="210">
        <v>0.89739999999999998</v>
      </c>
      <c r="D185" s="210">
        <v>0.91869999999999996</v>
      </c>
      <c r="E185" s="210">
        <v>0.89100000000000001</v>
      </c>
    </row>
    <row r="186" spans="1:6" ht="20.100000000000001" customHeight="1" x14ac:dyDescent="0.2">
      <c r="A186" s="202">
        <v>8</v>
      </c>
      <c r="B186" s="201" t="s">
        <v>421</v>
      </c>
      <c r="C186" s="210">
        <v>1.134487</v>
      </c>
      <c r="D186" s="210">
        <v>1.184509</v>
      </c>
      <c r="E186" s="210">
        <v>1.212801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6855</v>
      </c>
      <c r="D189" s="198">
        <v>7469</v>
      </c>
      <c r="E189" s="198">
        <v>7543</v>
      </c>
    </row>
    <row r="190" spans="1:6" ht="20.100000000000001" customHeight="1" x14ac:dyDescent="0.2">
      <c r="A190" s="202">
        <v>2</v>
      </c>
      <c r="B190" s="201" t="s">
        <v>425</v>
      </c>
      <c r="C190" s="198">
        <v>72094</v>
      </c>
      <c r="D190" s="198">
        <v>73421</v>
      </c>
      <c r="E190" s="198">
        <v>72571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78949</v>
      </c>
      <c r="D191" s="198">
        <f>+D190+D189</f>
        <v>80890</v>
      </c>
      <c r="E191" s="198">
        <f>+E190+E189</f>
        <v>80114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FILING&amp;RLAWRENCE AND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7" t="s">
        <v>0</v>
      </c>
      <c r="B2" s="677"/>
      <c r="C2" s="677"/>
      <c r="D2" s="677"/>
      <c r="E2" s="677"/>
      <c r="F2" s="677"/>
    </row>
    <row r="3" spans="1:7" ht="20.25" customHeight="1" x14ac:dyDescent="0.3">
      <c r="A3" s="677" t="s">
        <v>1</v>
      </c>
      <c r="B3" s="677"/>
      <c r="C3" s="677"/>
      <c r="D3" s="677"/>
      <c r="E3" s="677"/>
      <c r="F3" s="677"/>
    </row>
    <row r="4" spans="1:7" ht="20.25" customHeight="1" x14ac:dyDescent="0.3">
      <c r="A4" s="677" t="s">
        <v>2</v>
      </c>
      <c r="B4" s="677"/>
      <c r="C4" s="677"/>
      <c r="D4" s="677"/>
      <c r="E4" s="677"/>
      <c r="F4" s="677"/>
    </row>
    <row r="5" spans="1:7" ht="20.25" customHeight="1" x14ac:dyDescent="0.3">
      <c r="A5" s="677" t="s">
        <v>427</v>
      </c>
      <c r="B5" s="677"/>
      <c r="C5" s="677"/>
      <c r="D5" s="677"/>
      <c r="E5" s="677"/>
      <c r="F5" s="677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8"/>
      <c r="D9" s="679"/>
      <c r="E9" s="679"/>
      <c r="F9" s="680"/>
      <c r="G9" s="212"/>
    </row>
    <row r="10" spans="1:7" ht="20.25" customHeight="1" x14ac:dyDescent="0.3">
      <c r="A10" s="681" t="s">
        <v>12</v>
      </c>
      <c r="B10" s="683" t="s">
        <v>113</v>
      </c>
      <c r="C10" s="685"/>
      <c r="D10" s="686"/>
      <c r="E10" s="686"/>
      <c r="F10" s="687"/>
    </row>
    <row r="11" spans="1:7" ht="20.25" customHeight="1" x14ac:dyDescent="0.3">
      <c r="A11" s="682"/>
      <c r="B11" s="684"/>
      <c r="C11" s="688"/>
      <c r="D11" s="689"/>
      <c r="E11" s="689"/>
      <c r="F11" s="690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1637073</v>
      </c>
      <c r="D14" s="237">
        <v>604664</v>
      </c>
      <c r="E14" s="237">
        <f t="shared" ref="E14:E24" si="0">D14-C14</f>
        <v>-1032409</v>
      </c>
      <c r="F14" s="238">
        <f t="shared" ref="F14:F24" si="1">IF(C14=0,0,E14/C14)</f>
        <v>-0.63064322727208866</v>
      </c>
    </row>
    <row r="15" spans="1:7" ht="20.25" customHeight="1" x14ac:dyDescent="0.3">
      <c r="A15" s="235">
        <v>2</v>
      </c>
      <c r="B15" s="236" t="s">
        <v>433</v>
      </c>
      <c r="C15" s="237">
        <v>813714</v>
      </c>
      <c r="D15" s="237">
        <v>105625</v>
      </c>
      <c r="E15" s="237">
        <f t="shared" si="0"/>
        <v>-708089</v>
      </c>
      <c r="F15" s="238">
        <f t="shared" si="1"/>
        <v>-0.87019395020854995</v>
      </c>
    </row>
    <row r="16" spans="1:7" ht="20.25" customHeight="1" x14ac:dyDescent="0.3">
      <c r="A16" s="235">
        <v>3</v>
      </c>
      <c r="B16" s="236" t="s">
        <v>434</v>
      </c>
      <c r="C16" s="237">
        <v>1665123</v>
      </c>
      <c r="D16" s="237">
        <v>613242</v>
      </c>
      <c r="E16" s="237">
        <f t="shared" si="0"/>
        <v>-1051881</v>
      </c>
      <c r="F16" s="238">
        <f t="shared" si="1"/>
        <v>-0.6317136932226628</v>
      </c>
    </row>
    <row r="17" spans="1:6" ht="20.25" customHeight="1" x14ac:dyDescent="0.3">
      <c r="A17" s="235">
        <v>4</v>
      </c>
      <c r="B17" s="236" t="s">
        <v>435</v>
      </c>
      <c r="C17" s="237">
        <v>446381</v>
      </c>
      <c r="D17" s="237">
        <v>22323</v>
      </c>
      <c r="E17" s="237">
        <f t="shared" si="0"/>
        <v>-424058</v>
      </c>
      <c r="F17" s="238">
        <f t="shared" si="1"/>
        <v>-0.94999115105705667</v>
      </c>
    </row>
    <row r="18" spans="1:6" ht="20.25" customHeight="1" x14ac:dyDescent="0.3">
      <c r="A18" s="235">
        <v>5</v>
      </c>
      <c r="B18" s="236" t="s">
        <v>371</v>
      </c>
      <c r="C18" s="239">
        <v>63</v>
      </c>
      <c r="D18" s="239">
        <v>28</v>
      </c>
      <c r="E18" s="239">
        <f t="shared" si="0"/>
        <v>-35</v>
      </c>
      <c r="F18" s="238">
        <f t="shared" si="1"/>
        <v>-0.55555555555555558</v>
      </c>
    </row>
    <row r="19" spans="1:6" ht="20.25" customHeight="1" x14ac:dyDescent="0.3">
      <c r="A19" s="235">
        <v>6</v>
      </c>
      <c r="B19" s="236" t="s">
        <v>370</v>
      </c>
      <c r="C19" s="239">
        <v>389</v>
      </c>
      <c r="D19" s="239">
        <v>180</v>
      </c>
      <c r="E19" s="239">
        <f t="shared" si="0"/>
        <v>-209</v>
      </c>
      <c r="F19" s="238">
        <f t="shared" si="1"/>
        <v>-0.53727506426735216</v>
      </c>
    </row>
    <row r="20" spans="1:6" ht="20.25" customHeight="1" x14ac:dyDescent="0.3">
      <c r="A20" s="235">
        <v>7</v>
      </c>
      <c r="B20" s="236" t="s">
        <v>436</v>
      </c>
      <c r="C20" s="239">
        <v>2259</v>
      </c>
      <c r="D20" s="239">
        <v>696</v>
      </c>
      <c r="E20" s="239">
        <f t="shared" si="0"/>
        <v>-1563</v>
      </c>
      <c r="F20" s="238">
        <f t="shared" si="1"/>
        <v>-0.69189907038512621</v>
      </c>
    </row>
    <row r="21" spans="1:6" ht="20.25" customHeight="1" x14ac:dyDescent="0.3">
      <c r="A21" s="235">
        <v>8</v>
      </c>
      <c r="B21" s="236" t="s">
        <v>437</v>
      </c>
      <c r="C21" s="239">
        <v>113</v>
      </c>
      <c r="D21" s="239">
        <v>47</v>
      </c>
      <c r="E21" s="239">
        <f t="shared" si="0"/>
        <v>-66</v>
      </c>
      <c r="F21" s="238">
        <f t="shared" si="1"/>
        <v>-0.58407079646017701</v>
      </c>
    </row>
    <row r="22" spans="1:6" ht="20.25" customHeight="1" x14ac:dyDescent="0.3">
      <c r="A22" s="235">
        <v>9</v>
      </c>
      <c r="B22" s="236" t="s">
        <v>438</v>
      </c>
      <c r="C22" s="239">
        <v>27</v>
      </c>
      <c r="D22" s="239">
        <v>19</v>
      </c>
      <c r="E22" s="239">
        <f t="shared" si="0"/>
        <v>-8</v>
      </c>
      <c r="F22" s="238">
        <f t="shared" si="1"/>
        <v>-0.29629629629629628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3302196</v>
      </c>
      <c r="D23" s="243">
        <f>+D14+D16</f>
        <v>1217906</v>
      </c>
      <c r="E23" s="243">
        <f t="shared" si="0"/>
        <v>-2084290</v>
      </c>
      <c r="F23" s="244">
        <f t="shared" si="1"/>
        <v>-0.63118300670220662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1260095</v>
      </c>
      <c r="D24" s="243">
        <f>+D15+D17</f>
        <v>127948</v>
      </c>
      <c r="E24" s="243">
        <f t="shared" si="0"/>
        <v>-1132147</v>
      </c>
      <c r="F24" s="244">
        <f t="shared" si="1"/>
        <v>-0.89846162392518025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37908</v>
      </c>
      <c r="D27" s="237">
        <v>0</v>
      </c>
      <c r="E27" s="237">
        <f t="shared" ref="E27:E37" si="2">D27-C27</f>
        <v>-37908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433</v>
      </c>
      <c r="C28" s="237">
        <v>16953</v>
      </c>
      <c r="D28" s="237">
        <v>0</v>
      </c>
      <c r="E28" s="237">
        <f t="shared" si="2"/>
        <v>-16953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434</v>
      </c>
      <c r="C29" s="237">
        <v>24507</v>
      </c>
      <c r="D29" s="237">
        <v>9258</v>
      </c>
      <c r="E29" s="237">
        <f t="shared" si="2"/>
        <v>-15249</v>
      </c>
      <c r="F29" s="238">
        <f t="shared" si="3"/>
        <v>-0.62223038315583301</v>
      </c>
    </row>
    <row r="30" spans="1:6" ht="20.25" customHeight="1" x14ac:dyDescent="0.3">
      <c r="A30" s="235">
        <v>4</v>
      </c>
      <c r="B30" s="236" t="s">
        <v>435</v>
      </c>
      <c r="C30" s="237">
        <v>7026</v>
      </c>
      <c r="D30" s="237">
        <v>2840</v>
      </c>
      <c r="E30" s="237">
        <f t="shared" si="2"/>
        <v>-4186</v>
      </c>
      <c r="F30" s="238">
        <f t="shared" si="3"/>
        <v>-0.59578707657272989</v>
      </c>
    </row>
    <row r="31" spans="1:6" ht="20.25" customHeight="1" x14ac:dyDescent="0.3">
      <c r="A31" s="235">
        <v>5</v>
      </c>
      <c r="B31" s="236" t="s">
        <v>371</v>
      </c>
      <c r="C31" s="239">
        <v>1</v>
      </c>
      <c r="D31" s="239">
        <v>0</v>
      </c>
      <c r="E31" s="239">
        <f t="shared" si="2"/>
        <v>-1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370</v>
      </c>
      <c r="C32" s="239">
        <v>4</v>
      </c>
      <c r="D32" s="239">
        <v>0</v>
      </c>
      <c r="E32" s="239">
        <f t="shared" si="2"/>
        <v>-4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436</v>
      </c>
      <c r="C33" s="239">
        <v>22</v>
      </c>
      <c r="D33" s="239">
        <v>12</v>
      </c>
      <c r="E33" s="239">
        <f t="shared" si="2"/>
        <v>-10</v>
      </c>
      <c r="F33" s="238">
        <f t="shared" si="3"/>
        <v>-0.45454545454545453</v>
      </c>
    </row>
    <row r="34" spans="1:6" ht="20.25" customHeight="1" x14ac:dyDescent="0.3">
      <c r="A34" s="235">
        <v>8</v>
      </c>
      <c r="B34" s="236" t="s">
        <v>437</v>
      </c>
      <c r="C34" s="239">
        <v>2</v>
      </c>
      <c r="D34" s="239">
        <v>3</v>
      </c>
      <c r="E34" s="239">
        <f t="shared" si="2"/>
        <v>1</v>
      </c>
      <c r="F34" s="238">
        <f t="shared" si="3"/>
        <v>0.5</v>
      </c>
    </row>
    <row r="35" spans="1:6" ht="20.25" customHeight="1" x14ac:dyDescent="0.3">
      <c r="A35" s="235">
        <v>9</v>
      </c>
      <c r="B35" s="236" t="s">
        <v>438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62415</v>
      </c>
      <c r="D36" s="243">
        <f>+D27+D29</f>
        <v>9258</v>
      </c>
      <c r="E36" s="243">
        <f t="shared" si="2"/>
        <v>-53157</v>
      </c>
      <c r="F36" s="244">
        <f t="shared" si="3"/>
        <v>-0.85167027156933428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23979</v>
      </c>
      <c r="D37" s="243">
        <f>+D28+D30</f>
        <v>2840</v>
      </c>
      <c r="E37" s="243">
        <f t="shared" si="2"/>
        <v>-21139</v>
      </c>
      <c r="F37" s="244">
        <f t="shared" si="3"/>
        <v>-0.88156303432169814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849233</v>
      </c>
      <c r="D40" s="237">
        <v>3358510</v>
      </c>
      <c r="E40" s="237">
        <f t="shared" ref="E40:E50" si="4">D40-C40</f>
        <v>2509277</v>
      </c>
      <c r="F40" s="238">
        <f t="shared" ref="F40:F50" si="5">IF(C40=0,0,E40/C40)</f>
        <v>2.9547568217438558</v>
      </c>
    </row>
    <row r="41" spans="1:6" ht="20.25" customHeight="1" x14ac:dyDescent="0.3">
      <c r="A41" s="235">
        <v>2</v>
      </c>
      <c r="B41" s="236" t="s">
        <v>433</v>
      </c>
      <c r="C41" s="237">
        <v>369064</v>
      </c>
      <c r="D41" s="237">
        <v>1426221</v>
      </c>
      <c r="E41" s="237">
        <f t="shared" si="4"/>
        <v>1057157</v>
      </c>
      <c r="F41" s="238">
        <f t="shared" si="5"/>
        <v>2.8644273080007805</v>
      </c>
    </row>
    <row r="42" spans="1:6" ht="20.25" customHeight="1" x14ac:dyDescent="0.3">
      <c r="A42" s="235">
        <v>3</v>
      </c>
      <c r="B42" s="236" t="s">
        <v>434</v>
      </c>
      <c r="C42" s="237">
        <v>734006</v>
      </c>
      <c r="D42" s="237">
        <v>2843506</v>
      </c>
      <c r="E42" s="237">
        <f t="shared" si="4"/>
        <v>2109500</v>
      </c>
      <c r="F42" s="238">
        <f t="shared" si="5"/>
        <v>2.8739547088170943</v>
      </c>
    </row>
    <row r="43" spans="1:6" ht="20.25" customHeight="1" x14ac:dyDescent="0.3">
      <c r="A43" s="235">
        <v>4</v>
      </c>
      <c r="B43" s="236" t="s">
        <v>435</v>
      </c>
      <c r="C43" s="237">
        <v>201130</v>
      </c>
      <c r="D43" s="237">
        <v>1006031</v>
      </c>
      <c r="E43" s="237">
        <f t="shared" si="4"/>
        <v>804901</v>
      </c>
      <c r="F43" s="238">
        <f t="shared" si="5"/>
        <v>4.0018942972207032</v>
      </c>
    </row>
    <row r="44" spans="1:6" ht="20.25" customHeight="1" x14ac:dyDescent="0.3">
      <c r="A44" s="235">
        <v>5</v>
      </c>
      <c r="B44" s="236" t="s">
        <v>371</v>
      </c>
      <c r="C44" s="239">
        <v>46</v>
      </c>
      <c r="D44" s="239">
        <v>119</v>
      </c>
      <c r="E44" s="239">
        <f t="shared" si="4"/>
        <v>73</v>
      </c>
      <c r="F44" s="238">
        <f t="shared" si="5"/>
        <v>1.5869565217391304</v>
      </c>
    </row>
    <row r="45" spans="1:6" ht="20.25" customHeight="1" x14ac:dyDescent="0.3">
      <c r="A45" s="235">
        <v>6</v>
      </c>
      <c r="B45" s="236" t="s">
        <v>370</v>
      </c>
      <c r="C45" s="239">
        <v>204</v>
      </c>
      <c r="D45" s="239">
        <v>751</v>
      </c>
      <c r="E45" s="239">
        <f t="shared" si="4"/>
        <v>547</v>
      </c>
      <c r="F45" s="238">
        <f t="shared" si="5"/>
        <v>2.6813725490196076</v>
      </c>
    </row>
    <row r="46" spans="1:6" ht="20.25" customHeight="1" x14ac:dyDescent="0.3">
      <c r="A46" s="235">
        <v>7</v>
      </c>
      <c r="B46" s="236" t="s">
        <v>436</v>
      </c>
      <c r="C46" s="239">
        <v>987</v>
      </c>
      <c r="D46" s="239">
        <v>0</v>
      </c>
      <c r="E46" s="239">
        <f t="shared" si="4"/>
        <v>-987</v>
      </c>
      <c r="F46" s="238">
        <f t="shared" si="5"/>
        <v>-1</v>
      </c>
    </row>
    <row r="47" spans="1:6" ht="20.25" customHeight="1" x14ac:dyDescent="0.3">
      <c r="A47" s="235">
        <v>8</v>
      </c>
      <c r="B47" s="236" t="s">
        <v>437</v>
      </c>
      <c r="C47" s="239">
        <v>50</v>
      </c>
      <c r="D47" s="239">
        <v>0</v>
      </c>
      <c r="E47" s="239">
        <f t="shared" si="4"/>
        <v>-50</v>
      </c>
      <c r="F47" s="238">
        <f t="shared" si="5"/>
        <v>-1</v>
      </c>
    </row>
    <row r="48" spans="1:6" ht="20.25" customHeight="1" x14ac:dyDescent="0.3">
      <c r="A48" s="235">
        <v>9</v>
      </c>
      <c r="B48" s="236" t="s">
        <v>438</v>
      </c>
      <c r="C48" s="239">
        <v>26</v>
      </c>
      <c r="D48" s="239">
        <v>0</v>
      </c>
      <c r="E48" s="239">
        <f t="shared" si="4"/>
        <v>-26</v>
      </c>
      <c r="F48" s="238">
        <f t="shared" si="5"/>
        <v>-1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1583239</v>
      </c>
      <c r="D49" s="243">
        <f>+D40+D42</f>
        <v>6202016</v>
      </c>
      <c r="E49" s="243">
        <f t="shared" si="4"/>
        <v>4618777</v>
      </c>
      <c r="F49" s="244">
        <f t="shared" si="5"/>
        <v>2.9172961252217764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570194</v>
      </c>
      <c r="D50" s="243">
        <f>+D41+D43</f>
        <v>2432252</v>
      </c>
      <c r="E50" s="243">
        <f t="shared" si="4"/>
        <v>1862058</v>
      </c>
      <c r="F50" s="244">
        <f t="shared" si="5"/>
        <v>3.26565695184446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7511630</v>
      </c>
      <c r="D53" s="237">
        <v>1809305</v>
      </c>
      <c r="E53" s="237">
        <f t="shared" ref="E53:E63" si="6">D53-C53</f>
        <v>-5702325</v>
      </c>
      <c r="F53" s="238">
        <f t="shared" ref="F53:F63" si="7">IF(C53=0,0,E53/C53)</f>
        <v>-0.75913283801252196</v>
      </c>
    </row>
    <row r="54" spans="1:6" ht="20.25" customHeight="1" x14ac:dyDescent="0.3">
      <c r="A54" s="235">
        <v>2</v>
      </c>
      <c r="B54" s="236" t="s">
        <v>433</v>
      </c>
      <c r="C54" s="237">
        <v>2947112</v>
      </c>
      <c r="D54" s="237">
        <v>270745</v>
      </c>
      <c r="E54" s="237">
        <f t="shared" si="6"/>
        <v>-2676367</v>
      </c>
      <c r="F54" s="238">
        <f t="shared" si="7"/>
        <v>-0.908132096778134</v>
      </c>
    </row>
    <row r="55" spans="1:6" ht="20.25" customHeight="1" x14ac:dyDescent="0.3">
      <c r="A55" s="235">
        <v>3</v>
      </c>
      <c r="B55" s="236" t="s">
        <v>434</v>
      </c>
      <c r="C55" s="237">
        <v>6886964</v>
      </c>
      <c r="D55" s="237">
        <v>1919342</v>
      </c>
      <c r="E55" s="237">
        <f t="shared" si="6"/>
        <v>-4967622</v>
      </c>
      <c r="F55" s="238">
        <f t="shared" si="7"/>
        <v>-0.72130796676155129</v>
      </c>
    </row>
    <row r="56" spans="1:6" ht="20.25" customHeight="1" x14ac:dyDescent="0.3">
      <c r="A56" s="235">
        <v>4</v>
      </c>
      <c r="B56" s="236" t="s">
        <v>435</v>
      </c>
      <c r="C56" s="237">
        <v>1786630</v>
      </c>
      <c r="D56" s="237">
        <v>32187</v>
      </c>
      <c r="E56" s="237">
        <f t="shared" si="6"/>
        <v>-1754443</v>
      </c>
      <c r="F56" s="238">
        <f t="shared" si="7"/>
        <v>-0.9819845183389958</v>
      </c>
    </row>
    <row r="57" spans="1:6" ht="20.25" customHeight="1" x14ac:dyDescent="0.3">
      <c r="A57" s="235">
        <v>5</v>
      </c>
      <c r="B57" s="236" t="s">
        <v>371</v>
      </c>
      <c r="C57" s="239">
        <v>316</v>
      </c>
      <c r="D57" s="239">
        <v>75</v>
      </c>
      <c r="E57" s="239">
        <f t="shared" si="6"/>
        <v>-241</v>
      </c>
      <c r="F57" s="238">
        <f t="shared" si="7"/>
        <v>-0.76265822784810122</v>
      </c>
    </row>
    <row r="58" spans="1:6" ht="20.25" customHeight="1" x14ac:dyDescent="0.3">
      <c r="A58" s="235">
        <v>6</v>
      </c>
      <c r="B58" s="236" t="s">
        <v>370</v>
      </c>
      <c r="C58" s="239">
        <v>1680</v>
      </c>
      <c r="D58" s="239">
        <v>365</v>
      </c>
      <c r="E58" s="239">
        <f t="shared" si="6"/>
        <v>-1315</v>
      </c>
      <c r="F58" s="238">
        <f t="shared" si="7"/>
        <v>-0.78273809523809523</v>
      </c>
    </row>
    <row r="59" spans="1:6" ht="20.25" customHeight="1" x14ac:dyDescent="0.3">
      <c r="A59" s="235">
        <v>7</v>
      </c>
      <c r="B59" s="236" t="s">
        <v>436</v>
      </c>
      <c r="C59" s="239">
        <v>8840</v>
      </c>
      <c r="D59" s="239">
        <v>5792</v>
      </c>
      <c r="E59" s="239">
        <f t="shared" si="6"/>
        <v>-3048</v>
      </c>
      <c r="F59" s="238">
        <f t="shared" si="7"/>
        <v>-0.34479638009049773</v>
      </c>
    </row>
    <row r="60" spans="1:6" ht="20.25" customHeight="1" x14ac:dyDescent="0.3">
      <c r="A60" s="235">
        <v>8</v>
      </c>
      <c r="B60" s="236" t="s">
        <v>437</v>
      </c>
      <c r="C60" s="239">
        <v>469</v>
      </c>
      <c r="D60" s="239">
        <v>277</v>
      </c>
      <c r="E60" s="239">
        <f t="shared" si="6"/>
        <v>-192</v>
      </c>
      <c r="F60" s="238">
        <f t="shared" si="7"/>
        <v>-0.40938166311300639</v>
      </c>
    </row>
    <row r="61" spans="1:6" ht="20.25" customHeight="1" x14ac:dyDescent="0.3">
      <c r="A61" s="235">
        <v>9</v>
      </c>
      <c r="B61" s="236" t="s">
        <v>438</v>
      </c>
      <c r="C61" s="239">
        <v>164</v>
      </c>
      <c r="D61" s="239">
        <v>95</v>
      </c>
      <c r="E61" s="239">
        <f t="shared" si="6"/>
        <v>-69</v>
      </c>
      <c r="F61" s="238">
        <f t="shared" si="7"/>
        <v>-0.42073170731707316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14398594</v>
      </c>
      <c r="D62" s="243">
        <f>+D53+D55</f>
        <v>3728647</v>
      </c>
      <c r="E62" s="243">
        <f t="shared" si="6"/>
        <v>-10669947</v>
      </c>
      <c r="F62" s="244">
        <f t="shared" si="7"/>
        <v>-0.7410408960763808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4733742</v>
      </c>
      <c r="D63" s="243">
        <f>+D54+D56</f>
        <v>302932</v>
      </c>
      <c r="E63" s="243">
        <f t="shared" si="6"/>
        <v>-4430810</v>
      </c>
      <c r="F63" s="244">
        <f t="shared" si="7"/>
        <v>-0.93600580682259404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433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434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435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371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370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436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437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438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76156</v>
      </c>
      <c r="D79" s="237">
        <v>9288231</v>
      </c>
      <c r="E79" s="237">
        <f t="shared" ref="E79:E89" si="10">D79-C79</f>
        <v>9212075</v>
      </c>
      <c r="F79" s="238">
        <f t="shared" ref="F79:F89" si="11">IF(C79=0,0,E79/C79)</f>
        <v>120.96322023215505</v>
      </c>
    </row>
    <row r="80" spans="1:6" ht="20.25" customHeight="1" x14ac:dyDescent="0.3">
      <c r="A80" s="235">
        <v>2</v>
      </c>
      <c r="B80" s="236" t="s">
        <v>433</v>
      </c>
      <c r="C80" s="237">
        <v>29424</v>
      </c>
      <c r="D80" s="237">
        <v>4109801</v>
      </c>
      <c r="E80" s="237">
        <f t="shared" si="10"/>
        <v>4080377</v>
      </c>
      <c r="F80" s="238">
        <f t="shared" si="11"/>
        <v>138.67512914627514</v>
      </c>
    </row>
    <row r="81" spans="1:6" ht="20.25" customHeight="1" x14ac:dyDescent="0.3">
      <c r="A81" s="235">
        <v>3</v>
      </c>
      <c r="B81" s="236" t="s">
        <v>434</v>
      </c>
      <c r="C81" s="237">
        <v>79496</v>
      </c>
      <c r="D81" s="237">
        <v>7227366</v>
      </c>
      <c r="E81" s="237">
        <f t="shared" si="10"/>
        <v>7147870</v>
      </c>
      <c r="F81" s="238">
        <f t="shared" si="11"/>
        <v>89.914838482439364</v>
      </c>
    </row>
    <row r="82" spans="1:6" ht="20.25" customHeight="1" x14ac:dyDescent="0.3">
      <c r="A82" s="235">
        <v>4</v>
      </c>
      <c r="B82" s="236" t="s">
        <v>435</v>
      </c>
      <c r="C82" s="237">
        <v>19055</v>
      </c>
      <c r="D82" s="237">
        <v>2368319</v>
      </c>
      <c r="E82" s="237">
        <f t="shared" si="10"/>
        <v>2349264</v>
      </c>
      <c r="F82" s="238">
        <f t="shared" si="11"/>
        <v>123.2885856730517</v>
      </c>
    </row>
    <row r="83" spans="1:6" ht="20.25" customHeight="1" x14ac:dyDescent="0.3">
      <c r="A83" s="235">
        <v>5</v>
      </c>
      <c r="B83" s="236" t="s">
        <v>371</v>
      </c>
      <c r="C83" s="239">
        <v>6</v>
      </c>
      <c r="D83" s="239">
        <v>374</v>
      </c>
      <c r="E83" s="239">
        <f t="shared" si="10"/>
        <v>368</v>
      </c>
      <c r="F83" s="238">
        <f t="shared" si="11"/>
        <v>61.333333333333336</v>
      </c>
    </row>
    <row r="84" spans="1:6" ht="20.25" customHeight="1" x14ac:dyDescent="0.3">
      <c r="A84" s="235">
        <v>6</v>
      </c>
      <c r="B84" s="236" t="s">
        <v>370</v>
      </c>
      <c r="C84" s="239">
        <v>16</v>
      </c>
      <c r="D84" s="239">
        <v>2100</v>
      </c>
      <c r="E84" s="239">
        <f t="shared" si="10"/>
        <v>2084</v>
      </c>
      <c r="F84" s="238">
        <f t="shared" si="11"/>
        <v>130.25</v>
      </c>
    </row>
    <row r="85" spans="1:6" ht="20.25" customHeight="1" x14ac:dyDescent="0.3">
      <c r="A85" s="235">
        <v>7</v>
      </c>
      <c r="B85" s="236" t="s">
        <v>436</v>
      </c>
      <c r="C85" s="239">
        <v>72</v>
      </c>
      <c r="D85" s="239">
        <v>8925</v>
      </c>
      <c r="E85" s="239">
        <f t="shared" si="10"/>
        <v>8853</v>
      </c>
      <c r="F85" s="238">
        <f t="shared" si="11"/>
        <v>122.95833333333333</v>
      </c>
    </row>
    <row r="86" spans="1:6" ht="20.25" customHeight="1" x14ac:dyDescent="0.3">
      <c r="A86" s="235">
        <v>8</v>
      </c>
      <c r="B86" s="236" t="s">
        <v>437</v>
      </c>
      <c r="C86" s="239">
        <v>15</v>
      </c>
      <c r="D86" s="239">
        <v>584</v>
      </c>
      <c r="E86" s="239">
        <f t="shared" si="10"/>
        <v>569</v>
      </c>
      <c r="F86" s="238">
        <f t="shared" si="11"/>
        <v>37.93333333333333</v>
      </c>
    </row>
    <row r="87" spans="1:6" ht="20.25" customHeight="1" x14ac:dyDescent="0.3">
      <c r="A87" s="235">
        <v>9</v>
      </c>
      <c r="B87" s="236" t="s">
        <v>438</v>
      </c>
      <c r="C87" s="239">
        <v>5</v>
      </c>
      <c r="D87" s="239">
        <v>212</v>
      </c>
      <c r="E87" s="239">
        <f t="shared" si="10"/>
        <v>207</v>
      </c>
      <c r="F87" s="238">
        <f t="shared" si="11"/>
        <v>41.4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155652</v>
      </c>
      <c r="D88" s="243">
        <f>+D79+D81</f>
        <v>16515597</v>
      </c>
      <c r="E88" s="243">
        <f t="shared" si="10"/>
        <v>16359945</v>
      </c>
      <c r="F88" s="244">
        <f t="shared" si="11"/>
        <v>105.10590933621155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48479</v>
      </c>
      <c r="D89" s="243">
        <f>+D80+D82</f>
        <v>6478120</v>
      </c>
      <c r="E89" s="243">
        <f t="shared" si="10"/>
        <v>6429641</v>
      </c>
      <c r="F89" s="244">
        <f t="shared" si="11"/>
        <v>132.62734379834566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846928</v>
      </c>
      <c r="D92" s="237">
        <v>0</v>
      </c>
      <c r="E92" s="237">
        <f t="shared" ref="E92:E102" si="12">D92-C92</f>
        <v>-846928</v>
      </c>
      <c r="F92" s="238">
        <f t="shared" ref="F92:F102" si="13">IF(C92=0,0,E92/C92)</f>
        <v>-1</v>
      </c>
    </row>
    <row r="93" spans="1:6" ht="20.25" customHeight="1" x14ac:dyDescent="0.3">
      <c r="A93" s="235">
        <v>2</v>
      </c>
      <c r="B93" s="236" t="s">
        <v>433</v>
      </c>
      <c r="C93" s="237">
        <v>352029</v>
      </c>
      <c r="D93" s="237">
        <v>0</v>
      </c>
      <c r="E93" s="237">
        <f t="shared" si="12"/>
        <v>-352029</v>
      </c>
      <c r="F93" s="238">
        <f t="shared" si="13"/>
        <v>-1</v>
      </c>
    </row>
    <row r="94" spans="1:6" ht="20.25" customHeight="1" x14ac:dyDescent="0.3">
      <c r="A94" s="235">
        <v>3</v>
      </c>
      <c r="B94" s="236" t="s">
        <v>434</v>
      </c>
      <c r="C94" s="237">
        <v>566149</v>
      </c>
      <c r="D94" s="237">
        <v>0</v>
      </c>
      <c r="E94" s="237">
        <f t="shared" si="12"/>
        <v>-566149</v>
      </c>
      <c r="F94" s="238">
        <f t="shared" si="13"/>
        <v>-1</v>
      </c>
    </row>
    <row r="95" spans="1:6" ht="20.25" customHeight="1" x14ac:dyDescent="0.3">
      <c r="A95" s="235">
        <v>4</v>
      </c>
      <c r="B95" s="236" t="s">
        <v>435</v>
      </c>
      <c r="C95" s="237">
        <v>131996</v>
      </c>
      <c r="D95" s="237">
        <v>0</v>
      </c>
      <c r="E95" s="237">
        <f t="shared" si="12"/>
        <v>-131996</v>
      </c>
      <c r="F95" s="238">
        <f t="shared" si="13"/>
        <v>-1</v>
      </c>
    </row>
    <row r="96" spans="1:6" ht="20.25" customHeight="1" x14ac:dyDescent="0.3">
      <c r="A96" s="235">
        <v>5</v>
      </c>
      <c r="B96" s="236" t="s">
        <v>371</v>
      </c>
      <c r="C96" s="239">
        <v>43</v>
      </c>
      <c r="D96" s="239">
        <v>0</v>
      </c>
      <c r="E96" s="239">
        <f t="shared" si="12"/>
        <v>-43</v>
      </c>
      <c r="F96" s="238">
        <f t="shared" si="13"/>
        <v>-1</v>
      </c>
    </row>
    <row r="97" spans="1:6" ht="20.25" customHeight="1" x14ac:dyDescent="0.3">
      <c r="A97" s="235">
        <v>6</v>
      </c>
      <c r="B97" s="236" t="s">
        <v>370</v>
      </c>
      <c r="C97" s="239">
        <v>210</v>
      </c>
      <c r="D97" s="239">
        <v>0</v>
      </c>
      <c r="E97" s="239">
        <f t="shared" si="12"/>
        <v>-210</v>
      </c>
      <c r="F97" s="238">
        <f t="shared" si="13"/>
        <v>-1</v>
      </c>
    </row>
    <row r="98" spans="1:6" ht="20.25" customHeight="1" x14ac:dyDescent="0.3">
      <c r="A98" s="235">
        <v>7</v>
      </c>
      <c r="B98" s="236" t="s">
        <v>436</v>
      </c>
      <c r="C98" s="239">
        <v>829</v>
      </c>
      <c r="D98" s="239">
        <v>0</v>
      </c>
      <c r="E98" s="239">
        <f t="shared" si="12"/>
        <v>-829</v>
      </c>
      <c r="F98" s="238">
        <f t="shared" si="13"/>
        <v>-1</v>
      </c>
    </row>
    <row r="99" spans="1:6" ht="20.25" customHeight="1" x14ac:dyDescent="0.3">
      <c r="A99" s="235">
        <v>8</v>
      </c>
      <c r="B99" s="236" t="s">
        <v>437</v>
      </c>
      <c r="C99" s="239">
        <v>69</v>
      </c>
      <c r="D99" s="239">
        <v>0</v>
      </c>
      <c r="E99" s="239">
        <f t="shared" si="12"/>
        <v>-69</v>
      </c>
      <c r="F99" s="238">
        <f t="shared" si="13"/>
        <v>-1</v>
      </c>
    </row>
    <row r="100" spans="1:6" ht="20.25" customHeight="1" x14ac:dyDescent="0.3">
      <c r="A100" s="235">
        <v>9</v>
      </c>
      <c r="B100" s="236" t="s">
        <v>438</v>
      </c>
      <c r="C100" s="239">
        <v>25</v>
      </c>
      <c r="D100" s="239">
        <v>0</v>
      </c>
      <c r="E100" s="239">
        <f t="shared" si="12"/>
        <v>-25</v>
      </c>
      <c r="F100" s="238">
        <f t="shared" si="13"/>
        <v>-1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1413077</v>
      </c>
      <c r="D101" s="243">
        <f>+D92+D94</f>
        <v>0</v>
      </c>
      <c r="E101" s="243">
        <f t="shared" si="12"/>
        <v>-1413077</v>
      </c>
      <c r="F101" s="244">
        <f t="shared" si="13"/>
        <v>-1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484025</v>
      </c>
      <c r="D102" s="243">
        <f>+D93+D95</f>
        <v>0</v>
      </c>
      <c r="E102" s="243">
        <f t="shared" si="12"/>
        <v>-484025</v>
      </c>
      <c r="F102" s="244">
        <f t="shared" si="13"/>
        <v>-1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433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434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435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371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370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436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437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438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292687</v>
      </c>
      <c r="D118" s="237">
        <v>424617</v>
      </c>
      <c r="E118" s="237">
        <f t="shared" ref="E118:E128" si="16">D118-C118</f>
        <v>131930</v>
      </c>
      <c r="F118" s="238">
        <f t="shared" ref="F118:F128" si="17">IF(C118=0,0,E118/C118)</f>
        <v>0.45075456033236871</v>
      </c>
    </row>
    <row r="119" spans="1:6" ht="20.25" customHeight="1" x14ac:dyDescent="0.3">
      <c r="A119" s="235">
        <v>2</v>
      </c>
      <c r="B119" s="236" t="s">
        <v>433</v>
      </c>
      <c r="C119" s="237">
        <v>119236</v>
      </c>
      <c r="D119" s="237">
        <v>175036</v>
      </c>
      <c r="E119" s="237">
        <f t="shared" si="16"/>
        <v>55800</v>
      </c>
      <c r="F119" s="238">
        <f t="shared" si="17"/>
        <v>0.46797946928779899</v>
      </c>
    </row>
    <row r="120" spans="1:6" ht="20.25" customHeight="1" x14ac:dyDescent="0.3">
      <c r="A120" s="235">
        <v>3</v>
      </c>
      <c r="B120" s="236" t="s">
        <v>434</v>
      </c>
      <c r="C120" s="237">
        <v>237313</v>
      </c>
      <c r="D120" s="237">
        <v>196332</v>
      </c>
      <c r="E120" s="237">
        <f t="shared" si="16"/>
        <v>-40981</v>
      </c>
      <c r="F120" s="238">
        <f t="shared" si="17"/>
        <v>-0.1726875476691121</v>
      </c>
    </row>
    <row r="121" spans="1:6" ht="20.25" customHeight="1" x14ac:dyDescent="0.3">
      <c r="A121" s="235">
        <v>4</v>
      </c>
      <c r="B121" s="236" t="s">
        <v>435</v>
      </c>
      <c r="C121" s="237">
        <v>69556</v>
      </c>
      <c r="D121" s="237">
        <v>86907</v>
      </c>
      <c r="E121" s="237">
        <f t="shared" si="16"/>
        <v>17351</v>
      </c>
      <c r="F121" s="238">
        <f t="shared" si="17"/>
        <v>0.24945367761228363</v>
      </c>
    </row>
    <row r="122" spans="1:6" ht="20.25" customHeight="1" x14ac:dyDescent="0.3">
      <c r="A122" s="235">
        <v>5</v>
      </c>
      <c r="B122" s="236" t="s">
        <v>371</v>
      </c>
      <c r="C122" s="239">
        <v>14</v>
      </c>
      <c r="D122" s="239">
        <v>18</v>
      </c>
      <c r="E122" s="239">
        <f t="shared" si="16"/>
        <v>4</v>
      </c>
      <c r="F122" s="238">
        <f t="shared" si="17"/>
        <v>0.2857142857142857</v>
      </c>
    </row>
    <row r="123" spans="1:6" ht="20.25" customHeight="1" x14ac:dyDescent="0.3">
      <c r="A123" s="235">
        <v>6</v>
      </c>
      <c r="B123" s="236" t="s">
        <v>370</v>
      </c>
      <c r="C123" s="239">
        <v>71</v>
      </c>
      <c r="D123" s="239">
        <v>111</v>
      </c>
      <c r="E123" s="239">
        <f t="shared" si="16"/>
        <v>40</v>
      </c>
      <c r="F123" s="238">
        <f t="shared" si="17"/>
        <v>0.56338028169014087</v>
      </c>
    </row>
    <row r="124" spans="1:6" ht="20.25" customHeight="1" x14ac:dyDescent="0.3">
      <c r="A124" s="235">
        <v>7</v>
      </c>
      <c r="B124" s="236" t="s">
        <v>436</v>
      </c>
      <c r="C124" s="239">
        <v>367</v>
      </c>
      <c r="D124" s="239">
        <v>388</v>
      </c>
      <c r="E124" s="239">
        <f t="shared" si="16"/>
        <v>21</v>
      </c>
      <c r="F124" s="238">
        <f t="shared" si="17"/>
        <v>5.7220708446866483E-2</v>
      </c>
    </row>
    <row r="125" spans="1:6" ht="20.25" customHeight="1" x14ac:dyDescent="0.3">
      <c r="A125" s="235">
        <v>8</v>
      </c>
      <c r="B125" s="236" t="s">
        <v>437</v>
      </c>
      <c r="C125" s="239">
        <v>20</v>
      </c>
      <c r="D125" s="239">
        <v>20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438</v>
      </c>
      <c r="C126" s="239">
        <v>8</v>
      </c>
      <c r="D126" s="239">
        <v>11</v>
      </c>
      <c r="E126" s="239">
        <f t="shared" si="16"/>
        <v>3</v>
      </c>
      <c r="F126" s="238">
        <f t="shared" si="17"/>
        <v>0.375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530000</v>
      </c>
      <c r="D127" s="243">
        <f>+D118+D120</f>
        <v>620949</v>
      </c>
      <c r="E127" s="243">
        <f t="shared" si="16"/>
        <v>90949</v>
      </c>
      <c r="F127" s="244">
        <f t="shared" si="17"/>
        <v>0.17160188679245283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188792</v>
      </c>
      <c r="D128" s="243">
        <f>+D119+D121</f>
        <v>261943</v>
      </c>
      <c r="E128" s="243">
        <f t="shared" si="16"/>
        <v>73151</v>
      </c>
      <c r="F128" s="244">
        <f t="shared" si="17"/>
        <v>0.38746874867579134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40662</v>
      </c>
      <c r="D131" s="237">
        <v>143579</v>
      </c>
      <c r="E131" s="237">
        <f t="shared" ref="E131:E141" si="18">D131-C131</f>
        <v>102917</v>
      </c>
      <c r="F131" s="238">
        <f t="shared" ref="F131:F141" si="19">IF(C131=0,0,E131/C131)</f>
        <v>2.5310363484334268</v>
      </c>
    </row>
    <row r="132" spans="1:6" ht="20.25" customHeight="1" x14ac:dyDescent="0.3">
      <c r="A132" s="235">
        <v>2</v>
      </c>
      <c r="B132" s="236" t="s">
        <v>433</v>
      </c>
      <c r="C132" s="237">
        <v>28602</v>
      </c>
      <c r="D132" s="237">
        <v>46837</v>
      </c>
      <c r="E132" s="237">
        <f t="shared" si="18"/>
        <v>18235</v>
      </c>
      <c r="F132" s="238">
        <f t="shared" si="19"/>
        <v>0.63754282917278515</v>
      </c>
    </row>
    <row r="133" spans="1:6" ht="20.25" customHeight="1" x14ac:dyDescent="0.3">
      <c r="A133" s="235">
        <v>3</v>
      </c>
      <c r="B133" s="236" t="s">
        <v>434</v>
      </c>
      <c r="C133" s="237">
        <v>72676</v>
      </c>
      <c r="D133" s="237">
        <v>66275</v>
      </c>
      <c r="E133" s="237">
        <f t="shared" si="18"/>
        <v>-6401</v>
      </c>
      <c r="F133" s="238">
        <f t="shared" si="19"/>
        <v>-8.8075843469646101E-2</v>
      </c>
    </row>
    <row r="134" spans="1:6" ht="20.25" customHeight="1" x14ac:dyDescent="0.3">
      <c r="A134" s="235">
        <v>4</v>
      </c>
      <c r="B134" s="236" t="s">
        <v>435</v>
      </c>
      <c r="C134" s="237">
        <v>19932</v>
      </c>
      <c r="D134" s="237">
        <v>15230</v>
      </c>
      <c r="E134" s="237">
        <f t="shared" si="18"/>
        <v>-4702</v>
      </c>
      <c r="F134" s="238">
        <f t="shared" si="19"/>
        <v>-0.23590206702789485</v>
      </c>
    </row>
    <row r="135" spans="1:6" ht="20.25" customHeight="1" x14ac:dyDescent="0.3">
      <c r="A135" s="235">
        <v>5</v>
      </c>
      <c r="B135" s="236" t="s">
        <v>371</v>
      </c>
      <c r="C135" s="239">
        <v>4</v>
      </c>
      <c r="D135" s="239">
        <v>6</v>
      </c>
      <c r="E135" s="239">
        <f t="shared" si="18"/>
        <v>2</v>
      </c>
      <c r="F135" s="238">
        <f t="shared" si="19"/>
        <v>0.5</v>
      </c>
    </row>
    <row r="136" spans="1:6" ht="20.25" customHeight="1" x14ac:dyDescent="0.3">
      <c r="A136" s="235">
        <v>6</v>
      </c>
      <c r="B136" s="236" t="s">
        <v>370</v>
      </c>
      <c r="C136" s="239">
        <v>11</v>
      </c>
      <c r="D136" s="239">
        <v>35</v>
      </c>
      <c r="E136" s="239">
        <f t="shared" si="18"/>
        <v>24</v>
      </c>
      <c r="F136" s="238">
        <f t="shared" si="19"/>
        <v>2.1818181818181817</v>
      </c>
    </row>
    <row r="137" spans="1:6" ht="20.25" customHeight="1" x14ac:dyDescent="0.3">
      <c r="A137" s="235">
        <v>7</v>
      </c>
      <c r="B137" s="236" t="s">
        <v>436</v>
      </c>
      <c r="C137" s="239">
        <v>44</v>
      </c>
      <c r="D137" s="239">
        <v>46</v>
      </c>
      <c r="E137" s="239">
        <f t="shared" si="18"/>
        <v>2</v>
      </c>
      <c r="F137" s="238">
        <f t="shared" si="19"/>
        <v>4.5454545454545456E-2</v>
      </c>
    </row>
    <row r="138" spans="1:6" ht="20.25" customHeight="1" x14ac:dyDescent="0.3">
      <c r="A138" s="235">
        <v>8</v>
      </c>
      <c r="B138" s="236" t="s">
        <v>437</v>
      </c>
      <c r="C138" s="239">
        <v>7</v>
      </c>
      <c r="D138" s="239">
        <v>11</v>
      </c>
      <c r="E138" s="239">
        <f t="shared" si="18"/>
        <v>4</v>
      </c>
      <c r="F138" s="238">
        <f t="shared" si="19"/>
        <v>0.5714285714285714</v>
      </c>
    </row>
    <row r="139" spans="1:6" ht="20.25" customHeight="1" x14ac:dyDescent="0.3">
      <c r="A139" s="235">
        <v>9</v>
      </c>
      <c r="B139" s="236" t="s">
        <v>438</v>
      </c>
      <c r="C139" s="239">
        <v>2</v>
      </c>
      <c r="D139" s="239">
        <v>4</v>
      </c>
      <c r="E139" s="239">
        <f t="shared" si="18"/>
        <v>2</v>
      </c>
      <c r="F139" s="238">
        <f t="shared" si="19"/>
        <v>1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113338</v>
      </c>
      <c r="D140" s="243">
        <f>+D131+D133</f>
        <v>209854</v>
      </c>
      <c r="E140" s="243">
        <f t="shared" si="18"/>
        <v>96516</v>
      </c>
      <c r="F140" s="244">
        <f t="shared" si="19"/>
        <v>0.85157669978295014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48534</v>
      </c>
      <c r="D141" s="243">
        <f>+D132+D134</f>
        <v>62067</v>
      </c>
      <c r="E141" s="243">
        <f t="shared" si="18"/>
        <v>13533</v>
      </c>
      <c r="F141" s="244">
        <f t="shared" si="19"/>
        <v>0.27883545555692918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339342</v>
      </c>
      <c r="D144" s="237">
        <v>594137</v>
      </c>
      <c r="E144" s="237">
        <f t="shared" ref="E144:E154" si="20">D144-C144</f>
        <v>254795</v>
      </c>
      <c r="F144" s="238">
        <f t="shared" ref="F144:F154" si="21">IF(C144=0,0,E144/C144)</f>
        <v>0.7508501747499573</v>
      </c>
    </row>
    <row r="145" spans="1:6" ht="20.25" customHeight="1" x14ac:dyDescent="0.3">
      <c r="A145" s="235">
        <v>2</v>
      </c>
      <c r="B145" s="236" t="s">
        <v>433</v>
      </c>
      <c r="C145" s="237">
        <v>126920</v>
      </c>
      <c r="D145" s="237">
        <v>275672</v>
      </c>
      <c r="E145" s="237">
        <f t="shared" si="20"/>
        <v>148752</v>
      </c>
      <c r="F145" s="238">
        <f t="shared" si="21"/>
        <v>1.1720138670028364</v>
      </c>
    </row>
    <row r="146" spans="1:6" ht="20.25" customHeight="1" x14ac:dyDescent="0.3">
      <c r="A146" s="235">
        <v>3</v>
      </c>
      <c r="B146" s="236" t="s">
        <v>434</v>
      </c>
      <c r="C146" s="237">
        <v>375433</v>
      </c>
      <c r="D146" s="237">
        <v>502583</v>
      </c>
      <c r="E146" s="237">
        <f t="shared" si="20"/>
        <v>127150</v>
      </c>
      <c r="F146" s="238">
        <f t="shared" si="21"/>
        <v>0.33867560922987588</v>
      </c>
    </row>
    <row r="147" spans="1:6" ht="20.25" customHeight="1" x14ac:dyDescent="0.3">
      <c r="A147" s="235">
        <v>4</v>
      </c>
      <c r="B147" s="236" t="s">
        <v>435</v>
      </c>
      <c r="C147" s="237">
        <v>99224</v>
      </c>
      <c r="D147" s="237">
        <v>117820</v>
      </c>
      <c r="E147" s="237">
        <f t="shared" si="20"/>
        <v>18596</v>
      </c>
      <c r="F147" s="238">
        <f t="shared" si="21"/>
        <v>0.18741433524147383</v>
      </c>
    </row>
    <row r="148" spans="1:6" ht="20.25" customHeight="1" x14ac:dyDescent="0.3">
      <c r="A148" s="235">
        <v>5</v>
      </c>
      <c r="B148" s="236" t="s">
        <v>371</v>
      </c>
      <c r="C148" s="239">
        <v>10</v>
      </c>
      <c r="D148" s="239">
        <v>24</v>
      </c>
      <c r="E148" s="239">
        <f t="shared" si="20"/>
        <v>14</v>
      </c>
      <c r="F148" s="238">
        <f t="shared" si="21"/>
        <v>1.4</v>
      </c>
    </row>
    <row r="149" spans="1:6" ht="20.25" customHeight="1" x14ac:dyDescent="0.3">
      <c r="A149" s="235">
        <v>6</v>
      </c>
      <c r="B149" s="236" t="s">
        <v>370</v>
      </c>
      <c r="C149" s="239">
        <v>66</v>
      </c>
      <c r="D149" s="239">
        <v>159</v>
      </c>
      <c r="E149" s="239">
        <f t="shared" si="20"/>
        <v>93</v>
      </c>
      <c r="F149" s="238">
        <f t="shared" si="21"/>
        <v>1.4090909090909092</v>
      </c>
    </row>
    <row r="150" spans="1:6" ht="20.25" customHeight="1" x14ac:dyDescent="0.3">
      <c r="A150" s="235">
        <v>7</v>
      </c>
      <c r="B150" s="236" t="s">
        <v>436</v>
      </c>
      <c r="C150" s="239">
        <v>198</v>
      </c>
      <c r="D150" s="239">
        <v>457</v>
      </c>
      <c r="E150" s="239">
        <f t="shared" si="20"/>
        <v>259</v>
      </c>
      <c r="F150" s="238">
        <f t="shared" si="21"/>
        <v>1.3080808080808082</v>
      </c>
    </row>
    <row r="151" spans="1:6" ht="20.25" customHeight="1" x14ac:dyDescent="0.3">
      <c r="A151" s="235">
        <v>8</v>
      </c>
      <c r="B151" s="236" t="s">
        <v>437</v>
      </c>
      <c r="C151" s="239">
        <v>19</v>
      </c>
      <c r="D151" s="239">
        <v>43</v>
      </c>
      <c r="E151" s="239">
        <f t="shared" si="20"/>
        <v>24</v>
      </c>
      <c r="F151" s="238">
        <f t="shared" si="21"/>
        <v>1.263157894736842</v>
      </c>
    </row>
    <row r="152" spans="1:6" ht="20.25" customHeight="1" x14ac:dyDescent="0.3">
      <c r="A152" s="235">
        <v>9</v>
      </c>
      <c r="B152" s="236" t="s">
        <v>438</v>
      </c>
      <c r="C152" s="239">
        <v>3</v>
      </c>
      <c r="D152" s="239">
        <v>12</v>
      </c>
      <c r="E152" s="239">
        <f t="shared" si="20"/>
        <v>9</v>
      </c>
      <c r="F152" s="238">
        <f t="shared" si="21"/>
        <v>3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714775</v>
      </c>
      <c r="D153" s="243">
        <f>+D144+D146</f>
        <v>1096720</v>
      </c>
      <c r="E153" s="243">
        <f t="shared" si="20"/>
        <v>381945</v>
      </c>
      <c r="F153" s="244">
        <f t="shared" si="21"/>
        <v>0.53435696547864708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226144</v>
      </c>
      <c r="D154" s="243">
        <f>+D145+D147</f>
        <v>393492</v>
      </c>
      <c r="E154" s="243">
        <f t="shared" si="20"/>
        <v>167348</v>
      </c>
      <c r="F154" s="244">
        <f t="shared" si="21"/>
        <v>0.74000636762416871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433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434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435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371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370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436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437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438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91" t="s">
        <v>44</v>
      </c>
      <c r="B195" s="692" t="s">
        <v>457</v>
      </c>
      <c r="C195" s="694"/>
      <c r="D195" s="695"/>
      <c r="E195" s="695"/>
      <c r="F195" s="696"/>
      <c r="G195" s="676"/>
      <c r="H195" s="676"/>
      <c r="I195" s="676"/>
    </row>
    <row r="196" spans="1:9" ht="20.25" customHeight="1" x14ac:dyDescent="0.3">
      <c r="A196" s="682"/>
      <c r="B196" s="693"/>
      <c r="C196" s="688"/>
      <c r="D196" s="689"/>
      <c r="E196" s="689"/>
      <c r="F196" s="690"/>
      <c r="G196" s="676"/>
      <c r="H196" s="676"/>
      <c r="I196" s="676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11631619</v>
      </c>
      <c r="D198" s="243">
        <f t="shared" si="28"/>
        <v>16223043</v>
      </c>
      <c r="E198" s="243">
        <f t="shared" ref="E198:E208" si="29">D198-C198</f>
        <v>4591424</v>
      </c>
      <c r="F198" s="251">
        <f t="shared" ref="F198:F208" si="30">IF(C198=0,0,E198/C198)</f>
        <v>0.39473645070389601</v>
      </c>
    </row>
    <row r="199" spans="1:9" ht="20.25" customHeight="1" x14ac:dyDescent="0.3">
      <c r="A199" s="249"/>
      <c r="B199" s="250" t="s">
        <v>459</v>
      </c>
      <c r="C199" s="243">
        <f t="shared" si="28"/>
        <v>4803054</v>
      </c>
      <c r="D199" s="243">
        <f t="shared" si="28"/>
        <v>6409937</v>
      </c>
      <c r="E199" s="243">
        <f t="shared" si="29"/>
        <v>1606883</v>
      </c>
      <c r="F199" s="251">
        <f t="shared" si="30"/>
        <v>0.33455443140968227</v>
      </c>
    </row>
    <row r="200" spans="1:9" ht="20.25" customHeight="1" x14ac:dyDescent="0.3">
      <c r="A200" s="249"/>
      <c r="B200" s="250" t="s">
        <v>460</v>
      </c>
      <c r="C200" s="243">
        <f t="shared" si="28"/>
        <v>10641667</v>
      </c>
      <c r="D200" s="243">
        <f t="shared" si="28"/>
        <v>13377904</v>
      </c>
      <c r="E200" s="243">
        <f t="shared" si="29"/>
        <v>2736237</v>
      </c>
      <c r="F200" s="251">
        <f t="shared" si="30"/>
        <v>0.25712484707518096</v>
      </c>
    </row>
    <row r="201" spans="1:9" ht="20.25" customHeight="1" x14ac:dyDescent="0.3">
      <c r="A201" s="249"/>
      <c r="B201" s="250" t="s">
        <v>461</v>
      </c>
      <c r="C201" s="243">
        <f t="shared" si="28"/>
        <v>2780930</v>
      </c>
      <c r="D201" s="243">
        <f t="shared" si="28"/>
        <v>3651657</v>
      </c>
      <c r="E201" s="243">
        <f t="shared" si="29"/>
        <v>870727</v>
      </c>
      <c r="F201" s="251">
        <f t="shared" si="30"/>
        <v>0.31310640684950719</v>
      </c>
    </row>
    <row r="202" spans="1:9" ht="20.25" customHeight="1" x14ac:dyDescent="0.3">
      <c r="A202" s="249"/>
      <c r="B202" s="250" t="s">
        <v>462</v>
      </c>
      <c r="C202" s="252">
        <f t="shared" si="28"/>
        <v>503</v>
      </c>
      <c r="D202" s="252">
        <f t="shared" si="28"/>
        <v>644</v>
      </c>
      <c r="E202" s="252">
        <f t="shared" si="29"/>
        <v>141</v>
      </c>
      <c r="F202" s="251">
        <f t="shared" si="30"/>
        <v>0.28031809145129227</v>
      </c>
    </row>
    <row r="203" spans="1:9" ht="20.25" customHeight="1" x14ac:dyDescent="0.3">
      <c r="A203" s="249"/>
      <c r="B203" s="250" t="s">
        <v>463</v>
      </c>
      <c r="C203" s="252">
        <f t="shared" si="28"/>
        <v>2651</v>
      </c>
      <c r="D203" s="252">
        <f t="shared" si="28"/>
        <v>3701</v>
      </c>
      <c r="E203" s="252">
        <f t="shared" si="29"/>
        <v>1050</v>
      </c>
      <c r="F203" s="251">
        <f t="shared" si="30"/>
        <v>0.39607695209354959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13618</v>
      </c>
      <c r="D204" s="252">
        <f t="shared" si="28"/>
        <v>16316</v>
      </c>
      <c r="E204" s="252">
        <f t="shared" si="29"/>
        <v>2698</v>
      </c>
      <c r="F204" s="251">
        <f t="shared" si="30"/>
        <v>0.19812013511528859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764</v>
      </c>
      <c r="D205" s="252">
        <f t="shared" si="28"/>
        <v>985</v>
      </c>
      <c r="E205" s="252">
        <f t="shared" si="29"/>
        <v>221</v>
      </c>
      <c r="F205" s="251">
        <f t="shared" si="30"/>
        <v>0.2892670157068063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260</v>
      </c>
      <c r="D206" s="252">
        <f t="shared" si="28"/>
        <v>353</v>
      </c>
      <c r="E206" s="252">
        <f t="shared" si="29"/>
        <v>93</v>
      </c>
      <c r="F206" s="251">
        <f t="shared" si="30"/>
        <v>0.3576923076923077</v>
      </c>
    </row>
    <row r="207" spans="1:9" ht="20.25" customHeight="1" x14ac:dyDescent="0.3">
      <c r="A207" s="249"/>
      <c r="B207" s="242" t="s">
        <v>467</v>
      </c>
      <c r="C207" s="243">
        <f>+C198+C200</f>
        <v>22273286</v>
      </c>
      <c r="D207" s="243">
        <f>+D198+D200</f>
        <v>29600947</v>
      </c>
      <c r="E207" s="243">
        <f t="shared" si="29"/>
        <v>7327661</v>
      </c>
      <c r="F207" s="251">
        <f t="shared" si="30"/>
        <v>0.32898877157146905</v>
      </c>
    </row>
    <row r="208" spans="1:9" ht="20.25" customHeight="1" x14ac:dyDescent="0.3">
      <c r="A208" s="249"/>
      <c r="B208" s="242" t="s">
        <v>468</v>
      </c>
      <c r="C208" s="243">
        <f>+C199+C201</f>
        <v>7583984</v>
      </c>
      <c r="D208" s="243">
        <f>+D199+D201</f>
        <v>10061594</v>
      </c>
      <c r="E208" s="243">
        <f t="shared" si="29"/>
        <v>2477610</v>
      </c>
      <c r="F208" s="251">
        <f t="shared" si="30"/>
        <v>0.32668977149740824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FILING&amp;RLAWRENCE AND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7" t="s">
        <v>0</v>
      </c>
      <c r="B2" s="677"/>
      <c r="C2" s="677"/>
      <c r="D2" s="677"/>
      <c r="E2" s="677"/>
      <c r="F2" s="677"/>
    </row>
    <row r="3" spans="1:7" ht="20.25" customHeight="1" x14ac:dyDescent="0.3">
      <c r="A3" s="677" t="s">
        <v>1</v>
      </c>
      <c r="B3" s="677"/>
      <c r="C3" s="677"/>
      <c r="D3" s="677"/>
      <c r="E3" s="677"/>
      <c r="F3" s="677"/>
    </row>
    <row r="4" spans="1:7" ht="20.25" customHeight="1" x14ac:dyDescent="0.3">
      <c r="A4" s="677" t="s">
        <v>2</v>
      </c>
      <c r="B4" s="677"/>
      <c r="C4" s="677"/>
      <c r="D4" s="677"/>
      <c r="E4" s="677"/>
      <c r="F4" s="677"/>
    </row>
    <row r="5" spans="1:7" ht="20.25" customHeight="1" x14ac:dyDescent="0.3">
      <c r="A5" s="677" t="s">
        <v>469</v>
      </c>
      <c r="B5" s="677"/>
      <c r="C5" s="677"/>
      <c r="D5" s="677"/>
      <c r="E5" s="677"/>
      <c r="F5" s="677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91" t="s">
        <v>12</v>
      </c>
      <c r="B10" s="692" t="s">
        <v>115</v>
      </c>
      <c r="C10" s="694"/>
      <c r="D10" s="695"/>
      <c r="E10" s="695"/>
      <c r="F10" s="696"/>
    </row>
    <row r="11" spans="1:7" ht="20.25" customHeight="1" x14ac:dyDescent="0.3">
      <c r="A11" s="682"/>
      <c r="B11" s="693"/>
      <c r="C11" s="688"/>
      <c r="D11" s="689"/>
      <c r="E11" s="689"/>
      <c r="F11" s="690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11446642</v>
      </c>
      <c r="D26" s="237">
        <v>12029849</v>
      </c>
      <c r="E26" s="237">
        <f t="shared" ref="E26:E36" si="2">D26-C26</f>
        <v>583207</v>
      </c>
      <c r="F26" s="238">
        <f t="shared" ref="F26:F36" si="3">IF(C26=0,0,E26/C26)</f>
        <v>5.0950051552236891E-2</v>
      </c>
    </row>
    <row r="27" spans="1:6" ht="20.25" customHeight="1" x14ac:dyDescent="0.3">
      <c r="A27" s="235">
        <v>2</v>
      </c>
      <c r="B27" s="236" t="s">
        <v>433</v>
      </c>
      <c r="C27" s="237">
        <v>3305769</v>
      </c>
      <c r="D27" s="237">
        <v>4244721</v>
      </c>
      <c r="E27" s="237">
        <f t="shared" si="2"/>
        <v>938952</v>
      </c>
      <c r="F27" s="238">
        <f t="shared" si="3"/>
        <v>0.28403436537761712</v>
      </c>
    </row>
    <row r="28" spans="1:6" ht="20.25" customHeight="1" x14ac:dyDescent="0.3">
      <c r="A28" s="235">
        <v>3</v>
      </c>
      <c r="B28" s="236" t="s">
        <v>434</v>
      </c>
      <c r="C28" s="237">
        <v>21089692</v>
      </c>
      <c r="D28" s="237">
        <v>23486812</v>
      </c>
      <c r="E28" s="237">
        <f t="shared" si="2"/>
        <v>2397120</v>
      </c>
      <c r="F28" s="238">
        <f t="shared" si="3"/>
        <v>0.11366311086951862</v>
      </c>
    </row>
    <row r="29" spans="1:6" ht="20.25" customHeight="1" x14ac:dyDescent="0.3">
      <c r="A29" s="235">
        <v>4</v>
      </c>
      <c r="B29" s="236" t="s">
        <v>435</v>
      </c>
      <c r="C29" s="237">
        <v>7160778</v>
      </c>
      <c r="D29" s="237">
        <v>7761517</v>
      </c>
      <c r="E29" s="237">
        <f t="shared" si="2"/>
        <v>600739</v>
      </c>
      <c r="F29" s="238">
        <f t="shared" si="3"/>
        <v>8.3892979226558903E-2</v>
      </c>
    </row>
    <row r="30" spans="1:6" ht="20.25" customHeight="1" x14ac:dyDescent="0.3">
      <c r="A30" s="235">
        <v>5</v>
      </c>
      <c r="B30" s="236" t="s">
        <v>371</v>
      </c>
      <c r="C30" s="239">
        <v>946</v>
      </c>
      <c r="D30" s="239">
        <v>1036</v>
      </c>
      <c r="E30" s="239">
        <f t="shared" si="2"/>
        <v>90</v>
      </c>
      <c r="F30" s="238">
        <f t="shared" si="3"/>
        <v>9.5137420718816063E-2</v>
      </c>
    </row>
    <row r="31" spans="1:6" ht="20.25" customHeight="1" x14ac:dyDescent="0.3">
      <c r="A31" s="235">
        <v>6</v>
      </c>
      <c r="B31" s="236" t="s">
        <v>370</v>
      </c>
      <c r="C31" s="239">
        <v>3100</v>
      </c>
      <c r="D31" s="239">
        <v>3372</v>
      </c>
      <c r="E31" s="239">
        <f t="shared" si="2"/>
        <v>272</v>
      </c>
      <c r="F31" s="238">
        <f t="shared" si="3"/>
        <v>8.7741935483870964E-2</v>
      </c>
    </row>
    <row r="32" spans="1:6" ht="20.25" customHeight="1" x14ac:dyDescent="0.3">
      <c r="A32" s="235">
        <v>7</v>
      </c>
      <c r="B32" s="236" t="s">
        <v>436</v>
      </c>
      <c r="C32" s="239">
        <v>15559</v>
      </c>
      <c r="D32" s="239">
        <v>16577</v>
      </c>
      <c r="E32" s="239">
        <f t="shared" si="2"/>
        <v>1018</v>
      </c>
      <c r="F32" s="238">
        <f t="shared" si="3"/>
        <v>6.5428369432482814E-2</v>
      </c>
    </row>
    <row r="33" spans="1:6" ht="20.25" customHeight="1" x14ac:dyDescent="0.3">
      <c r="A33" s="235">
        <v>8</v>
      </c>
      <c r="B33" s="236" t="s">
        <v>437</v>
      </c>
      <c r="C33" s="239">
        <v>10250</v>
      </c>
      <c r="D33" s="239">
        <v>10627</v>
      </c>
      <c r="E33" s="239">
        <f t="shared" si="2"/>
        <v>377</v>
      </c>
      <c r="F33" s="238">
        <f t="shared" si="3"/>
        <v>3.6780487804878047E-2</v>
      </c>
    </row>
    <row r="34" spans="1:6" ht="20.25" customHeight="1" x14ac:dyDescent="0.3">
      <c r="A34" s="235">
        <v>9</v>
      </c>
      <c r="B34" s="236" t="s">
        <v>438</v>
      </c>
      <c r="C34" s="239">
        <v>195</v>
      </c>
      <c r="D34" s="239">
        <v>163</v>
      </c>
      <c r="E34" s="239">
        <f t="shared" si="2"/>
        <v>-32</v>
      </c>
      <c r="F34" s="238">
        <f t="shared" si="3"/>
        <v>-0.1641025641025641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32536334</v>
      </c>
      <c r="D35" s="243">
        <f>+D26+D28</f>
        <v>35516661</v>
      </c>
      <c r="E35" s="243">
        <f t="shared" si="2"/>
        <v>2980327</v>
      </c>
      <c r="F35" s="244">
        <f t="shared" si="3"/>
        <v>9.1599963290271119E-2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10466547</v>
      </c>
      <c r="D36" s="243">
        <f>+D27+D29</f>
        <v>12006238</v>
      </c>
      <c r="E36" s="243">
        <f t="shared" si="2"/>
        <v>1539691</v>
      </c>
      <c r="F36" s="244">
        <f t="shared" si="3"/>
        <v>0.14710591754854777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433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434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435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371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370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436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437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438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1937844</v>
      </c>
      <c r="D86" s="237">
        <v>2235678</v>
      </c>
      <c r="E86" s="237">
        <f t="shared" ref="E86:E96" si="12">D86-C86</f>
        <v>297834</v>
      </c>
      <c r="F86" s="238">
        <f t="shared" ref="F86:F96" si="13">IF(C86=0,0,E86/C86)</f>
        <v>0.15369348616297288</v>
      </c>
    </row>
    <row r="87" spans="1:6" ht="20.25" customHeight="1" x14ac:dyDescent="0.3">
      <c r="A87" s="235">
        <v>2</v>
      </c>
      <c r="B87" s="236" t="s">
        <v>433</v>
      </c>
      <c r="C87" s="237">
        <v>480292</v>
      </c>
      <c r="D87" s="237">
        <v>699744</v>
      </c>
      <c r="E87" s="237">
        <f t="shared" si="12"/>
        <v>219452</v>
      </c>
      <c r="F87" s="238">
        <f t="shared" si="13"/>
        <v>0.45691371082591425</v>
      </c>
    </row>
    <row r="88" spans="1:6" ht="20.25" customHeight="1" x14ac:dyDescent="0.3">
      <c r="A88" s="235">
        <v>3</v>
      </c>
      <c r="B88" s="236" t="s">
        <v>434</v>
      </c>
      <c r="C88" s="237">
        <v>2599313</v>
      </c>
      <c r="D88" s="237">
        <v>3312434</v>
      </c>
      <c r="E88" s="237">
        <f t="shared" si="12"/>
        <v>713121</v>
      </c>
      <c r="F88" s="238">
        <f t="shared" si="13"/>
        <v>0.27434979935082848</v>
      </c>
    </row>
    <row r="89" spans="1:6" ht="20.25" customHeight="1" x14ac:dyDescent="0.3">
      <c r="A89" s="235">
        <v>4</v>
      </c>
      <c r="B89" s="236" t="s">
        <v>435</v>
      </c>
      <c r="C89" s="237">
        <v>795848</v>
      </c>
      <c r="D89" s="237">
        <v>973131</v>
      </c>
      <c r="E89" s="237">
        <f t="shared" si="12"/>
        <v>177283</v>
      </c>
      <c r="F89" s="238">
        <f t="shared" si="13"/>
        <v>0.22275987374473519</v>
      </c>
    </row>
    <row r="90" spans="1:6" ht="20.25" customHeight="1" x14ac:dyDescent="0.3">
      <c r="A90" s="235">
        <v>5</v>
      </c>
      <c r="B90" s="236" t="s">
        <v>371</v>
      </c>
      <c r="C90" s="239">
        <v>139</v>
      </c>
      <c r="D90" s="239">
        <v>216</v>
      </c>
      <c r="E90" s="239">
        <f t="shared" si="12"/>
        <v>77</v>
      </c>
      <c r="F90" s="238">
        <f t="shared" si="13"/>
        <v>0.5539568345323741</v>
      </c>
    </row>
    <row r="91" spans="1:6" ht="20.25" customHeight="1" x14ac:dyDescent="0.3">
      <c r="A91" s="235">
        <v>6</v>
      </c>
      <c r="B91" s="236" t="s">
        <v>370</v>
      </c>
      <c r="C91" s="239">
        <v>505</v>
      </c>
      <c r="D91" s="239">
        <v>686</v>
      </c>
      <c r="E91" s="239">
        <f t="shared" si="12"/>
        <v>181</v>
      </c>
      <c r="F91" s="238">
        <f t="shared" si="13"/>
        <v>0.3584158415841584</v>
      </c>
    </row>
    <row r="92" spans="1:6" ht="20.25" customHeight="1" x14ac:dyDescent="0.3">
      <c r="A92" s="235">
        <v>7</v>
      </c>
      <c r="B92" s="236" t="s">
        <v>436</v>
      </c>
      <c r="C92" s="239">
        <v>1533</v>
      </c>
      <c r="D92" s="239">
        <v>2270</v>
      </c>
      <c r="E92" s="239">
        <f t="shared" si="12"/>
        <v>737</v>
      </c>
      <c r="F92" s="238">
        <f t="shared" si="13"/>
        <v>0.48075668623613826</v>
      </c>
    </row>
    <row r="93" spans="1:6" ht="20.25" customHeight="1" x14ac:dyDescent="0.3">
      <c r="A93" s="235">
        <v>8</v>
      </c>
      <c r="B93" s="236" t="s">
        <v>437</v>
      </c>
      <c r="C93" s="239">
        <v>1425</v>
      </c>
      <c r="D93" s="239">
        <v>1672</v>
      </c>
      <c r="E93" s="239">
        <f t="shared" si="12"/>
        <v>247</v>
      </c>
      <c r="F93" s="238">
        <f t="shared" si="13"/>
        <v>0.17333333333333334</v>
      </c>
    </row>
    <row r="94" spans="1:6" ht="20.25" customHeight="1" x14ac:dyDescent="0.3">
      <c r="A94" s="235">
        <v>9</v>
      </c>
      <c r="B94" s="236" t="s">
        <v>438</v>
      </c>
      <c r="C94" s="239">
        <v>31</v>
      </c>
      <c r="D94" s="239">
        <v>26</v>
      </c>
      <c r="E94" s="239">
        <f t="shared" si="12"/>
        <v>-5</v>
      </c>
      <c r="F94" s="238">
        <f t="shared" si="13"/>
        <v>-0.16129032258064516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4537157</v>
      </c>
      <c r="D95" s="243">
        <f>+D86+D88</f>
        <v>5548112</v>
      </c>
      <c r="E95" s="243">
        <f t="shared" si="12"/>
        <v>1010955</v>
      </c>
      <c r="F95" s="244">
        <f t="shared" si="13"/>
        <v>0.22281684323465112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1276140</v>
      </c>
      <c r="D96" s="243">
        <f>+D87+D89</f>
        <v>1672875</v>
      </c>
      <c r="E96" s="243">
        <f t="shared" si="12"/>
        <v>396735</v>
      </c>
      <c r="F96" s="244">
        <f t="shared" si="13"/>
        <v>0.31088673656495369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3304127</v>
      </c>
      <c r="D98" s="237">
        <v>3841957</v>
      </c>
      <c r="E98" s="237">
        <f t="shared" ref="E98:E108" si="14">D98-C98</f>
        <v>537830</v>
      </c>
      <c r="F98" s="238">
        <f t="shared" ref="F98:F108" si="15">IF(C98=0,0,E98/C98)</f>
        <v>0.16277522020188692</v>
      </c>
    </row>
    <row r="99" spans="1:7" ht="20.25" customHeight="1" x14ac:dyDescent="0.3">
      <c r="A99" s="235">
        <v>2</v>
      </c>
      <c r="B99" s="236" t="s">
        <v>433</v>
      </c>
      <c r="C99" s="237">
        <v>901303</v>
      </c>
      <c r="D99" s="237">
        <v>1201912</v>
      </c>
      <c r="E99" s="237">
        <f t="shared" si="14"/>
        <v>300609</v>
      </c>
      <c r="F99" s="238">
        <f t="shared" si="15"/>
        <v>0.33352712683747865</v>
      </c>
    </row>
    <row r="100" spans="1:7" ht="20.25" customHeight="1" x14ac:dyDescent="0.3">
      <c r="A100" s="235">
        <v>3</v>
      </c>
      <c r="B100" s="236" t="s">
        <v>434</v>
      </c>
      <c r="C100" s="237">
        <v>4334644</v>
      </c>
      <c r="D100" s="237">
        <v>5452356</v>
      </c>
      <c r="E100" s="237">
        <f t="shared" si="14"/>
        <v>1117712</v>
      </c>
      <c r="F100" s="238">
        <f t="shared" si="15"/>
        <v>0.257855547076069</v>
      </c>
    </row>
    <row r="101" spans="1:7" ht="20.25" customHeight="1" x14ac:dyDescent="0.3">
      <c r="A101" s="235">
        <v>4</v>
      </c>
      <c r="B101" s="236" t="s">
        <v>435</v>
      </c>
      <c r="C101" s="237">
        <v>1412899</v>
      </c>
      <c r="D101" s="237">
        <v>1884117</v>
      </c>
      <c r="E101" s="237">
        <f t="shared" si="14"/>
        <v>471218</v>
      </c>
      <c r="F101" s="238">
        <f t="shared" si="15"/>
        <v>0.3335114541096002</v>
      </c>
    </row>
    <row r="102" spans="1:7" ht="20.25" customHeight="1" x14ac:dyDescent="0.3">
      <c r="A102" s="235">
        <v>5</v>
      </c>
      <c r="B102" s="236" t="s">
        <v>371</v>
      </c>
      <c r="C102" s="239">
        <v>302</v>
      </c>
      <c r="D102" s="239">
        <v>310</v>
      </c>
      <c r="E102" s="239">
        <f t="shared" si="14"/>
        <v>8</v>
      </c>
      <c r="F102" s="238">
        <f t="shared" si="15"/>
        <v>2.6490066225165563E-2</v>
      </c>
    </row>
    <row r="103" spans="1:7" ht="20.25" customHeight="1" x14ac:dyDescent="0.3">
      <c r="A103" s="235">
        <v>6</v>
      </c>
      <c r="B103" s="236" t="s">
        <v>370</v>
      </c>
      <c r="C103" s="239">
        <v>955</v>
      </c>
      <c r="D103" s="239">
        <v>1062</v>
      </c>
      <c r="E103" s="239">
        <f t="shared" si="14"/>
        <v>107</v>
      </c>
      <c r="F103" s="238">
        <f t="shared" si="15"/>
        <v>0.11204188481675392</v>
      </c>
    </row>
    <row r="104" spans="1:7" ht="20.25" customHeight="1" x14ac:dyDescent="0.3">
      <c r="A104" s="235">
        <v>7</v>
      </c>
      <c r="B104" s="236" t="s">
        <v>436</v>
      </c>
      <c r="C104" s="239">
        <v>3076</v>
      </c>
      <c r="D104" s="239">
        <v>3599</v>
      </c>
      <c r="E104" s="239">
        <f t="shared" si="14"/>
        <v>523</v>
      </c>
      <c r="F104" s="238">
        <f t="shared" si="15"/>
        <v>0.1700260078023407</v>
      </c>
    </row>
    <row r="105" spans="1:7" ht="20.25" customHeight="1" x14ac:dyDescent="0.3">
      <c r="A105" s="235">
        <v>8</v>
      </c>
      <c r="B105" s="236" t="s">
        <v>437</v>
      </c>
      <c r="C105" s="239">
        <v>2110</v>
      </c>
      <c r="D105" s="239">
        <v>2488</v>
      </c>
      <c r="E105" s="239">
        <f t="shared" si="14"/>
        <v>378</v>
      </c>
      <c r="F105" s="238">
        <f t="shared" si="15"/>
        <v>0.17914691943127961</v>
      </c>
    </row>
    <row r="106" spans="1:7" ht="20.25" customHeight="1" x14ac:dyDescent="0.3">
      <c r="A106" s="235">
        <v>9</v>
      </c>
      <c r="B106" s="236" t="s">
        <v>438</v>
      </c>
      <c r="C106" s="239">
        <v>54</v>
      </c>
      <c r="D106" s="239">
        <v>49</v>
      </c>
      <c r="E106" s="239">
        <f t="shared" si="14"/>
        <v>-5</v>
      </c>
      <c r="F106" s="238">
        <f t="shared" si="15"/>
        <v>-9.2592592592592587E-2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7638771</v>
      </c>
      <c r="D107" s="243">
        <f>+D98+D100</f>
        <v>9294313</v>
      </c>
      <c r="E107" s="243">
        <f t="shared" si="14"/>
        <v>1655542</v>
      </c>
      <c r="F107" s="244">
        <f t="shared" si="15"/>
        <v>0.21672884289894279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2314202</v>
      </c>
      <c r="D108" s="243">
        <f>+D99+D101</f>
        <v>3086029</v>
      </c>
      <c r="E108" s="243">
        <f t="shared" si="14"/>
        <v>771827</v>
      </c>
      <c r="F108" s="244">
        <f t="shared" si="15"/>
        <v>0.33351755810426231</v>
      </c>
    </row>
    <row r="109" spans="1:7" s="240" customFormat="1" ht="20.25" customHeight="1" x14ac:dyDescent="0.3">
      <c r="A109" s="691" t="s">
        <v>44</v>
      </c>
      <c r="B109" s="692" t="s">
        <v>476</v>
      </c>
      <c r="C109" s="694"/>
      <c r="D109" s="695"/>
      <c r="E109" s="695"/>
      <c r="F109" s="696"/>
      <c r="G109" s="212"/>
    </row>
    <row r="110" spans="1:7" ht="20.25" customHeight="1" x14ac:dyDescent="0.3">
      <c r="A110" s="682"/>
      <c r="B110" s="693"/>
      <c r="C110" s="688"/>
      <c r="D110" s="689"/>
      <c r="E110" s="689"/>
      <c r="F110" s="690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16688613</v>
      </c>
      <c r="D112" s="243">
        <f t="shared" si="16"/>
        <v>18107484</v>
      </c>
      <c r="E112" s="243">
        <f t="shared" ref="E112:E122" si="17">D112-C112</f>
        <v>1418871</v>
      </c>
      <c r="F112" s="244">
        <f t="shared" ref="F112:F122" si="18">IF(C112=0,0,E112/C112)</f>
        <v>8.502030696020095E-2</v>
      </c>
    </row>
    <row r="113" spans="1:6" ht="20.25" customHeight="1" x14ac:dyDescent="0.3">
      <c r="A113" s="249"/>
      <c r="B113" s="250" t="s">
        <v>459</v>
      </c>
      <c r="C113" s="243">
        <f t="shared" si="16"/>
        <v>4687364</v>
      </c>
      <c r="D113" s="243">
        <f t="shared" si="16"/>
        <v>6146377</v>
      </c>
      <c r="E113" s="243">
        <f t="shared" si="17"/>
        <v>1459013</v>
      </c>
      <c r="F113" s="244">
        <f t="shared" si="18"/>
        <v>0.31126513750585616</v>
      </c>
    </row>
    <row r="114" spans="1:6" ht="20.25" customHeight="1" x14ac:dyDescent="0.3">
      <c r="A114" s="249"/>
      <c r="B114" s="250" t="s">
        <v>460</v>
      </c>
      <c r="C114" s="243">
        <f t="shared" si="16"/>
        <v>28023649</v>
      </c>
      <c r="D114" s="243">
        <f t="shared" si="16"/>
        <v>32251602</v>
      </c>
      <c r="E114" s="243">
        <f t="shared" si="17"/>
        <v>4227953</v>
      </c>
      <c r="F114" s="244">
        <f t="shared" si="18"/>
        <v>0.15087089479317986</v>
      </c>
    </row>
    <row r="115" spans="1:6" ht="20.25" customHeight="1" x14ac:dyDescent="0.3">
      <c r="A115" s="249"/>
      <c r="B115" s="250" t="s">
        <v>461</v>
      </c>
      <c r="C115" s="243">
        <f t="shared" si="16"/>
        <v>9369525</v>
      </c>
      <c r="D115" s="243">
        <f t="shared" si="16"/>
        <v>10618765</v>
      </c>
      <c r="E115" s="243">
        <f t="shared" si="17"/>
        <v>1249240</v>
      </c>
      <c r="F115" s="244">
        <f t="shared" si="18"/>
        <v>0.1333301314634413</v>
      </c>
    </row>
    <row r="116" spans="1:6" ht="20.25" customHeight="1" x14ac:dyDescent="0.3">
      <c r="A116" s="249"/>
      <c r="B116" s="250" t="s">
        <v>462</v>
      </c>
      <c r="C116" s="252">
        <f t="shared" si="16"/>
        <v>1387</v>
      </c>
      <c r="D116" s="252">
        <f t="shared" si="16"/>
        <v>1562</v>
      </c>
      <c r="E116" s="252">
        <f t="shared" si="17"/>
        <v>175</v>
      </c>
      <c r="F116" s="244">
        <f t="shared" si="18"/>
        <v>0.12617159336697908</v>
      </c>
    </row>
    <row r="117" spans="1:6" ht="20.25" customHeight="1" x14ac:dyDescent="0.3">
      <c r="A117" s="249"/>
      <c r="B117" s="250" t="s">
        <v>463</v>
      </c>
      <c r="C117" s="252">
        <f t="shared" si="16"/>
        <v>4560</v>
      </c>
      <c r="D117" s="252">
        <f t="shared" si="16"/>
        <v>5120</v>
      </c>
      <c r="E117" s="252">
        <f t="shared" si="17"/>
        <v>560</v>
      </c>
      <c r="F117" s="244">
        <f t="shared" si="18"/>
        <v>0.12280701754385964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20168</v>
      </c>
      <c r="D118" s="252">
        <f t="shared" si="16"/>
        <v>22446</v>
      </c>
      <c r="E118" s="252">
        <f t="shared" si="17"/>
        <v>2278</v>
      </c>
      <c r="F118" s="244">
        <f t="shared" si="18"/>
        <v>0.11295120983736612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13785</v>
      </c>
      <c r="D119" s="252">
        <f t="shared" si="16"/>
        <v>14787</v>
      </c>
      <c r="E119" s="252">
        <f t="shared" si="17"/>
        <v>1002</v>
      </c>
      <c r="F119" s="244">
        <f t="shared" si="18"/>
        <v>7.2687704026115338E-2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280</v>
      </c>
      <c r="D120" s="252">
        <f t="shared" si="16"/>
        <v>238</v>
      </c>
      <c r="E120" s="252">
        <f t="shared" si="17"/>
        <v>-42</v>
      </c>
      <c r="F120" s="244">
        <f t="shared" si="18"/>
        <v>-0.15</v>
      </c>
    </row>
    <row r="121" spans="1:6" ht="39.950000000000003" customHeight="1" x14ac:dyDescent="0.3">
      <c r="A121" s="249"/>
      <c r="B121" s="242" t="s">
        <v>439</v>
      </c>
      <c r="C121" s="243">
        <f>+C112+C114</f>
        <v>44712262</v>
      </c>
      <c r="D121" s="243">
        <f>+D112+D114</f>
        <v>50359086</v>
      </c>
      <c r="E121" s="243">
        <f t="shared" si="17"/>
        <v>5646824</v>
      </c>
      <c r="F121" s="244">
        <f t="shared" si="18"/>
        <v>0.1262925145679277</v>
      </c>
    </row>
    <row r="122" spans="1:6" ht="39.950000000000003" customHeight="1" x14ac:dyDescent="0.3">
      <c r="A122" s="249"/>
      <c r="B122" s="242" t="s">
        <v>468</v>
      </c>
      <c r="C122" s="243">
        <f>+C113+C115</f>
        <v>14056889</v>
      </c>
      <c r="D122" s="243">
        <f>+D113+D115</f>
        <v>16765142</v>
      </c>
      <c r="E122" s="243">
        <f t="shared" si="17"/>
        <v>2708253</v>
      </c>
      <c r="F122" s="244">
        <f t="shared" si="18"/>
        <v>0.19266375369400726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FILING&amp;RLAWRENCE AND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41222090</v>
      </c>
      <c r="D13" s="23">
        <v>44580932</v>
      </c>
      <c r="E13" s="23">
        <f t="shared" ref="E13:E22" si="0">D13-C13</f>
        <v>3358842</v>
      </c>
      <c r="F13" s="24">
        <f t="shared" ref="F13:F22" si="1">IF(C13=0,0,E13/C13)</f>
        <v>8.1481603674146558E-2</v>
      </c>
    </row>
    <row r="14" spans="1:8" ht="24" customHeight="1" x14ac:dyDescent="0.2">
      <c r="A14" s="21">
        <v>2</v>
      </c>
      <c r="B14" s="22" t="s">
        <v>17</v>
      </c>
      <c r="C14" s="23">
        <v>155780987</v>
      </c>
      <c r="D14" s="23">
        <v>156173381</v>
      </c>
      <c r="E14" s="23">
        <f t="shared" si="0"/>
        <v>392394</v>
      </c>
      <c r="F14" s="24">
        <f t="shared" si="1"/>
        <v>2.5188824872447368E-3</v>
      </c>
    </row>
    <row r="15" spans="1:8" ht="35.1" customHeight="1" x14ac:dyDescent="0.2">
      <c r="A15" s="21">
        <v>3</v>
      </c>
      <c r="B15" s="22" t="s">
        <v>18</v>
      </c>
      <c r="C15" s="23">
        <v>32328543</v>
      </c>
      <c r="D15" s="23">
        <v>32212263</v>
      </c>
      <c r="E15" s="23">
        <f t="shared" si="0"/>
        <v>-116280</v>
      </c>
      <c r="F15" s="24">
        <f t="shared" si="1"/>
        <v>-3.5968215455920794E-3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1928</v>
      </c>
      <c r="D17" s="23">
        <v>0</v>
      </c>
      <c r="E17" s="23">
        <f t="shared" si="0"/>
        <v>-1928</v>
      </c>
      <c r="F17" s="24">
        <f t="shared" si="1"/>
        <v>-1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3796086</v>
      </c>
      <c r="D19" s="23">
        <v>4552611</v>
      </c>
      <c r="E19" s="23">
        <f t="shared" si="0"/>
        <v>756525</v>
      </c>
      <c r="F19" s="24">
        <f t="shared" si="1"/>
        <v>0.19929079583550005</v>
      </c>
    </row>
    <row r="20" spans="1:11" ht="24" customHeight="1" x14ac:dyDescent="0.2">
      <c r="A20" s="21">
        <v>8</v>
      </c>
      <c r="B20" s="22" t="s">
        <v>23</v>
      </c>
      <c r="C20" s="23">
        <v>1931561</v>
      </c>
      <c r="D20" s="23">
        <v>2322555</v>
      </c>
      <c r="E20" s="23">
        <f t="shared" si="0"/>
        <v>390994</v>
      </c>
      <c r="F20" s="24">
        <f t="shared" si="1"/>
        <v>0.20242384268475083</v>
      </c>
    </row>
    <row r="21" spans="1:11" ht="24" customHeight="1" x14ac:dyDescent="0.2">
      <c r="A21" s="21">
        <v>9</v>
      </c>
      <c r="B21" s="22" t="s">
        <v>24</v>
      </c>
      <c r="C21" s="23">
        <v>7273638</v>
      </c>
      <c r="D21" s="23">
        <v>5704433</v>
      </c>
      <c r="E21" s="23">
        <f t="shared" si="0"/>
        <v>-1569205</v>
      </c>
      <c r="F21" s="24">
        <f t="shared" si="1"/>
        <v>-0.21573867162484578</v>
      </c>
    </row>
    <row r="22" spans="1:11" ht="24" customHeight="1" x14ac:dyDescent="0.25">
      <c r="A22" s="25"/>
      <c r="B22" s="26" t="s">
        <v>25</v>
      </c>
      <c r="C22" s="27">
        <f>SUM(C13:C21)</f>
        <v>242334833</v>
      </c>
      <c r="D22" s="27">
        <f>SUM(D13:D21)</f>
        <v>245546175</v>
      </c>
      <c r="E22" s="27">
        <f t="shared" si="0"/>
        <v>3211342</v>
      </c>
      <c r="F22" s="28">
        <f t="shared" si="1"/>
        <v>1.3251673150925026E-2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11986573</v>
      </c>
      <c r="D25" s="23">
        <v>11241951</v>
      </c>
      <c r="E25" s="23">
        <f>D25-C25</f>
        <v>-744622</v>
      </c>
      <c r="F25" s="24">
        <f>IF(C25=0,0,E25/C25)</f>
        <v>-6.2121341938183666E-2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8427695</v>
      </c>
      <c r="E26" s="23">
        <f>D26-C26</f>
        <v>8427695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7156167</v>
      </c>
      <c r="D27" s="23">
        <v>2247370</v>
      </c>
      <c r="E27" s="23">
        <f>D27-C27</f>
        <v>-4908797</v>
      </c>
      <c r="F27" s="24">
        <f>IF(C27=0,0,E27/C27)</f>
        <v>-0.68595338817554141</v>
      </c>
    </row>
    <row r="28" spans="1:11" ht="35.1" customHeight="1" x14ac:dyDescent="0.2">
      <c r="A28" s="21">
        <v>4</v>
      </c>
      <c r="B28" s="22" t="s">
        <v>31</v>
      </c>
      <c r="C28" s="23">
        <v>28832194</v>
      </c>
      <c r="D28" s="23">
        <v>28731417</v>
      </c>
      <c r="E28" s="23">
        <f>D28-C28</f>
        <v>-100777</v>
      </c>
      <c r="F28" s="24">
        <f>IF(C28=0,0,E28/C28)</f>
        <v>-3.4952941839944611E-3</v>
      </c>
    </row>
    <row r="29" spans="1:11" ht="35.1" customHeight="1" x14ac:dyDescent="0.25">
      <c r="A29" s="25"/>
      <c r="B29" s="26" t="s">
        <v>32</v>
      </c>
      <c r="C29" s="27">
        <f>SUM(C25:C28)</f>
        <v>47974934</v>
      </c>
      <c r="D29" s="27">
        <f>SUM(D25:D28)</f>
        <v>50648433</v>
      </c>
      <c r="E29" s="27">
        <f>D29-C29</f>
        <v>2673499</v>
      </c>
      <c r="F29" s="28">
        <f>IF(C29=0,0,E29/C29)</f>
        <v>5.5726996935524707E-2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1330365</v>
      </c>
      <c r="D33" s="23">
        <v>1938833</v>
      </c>
      <c r="E33" s="23">
        <f>D33-C33</f>
        <v>608468</v>
      </c>
      <c r="F33" s="24">
        <f>IF(C33=0,0,E33/C33)</f>
        <v>0.45736921822206689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298131101</v>
      </c>
      <c r="D36" s="23">
        <v>338146246</v>
      </c>
      <c r="E36" s="23">
        <f>D36-C36</f>
        <v>40015145</v>
      </c>
      <c r="F36" s="24">
        <f>IF(C36=0,0,E36/C36)</f>
        <v>0.13421996184155238</v>
      </c>
    </row>
    <row r="37" spans="1:8" ht="24" customHeight="1" x14ac:dyDescent="0.2">
      <c r="A37" s="21">
        <v>2</v>
      </c>
      <c r="B37" s="22" t="s">
        <v>39</v>
      </c>
      <c r="C37" s="23">
        <v>195187155</v>
      </c>
      <c r="D37" s="23">
        <v>213597308</v>
      </c>
      <c r="E37" s="23">
        <f>D37-C37</f>
        <v>18410153</v>
      </c>
      <c r="F37" s="23">
        <f>IF(C37=0,0,E37/C37)</f>
        <v>9.4320515097420218E-2</v>
      </c>
    </row>
    <row r="38" spans="1:8" ht="24" customHeight="1" x14ac:dyDescent="0.25">
      <c r="A38" s="25"/>
      <c r="B38" s="26" t="s">
        <v>40</v>
      </c>
      <c r="C38" s="27">
        <f>C36-C37</f>
        <v>102943946</v>
      </c>
      <c r="D38" s="27">
        <f>D36-D37</f>
        <v>124548938</v>
      </c>
      <c r="E38" s="27">
        <f>D38-C38</f>
        <v>21604992</v>
      </c>
      <c r="F38" s="28">
        <f>IF(C38=0,0,E38/C38)</f>
        <v>0.20987141876220677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9635284</v>
      </c>
      <c r="D40" s="23">
        <v>10109457</v>
      </c>
      <c r="E40" s="23">
        <f>D40-C40</f>
        <v>474173</v>
      </c>
      <c r="F40" s="24">
        <f>IF(C40=0,0,E40/C40)</f>
        <v>4.92121456928514E-2</v>
      </c>
    </row>
    <row r="41" spans="1:8" ht="24" customHeight="1" x14ac:dyDescent="0.25">
      <c r="A41" s="25"/>
      <c r="B41" s="26" t="s">
        <v>42</v>
      </c>
      <c r="C41" s="27">
        <f>+C38+C40</f>
        <v>112579230</v>
      </c>
      <c r="D41" s="27">
        <f>+D38+D40</f>
        <v>134658395</v>
      </c>
      <c r="E41" s="27">
        <f>D41-C41</f>
        <v>22079165</v>
      </c>
      <c r="F41" s="28">
        <f>IF(C41=0,0,E41/C41)</f>
        <v>0.19612112287497435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404219362</v>
      </c>
      <c r="D43" s="27">
        <f>D22+D29+D31+D32+D33+D41</f>
        <v>432791836</v>
      </c>
      <c r="E43" s="27">
        <f>D43-C43</f>
        <v>28572474</v>
      </c>
      <c r="F43" s="28">
        <f>IF(C43=0,0,E43/C43)</f>
        <v>7.0685565032384573E-2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33097324</v>
      </c>
      <c r="D49" s="23">
        <v>35821187</v>
      </c>
      <c r="E49" s="23">
        <f t="shared" ref="E49:E56" si="2">D49-C49</f>
        <v>2723863</v>
      </c>
      <c r="F49" s="24">
        <f t="shared" ref="F49:F56" si="3">IF(C49=0,0,E49/C49)</f>
        <v>8.229858703984648E-2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5036999</v>
      </c>
      <c r="D50" s="23">
        <v>3577694</v>
      </c>
      <c r="E50" s="23">
        <f t="shared" si="2"/>
        <v>-1459305</v>
      </c>
      <c r="F50" s="24">
        <f t="shared" si="3"/>
        <v>-0.289717151025839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8839110</v>
      </c>
      <c r="D51" s="23">
        <v>8013088</v>
      </c>
      <c r="E51" s="23">
        <f t="shared" si="2"/>
        <v>-826022</v>
      </c>
      <c r="F51" s="24">
        <f t="shared" si="3"/>
        <v>-9.3450811224206967E-2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98310</v>
      </c>
      <c r="E52" s="23">
        <f t="shared" si="2"/>
        <v>98310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2906408</v>
      </c>
      <c r="D53" s="23">
        <v>3202481</v>
      </c>
      <c r="E53" s="23">
        <f t="shared" si="2"/>
        <v>296073</v>
      </c>
      <c r="F53" s="24">
        <f t="shared" si="3"/>
        <v>0.10186904247442204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156861</v>
      </c>
      <c r="D55" s="23">
        <v>65242</v>
      </c>
      <c r="E55" s="23">
        <f t="shared" si="2"/>
        <v>-91619</v>
      </c>
      <c r="F55" s="24">
        <f t="shared" si="3"/>
        <v>-0.58407762286355436</v>
      </c>
    </row>
    <row r="56" spans="1:6" ht="24" customHeight="1" x14ac:dyDescent="0.25">
      <c r="A56" s="25"/>
      <c r="B56" s="26" t="s">
        <v>54</v>
      </c>
      <c r="C56" s="27">
        <f>SUM(C49:C55)</f>
        <v>50036702</v>
      </c>
      <c r="D56" s="27">
        <f>SUM(D49:D55)</f>
        <v>50778002</v>
      </c>
      <c r="E56" s="27">
        <f t="shared" si="2"/>
        <v>741300</v>
      </c>
      <c r="F56" s="28">
        <f t="shared" si="3"/>
        <v>1.481512510556751E-2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62148146</v>
      </c>
      <c r="D59" s="23">
        <v>82249920</v>
      </c>
      <c r="E59" s="23">
        <f>D59-C59</f>
        <v>20101774</v>
      </c>
      <c r="F59" s="24">
        <f>IF(C59=0,0,E59/C59)</f>
        <v>0.32344929485104834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62148146</v>
      </c>
      <c r="D61" s="27">
        <f>SUM(D59:D60)</f>
        <v>82249920</v>
      </c>
      <c r="E61" s="27">
        <f>D61-C61</f>
        <v>20101774</v>
      </c>
      <c r="F61" s="28">
        <f>IF(C61=0,0,E61/C61)</f>
        <v>0.32344929485104834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52135334</v>
      </c>
      <c r="D63" s="23">
        <v>43423221</v>
      </c>
      <c r="E63" s="23">
        <f>D63-C63</f>
        <v>-8712113</v>
      </c>
      <c r="F63" s="24">
        <f>IF(C63=0,0,E63/C63)</f>
        <v>-0.16710572910111213</v>
      </c>
    </row>
    <row r="64" spans="1:6" ht="24" customHeight="1" x14ac:dyDescent="0.2">
      <c r="A64" s="21">
        <v>4</v>
      </c>
      <c r="B64" s="22" t="s">
        <v>60</v>
      </c>
      <c r="C64" s="23">
        <v>12279482</v>
      </c>
      <c r="D64" s="23">
        <v>14213720</v>
      </c>
      <c r="E64" s="23">
        <f>D64-C64</f>
        <v>1934238</v>
      </c>
      <c r="F64" s="24">
        <f>IF(C64=0,0,E64/C64)</f>
        <v>0.1575178822689752</v>
      </c>
    </row>
    <row r="65" spans="1:6" ht="24" customHeight="1" x14ac:dyDescent="0.25">
      <c r="A65" s="25"/>
      <c r="B65" s="26" t="s">
        <v>61</v>
      </c>
      <c r="C65" s="27">
        <f>SUM(C61:C64)</f>
        <v>126562962</v>
      </c>
      <c r="D65" s="27">
        <f>SUM(D61:D64)</f>
        <v>139886861</v>
      </c>
      <c r="E65" s="27">
        <f>D65-C65</f>
        <v>13323899</v>
      </c>
      <c r="F65" s="28">
        <f>IF(C65=0,0,E65/C65)</f>
        <v>0.1052748670657692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203283725</v>
      </c>
      <c r="D70" s="23">
        <v>217665390</v>
      </c>
      <c r="E70" s="23">
        <f>D70-C70</f>
        <v>14381665</v>
      </c>
      <c r="F70" s="24">
        <f>IF(C70=0,0,E70/C70)</f>
        <v>7.074676046988021E-2</v>
      </c>
    </row>
    <row r="71" spans="1:6" ht="24" customHeight="1" x14ac:dyDescent="0.2">
      <c r="A71" s="21">
        <v>2</v>
      </c>
      <c r="B71" s="22" t="s">
        <v>65</v>
      </c>
      <c r="C71" s="23">
        <v>18658648</v>
      </c>
      <c r="D71" s="23">
        <v>18924725</v>
      </c>
      <c r="E71" s="23">
        <f>D71-C71</f>
        <v>266077</v>
      </c>
      <c r="F71" s="24">
        <f>IF(C71=0,0,E71/C71)</f>
        <v>1.4260250796306356E-2</v>
      </c>
    </row>
    <row r="72" spans="1:6" ht="24" customHeight="1" x14ac:dyDescent="0.2">
      <c r="A72" s="21">
        <v>3</v>
      </c>
      <c r="B72" s="22" t="s">
        <v>66</v>
      </c>
      <c r="C72" s="23">
        <v>5677325</v>
      </c>
      <c r="D72" s="23">
        <v>5536858</v>
      </c>
      <c r="E72" s="23">
        <f>D72-C72</f>
        <v>-140467</v>
      </c>
      <c r="F72" s="24">
        <f>IF(C72=0,0,E72/C72)</f>
        <v>-2.474175778205405E-2</v>
      </c>
    </row>
    <row r="73" spans="1:6" ht="24" customHeight="1" x14ac:dyDescent="0.25">
      <c r="A73" s="21"/>
      <c r="B73" s="26" t="s">
        <v>67</v>
      </c>
      <c r="C73" s="27">
        <f>SUM(C70:C72)</f>
        <v>227619698</v>
      </c>
      <c r="D73" s="27">
        <f>SUM(D70:D72)</f>
        <v>242126973</v>
      </c>
      <c r="E73" s="27">
        <f>D73-C73</f>
        <v>14507275</v>
      </c>
      <c r="F73" s="28">
        <f>IF(C73=0,0,E73/C73)</f>
        <v>6.3734708056769326E-2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404219362</v>
      </c>
      <c r="D75" s="27">
        <f>D56+D65+D67+D73</f>
        <v>432791836</v>
      </c>
      <c r="E75" s="27">
        <f>D75-C75</f>
        <v>28572474</v>
      </c>
      <c r="F75" s="28">
        <f>IF(C75=0,0,E75/C75)</f>
        <v>7.0685565032384573E-2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FILING&amp;RL&amp;AMP;M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7" t="s">
        <v>477</v>
      </c>
      <c r="B1" s="698"/>
      <c r="C1" s="698"/>
      <c r="D1" s="698"/>
      <c r="E1" s="698"/>
      <c r="F1" s="699"/>
    </row>
    <row r="2" spans="1:8" ht="23.1" customHeight="1" x14ac:dyDescent="0.25">
      <c r="A2" s="697" t="s">
        <v>1</v>
      </c>
      <c r="B2" s="698"/>
      <c r="C2" s="698"/>
      <c r="D2" s="698"/>
      <c r="E2" s="698"/>
      <c r="F2" s="699"/>
    </row>
    <row r="3" spans="1:8" ht="23.1" customHeight="1" x14ac:dyDescent="0.25">
      <c r="A3" s="697" t="s">
        <v>2</v>
      </c>
      <c r="B3" s="698"/>
      <c r="C3" s="698"/>
      <c r="D3" s="698"/>
      <c r="E3" s="698"/>
      <c r="F3" s="699"/>
    </row>
    <row r="4" spans="1:8" ht="23.1" customHeight="1" x14ac:dyDescent="0.25">
      <c r="A4" s="697" t="s">
        <v>479</v>
      </c>
      <c r="B4" s="698"/>
      <c r="C4" s="698"/>
      <c r="D4" s="698"/>
      <c r="E4" s="698"/>
      <c r="F4" s="699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663899138</v>
      </c>
      <c r="D12" s="51">
        <v>699985953</v>
      </c>
      <c r="E12" s="51">
        <f t="shared" ref="E12:E19" si="0">D12-C12</f>
        <v>36086815</v>
      </c>
      <c r="F12" s="70">
        <f t="shared" ref="F12:F19" si="1">IF(C12=0,0,E12/C12)</f>
        <v>5.4355869641150217E-2</v>
      </c>
    </row>
    <row r="13" spans="1:8" ht="23.1" customHeight="1" x14ac:dyDescent="0.2">
      <c r="A13" s="25">
        <v>2</v>
      </c>
      <c r="B13" s="48" t="s">
        <v>72</v>
      </c>
      <c r="C13" s="51">
        <v>332555945</v>
      </c>
      <c r="D13" s="51">
        <v>346959900</v>
      </c>
      <c r="E13" s="51">
        <f t="shared" si="0"/>
        <v>14403955</v>
      </c>
      <c r="F13" s="70">
        <f t="shared" si="1"/>
        <v>4.3312877777602204E-2</v>
      </c>
    </row>
    <row r="14" spans="1:8" ht="23.1" customHeight="1" x14ac:dyDescent="0.2">
      <c r="A14" s="25">
        <v>3</v>
      </c>
      <c r="B14" s="48" t="s">
        <v>73</v>
      </c>
      <c r="C14" s="51">
        <v>5279619</v>
      </c>
      <c r="D14" s="51">
        <v>6383831</v>
      </c>
      <c r="E14" s="51">
        <f t="shared" si="0"/>
        <v>1104212</v>
      </c>
      <c r="F14" s="70">
        <f t="shared" si="1"/>
        <v>0.2091461524022851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326063574</v>
      </c>
      <c r="D16" s="27">
        <f>D12-D13-D14-D15</f>
        <v>346642222</v>
      </c>
      <c r="E16" s="27">
        <f t="shared" si="0"/>
        <v>20578648</v>
      </c>
      <c r="F16" s="28">
        <f t="shared" si="1"/>
        <v>6.3112379428190896E-2</v>
      </c>
    </row>
    <row r="17" spans="1:7" ht="23.1" customHeight="1" x14ac:dyDescent="0.2">
      <c r="A17" s="25">
        <v>5</v>
      </c>
      <c r="B17" s="48" t="s">
        <v>76</v>
      </c>
      <c r="C17" s="51">
        <v>19082821</v>
      </c>
      <c r="D17" s="51">
        <v>17511017</v>
      </c>
      <c r="E17" s="51">
        <f t="shared" si="0"/>
        <v>-1571804</v>
      </c>
      <c r="F17" s="70">
        <f t="shared" si="1"/>
        <v>-8.2367486442387103E-2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891515</v>
      </c>
      <c r="D18" s="51">
        <v>926208</v>
      </c>
      <c r="E18" s="51">
        <f t="shared" si="0"/>
        <v>34693</v>
      </c>
      <c r="F18" s="70">
        <f t="shared" si="1"/>
        <v>3.8914656511668339E-2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346037910</v>
      </c>
      <c r="D19" s="27">
        <f>SUM(D16:D18)</f>
        <v>365079447</v>
      </c>
      <c r="E19" s="27">
        <f t="shared" si="0"/>
        <v>19041537</v>
      </c>
      <c r="F19" s="28">
        <f t="shared" si="1"/>
        <v>5.5027314781782147E-2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156922676</v>
      </c>
      <c r="D22" s="51">
        <v>172671133</v>
      </c>
      <c r="E22" s="51">
        <f t="shared" ref="E22:E31" si="2">D22-C22</f>
        <v>15748457</v>
      </c>
      <c r="F22" s="70">
        <f t="shared" ref="F22:F31" si="3">IF(C22=0,0,E22/C22)</f>
        <v>0.10035807062071768</v>
      </c>
    </row>
    <row r="23" spans="1:7" ht="23.1" customHeight="1" x14ac:dyDescent="0.2">
      <c r="A23" s="25">
        <v>2</v>
      </c>
      <c r="B23" s="48" t="s">
        <v>81</v>
      </c>
      <c r="C23" s="51">
        <v>43343606</v>
      </c>
      <c r="D23" s="51">
        <v>45553162</v>
      </c>
      <c r="E23" s="51">
        <f t="shared" si="2"/>
        <v>2209556</v>
      </c>
      <c r="F23" s="70">
        <f t="shared" si="3"/>
        <v>5.0977669001513168E-2</v>
      </c>
    </row>
    <row r="24" spans="1:7" ht="23.1" customHeight="1" x14ac:dyDescent="0.2">
      <c r="A24" s="25">
        <v>3</v>
      </c>
      <c r="B24" s="48" t="s">
        <v>82</v>
      </c>
      <c r="C24" s="51">
        <v>4686843</v>
      </c>
      <c r="D24" s="51">
        <v>5157050</v>
      </c>
      <c r="E24" s="51">
        <f t="shared" si="2"/>
        <v>470207</v>
      </c>
      <c r="F24" s="70">
        <f t="shared" si="3"/>
        <v>0.1003248882029972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45148674</v>
      </c>
      <c r="D25" s="51">
        <v>47120092</v>
      </c>
      <c r="E25" s="51">
        <f t="shared" si="2"/>
        <v>1971418</v>
      </c>
      <c r="F25" s="70">
        <f t="shared" si="3"/>
        <v>4.3665025466750142E-2</v>
      </c>
    </row>
    <row r="26" spans="1:7" ht="23.1" customHeight="1" x14ac:dyDescent="0.2">
      <c r="A26" s="25">
        <v>5</v>
      </c>
      <c r="B26" s="48" t="s">
        <v>84</v>
      </c>
      <c r="C26" s="51">
        <v>17160934</v>
      </c>
      <c r="D26" s="51">
        <v>17704358</v>
      </c>
      <c r="E26" s="51">
        <f t="shared" si="2"/>
        <v>543424</v>
      </c>
      <c r="F26" s="70">
        <f t="shared" si="3"/>
        <v>3.1666341703779063E-2</v>
      </c>
    </row>
    <row r="27" spans="1:7" ht="23.1" customHeight="1" x14ac:dyDescent="0.2">
      <c r="A27" s="25">
        <v>6</v>
      </c>
      <c r="B27" s="48" t="s">
        <v>85</v>
      </c>
      <c r="C27" s="51">
        <v>17229746</v>
      </c>
      <c r="D27" s="51">
        <v>14608057</v>
      </c>
      <c r="E27" s="51">
        <f t="shared" si="2"/>
        <v>-2621689</v>
      </c>
      <c r="F27" s="70">
        <f t="shared" si="3"/>
        <v>-0.15216062964596228</v>
      </c>
    </row>
    <row r="28" spans="1:7" ht="23.1" customHeight="1" x14ac:dyDescent="0.2">
      <c r="A28" s="25">
        <v>7</v>
      </c>
      <c r="B28" s="48" t="s">
        <v>86</v>
      </c>
      <c r="C28" s="51">
        <v>2373694</v>
      </c>
      <c r="D28" s="51">
        <v>2248192</v>
      </c>
      <c r="E28" s="51">
        <f t="shared" si="2"/>
        <v>-125502</v>
      </c>
      <c r="F28" s="70">
        <f t="shared" si="3"/>
        <v>-5.2872021414723212E-2</v>
      </c>
    </row>
    <row r="29" spans="1:7" ht="23.1" customHeight="1" x14ac:dyDescent="0.2">
      <c r="A29" s="25">
        <v>8</v>
      </c>
      <c r="B29" s="48" t="s">
        <v>87</v>
      </c>
      <c r="C29" s="51">
        <v>5435494</v>
      </c>
      <c r="D29" s="51">
        <v>3954496</v>
      </c>
      <c r="E29" s="51">
        <f t="shared" si="2"/>
        <v>-1480998</v>
      </c>
      <c r="F29" s="70">
        <f t="shared" si="3"/>
        <v>-0.27246796703298726</v>
      </c>
    </row>
    <row r="30" spans="1:7" ht="23.1" customHeight="1" x14ac:dyDescent="0.2">
      <c r="A30" s="25">
        <v>9</v>
      </c>
      <c r="B30" s="48" t="s">
        <v>88</v>
      </c>
      <c r="C30" s="51">
        <v>42682342</v>
      </c>
      <c r="D30" s="51">
        <v>46814696</v>
      </c>
      <c r="E30" s="51">
        <f t="shared" si="2"/>
        <v>4132354</v>
      </c>
      <c r="F30" s="70">
        <f t="shared" si="3"/>
        <v>9.6816477408854462E-2</v>
      </c>
    </row>
    <row r="31" spans="1:7" ht="23.1" customHeight="1" x14ac:dyDescent="0.25">
      <c r="A31" s="29"/>
      <c r="B31" s="71" t="s">
        <v>89</v>
      </c>
      <c r="C31" s="27">
        <f>SUM(C22:C30)</f>
        <v>334984009</v>
      </c>
      <c r="D31" s="27">
        <f>SUM(D22:D30)</f>
        <v>355831236</v>
      </c>
      <c r="E31" s="27">
        <f t="shared" si="2"/>
        <v>20847227</v>
      </c>
      <c r="F31" s="28">
        <f t="shared" si="3"/>
        <v>6.223349903248665E-2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11053901</v>
      </c>
      <c r="D33" s="27">
        <f>+D19-D31</f>
        <v>9248211</v>
      </c>
      <c r="E33" s="27">
        <f>D33-C33</f>
        <v>-1805690</v>
      </c>
      <c r="F33" s="28">
        <f>IF(C33=0,0,E33/C33)</f>
        <v>-0.16335319087804387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3332139</v>
      </c>
      <c r="D36" s="51">
        <v>8510159</v>
      </c>
      <c r="E36" s="51">
        <f>D36-C36</f>
        <v>5178020</v>
      </c>
      <c r="F36" s="70">
        <f>IF(C36=0,0,E36/C36)</f>
        <v>1.5539627848658175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175335</v>
      </c>
      <c r="D38" s="51">
        <v>-1855597</v>
      </c>
      <c r="E38" s="51">
        <f>D38-C38</f>
        <v>-2030932</v>
      </c>
      <c r="F38" s="70">
        <f>IF(C38=0,0,E38/C38)</f>
        <v>-11.583152251404455</v>
      </c>
    </row>
    <row r="39" spans="1:6" ht="23.1" customHeight="1" x14ac:dyDescent="0.25">
      <c r="A39" s="20"/>
      <c r="B39" s="71" t="s">
        <v>95</v>
      </c>
      <c r="C39" s="27">
        <f>SUM(C36:C38)</f>
        <v>3507474</v>
      </c>
      <c r="D39" s="27">
        <f>SUM(D36:D38)</f>
        <v>6654562</v>
      </c>
      <c r="E39" s="27">
        <f>D39-C39</f>
        <v>3147088</v>
      </c>
      <c r="F39" s="28">
        <f>IF(C39=0,0,E39/C39)</f>
        <v>0.89725198248083948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14561375</v>
      </c>
      <c r="D41" s="27">
        <f>D33+D39</f>
        <v>15902773</v>
      </c>
      <c r="E41" s="27">
        <f>D41-C41</f>
        <v>1341398</v>
      </c>
      <c r="F41" s="28">
        <f>IF(C41=0,0,E41/C41)</f>
        <v>9.2120283970435479E-2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14561375</v>
      </c>
      <c r="D48" s="27">
        <f>D41+D46</f>
        <v>15902773</v>
      </c>
      <c r="E48" s="27">
        <f>D48-C48</f>
        <v>1341398</v>
      </c>
      <c r="F48" s="28">
        <f>IF(C48=0,0,E48/C48)</f>
        <v>9.2120283970435479E-2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FILING&amp;R&amp;8L&amp;AMP;M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2012-06-28T15:37:33Z</cp:lastPrinted>
  <dcterms:created xsi:type="dcterms:W3CDTF">2006-08-03T13:49:12Z</dcterms:created>
  <dcterms:modified xsi:type="dcterms:W3CDTF">2012-06-28T15:38:00Z</dcterms:modified>
</cp:coreProperties>
</file>