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 activeTab="18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  <sheet name="Sheet1" sheetId="23" r:id="rId20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 s="1"/>
  <c r="C96" i="22"/>
  <c r="C98" i="22"/>
  <c r="E92" i="22"/>
  <c r="E93" i="22" s="1"/>
  <c r="D92" i="22"/>
  <c r="C92" i="22"/>
  <c r="E91" i="22"/>
  <c r="D91" i="22"/>
  <c r="C91" i="22"/>
  <c r="C93" i="22" s="1"/>
  <c r="E87" i="22"/>
  <c r="E88" i="22" s="1"/>
  <c r="D87" i="22"/>
  <c r="C87" i="22"/>
  <c r="E86" i="22"/>
  <c r="D86" i="22"/>
  <c r="D88" i="22"/>
  <c r="C86" i="22"/>
  <c r="C88" i="22"/>
  <c r="E83" i="22"/>
  <c r="E101" i="22" s="1"/>
  <c r="E103" i="22" s="1"/>
  <c r="D83" i="22"/>
  <c r="C83" i="22"/>
  <c r="E76" i="22"/>
  <c r="E77" i="22" s="1"/>
  <c r="D76" i="22"/>
  <c r="D102" i="22" s="1"/>
  <c r="C76" i="22"/>
  <c r="E75" i="22"/>
  <c r="D75" i="22"/>
  <c r="C75" i="22"/>
  <c r="C77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34" i="22"/>
  <c r="C34" i="22"/>
  <c r="E28" i="22"/>
  <c r="D28" i="22"/>
  <c r="C28" i="22"/>
  <c r="E27" i="22"/>
  <c r="D27" i="22"/>
  <c r="C27" i="22"/>
  <c r="E23" i="22"/>
  <c r="E111" i="22"/>
  <c r="E21" i="22"/>
  <c r="D21" i="22"/>
  <c r="C21" i="22"/>
  <c r="E12" i="22"/>
  <c r="E33" i="22"/>
  <c r="D12" i="22"/>
  <c r="D34" i="22"/>
  <c r="C12" i="22"/>
  <c r="C23" i="22" s="1"/>
  <c r="C33" i="22"/>
  <c r="D21" i="21"/>
  <c r="E21" i="21" s="1"/>
  <c r="C21" i="21"/>
  <c r="D19" i="21"/>
  <c r="E19" i="21" s="1"/>
  <c r="F19" i="21"/>
  <c r="C19" i="21"/>
  <c r="F17" i="21"/>
  <c r="E17" i="21"/>
  <c r="E15" i="21"/>
  <c r="F15" i="21" s="1"/>
  <c r="D45" i="20"/>
  <c r="E45" i="20" s="1"/>
  <c r="F45" i="20" s="1"/>
  <c r="C45" i="20"/>
  <c r="D44" i="20"/>
  <c r="E44" i="20" s="1"/>
  <c r="C44" i="20"/>
  <c r="F44" i="20" s="1"/>
  <c r="D43" i="20"/>
  <c r="C43" i="20"/>
  <c r="C46" i="20" s="1"/>
  <c r="D36" i="20"/>
  <c r="D40" i="20" s="1"/>
  <c r="E40" i="20" s="1"/>
  <c r="C36" i="20"/>
  <c r="C40" i="20"/>
  <c r="E35" i="20"/>
  <c r="F35" i="20" s="1"/>
  <c r="E34" i="20"/>
  <c r="F34" i="20" s="1"/>
  <c r="E33" i="20"/>
  <c r="F33" i="20" s="1"/>
  <c r="E30" i="20"/>
  <c r="F30" i="20" s="1"/>
  <c r="E29" i="20"/>
  <c r="F29" i="20" s="1"/>
  <c r="E28" i="20"/>
  <c r="F28" i="20" s="1"/>
  <c r="E27" i="20"/>
  <c r="F27" i="20" s="1"/>
  <c r="D25" i="20"/>
  <c r="D39" i="20"/>
  <c r="C25" i="20"/>
  <c r="C39" i="20"/>
  <c r="E24" i="20"/>
  <c r="F24" i="20" s="1"/>
  <c r="E23" i="20"/>
  <c r="F23" i="20" s="1"/>
  <c r="E22" i="20"/>
  <c r="D19" i="20"/>
  <c r="D20" i="20"/>
  <c r="E20" i="20" s="1"/>
  <c r="F20" i="20" s="1"/>
  <c r="C19" i="20"/>
  <c r="C20" i="20" s="1"/>
  <c r="F18" i="20"/>
  <c r="E18" i="20"/>
  <c r="D16" i="20"/>
  <c r="E16" i="20" s="1"/>
  <c r="F16" i="20" s="1"/>
  <c r="C16" i="20"/>
  <c r="F15" i="20"/>
  <c r="E15" i="20"/>
  <c r="F13" i="20"/>
  <c r="E13" i="20"/>
  <c r="F12" i="20"/>
  <c r="E12" i="20"/>
  <c r="C115" i="19"/>
  <c r="C105" i="19"/>
  <c r="C137" i="19"/>
  <c r="C139" i="19" s="1"/>
  <c r="C143" i="19"/>
  <c r="C96" i="19"/>
  <c r="C95" i="19"/>
  <c r="C89" i="19"/>
  <c r="C88" i="19"/>
  <c r="C83" i="19"/>
  <c r="C77" i="19"/>
  <c r="C78" i="19" s="1"/>
  <c r="C63" i="19"/>
  <c r="C59" i="19"/>
  <c r="C60" i="19" s="1"/>
  <c r="C48" i="19"/>
  <c r="C36" i="19"/>
  <c r="C32" i="19"/>
  <c r="C33" i="19" s="1"/>
  <c r="C21" i="19"/>
  <c r="C37" i="19" s="1"/>
  <c r="E328" i="18"/>
  <c r="E325" i="18"/>
  <c r="D324" i="18"/>
  <c r="C324" i="18"/>
  <c r="C326" i="18" s="1"/>
  <c r="C330" i="18" s="1"/>
  <c r="E318" i="18"/>
  <c r="E315" i="18"/>
  <c r="D314" i="18"/>
  <c r="D316" i="18"/>
  <c r="C314" i="18"/>
  <c r="C316" i="18" s="1"/>
  <c r="C320" i="18" s="1"/>
  <c r="E320" i="18" s="1"/>
  <c r="E308" i="18"/>
  <c r="E305" i="18"/>
  <c r="D301" i="18"/>
  <c r="D303" i="18" s="1"/>
  <c r="C301" i="18"/>
  <c r="D293" i="18"/>
  <c r="E293" i="18" s="1"/>
  <c r="C293" i="18"/>
  <c r="D292" i="18"/>
  <c r="C292" i="18"/>
  <c r="E292" i="18"/>
  <c r="D291" i="18"/>
  <c r="E291" i="18"/>
  <c r="C291" i="18"/>
  <c r="D290" i="18"/>
  <c r="C290" i="18"/>
  <c r="E290" i="18"/>
  <c r="D288" i="18"/>
  <c r="C288" i="18"/>
  <c r="D287" i="18"/>
  <c r="E287" i="18" s="1"/>
  <c r="C287" i="18"/>
  <c r="D282" i="18"/>
  <c r="C282" i="18"/>
  <c r="D281" i="18"/>
  <c r="C281" i="18"/>
  <c r="D280" i="18"/>
  <c r="C280" i="18"/>
  <c r="E280" i="18" s="1"/>
  <c r="D279" i="18"/>
  <c r="C279" i="18"/>
  <c r="D278" i="18"/>
  <c r="C278" i="18"/>
  <c r="D277" i="18"/>
  <c r="C277" i="18"/>
  <c r="D276" i="18"/>
  <c r="C276" i="18"/>
  <c r="E276" i="18" s="1"/>
  <c r="E270" i="18"/>
  <c r="D265" i="18"/>
  <c r="D302" i="18"/>
  <c r="C265" i="18"/>
  <c r="C302" i="18"/>
  <c r="D262" i="18"/>
  <c r="C262" i="18"/>
  <c r="E262" i="18" s="1"/>
  <c r="D251" i="18"/>
  <c r="E251" i="18" s="1"/>
  <c r="C251" i="18"/>
  <c r="D233" i="18"/>
  <c r="C233" i="18"/>
  <c r="D232" i="18"/>
  <c r="E232" i="18"/>
  <c r="C232" i="18"/>
  <c r="D231" i="18"/>
  <c r="C231" i="18"/>
  <c r="D230" i="18"/>
  <c r="E230" i="18"/>
  <c r="C230" i="18"/>
  <c r="D228" i="18"/>
  <c r="E228" i="18" s="1"/>
  <c r="C228" i="18"/>
  <c r="D227" i="18"/>
  <c r="E227" i="18" s="1"/>
  <c r="C227" i="18"/>
  <c r="D221" i="18"/>
  <c r="C221" i="18"/>
  <c r="D220" i="18"/>
  <c r="C220" i="18"/>
  <c r="C244" i="18" s="1"/>
  <c r="D219" i="18"/>
  <c r="D243" i="18" s="1"/>
  <c r="C219" i="18"/>
  <c r="C243" i="18" s="1"/>
  <c r="D218" i="18"/>
  <c r="D242" i="18" s="1"/>
  <c r="C218" i="18"/>
  <c r="C242" i="18" s="1"/>
  <c r="D217" i="18"/>
  <c r="E217" i="18" s="1"/>
  <c r="D216" i="18"/>
  <c r="D240" i="18"/>
  <c r="E240" i="18" s="1"/>
  <c r="C216" i="18"/>
  <c r="C240" i="18" s="1"/>
  <c r="D215" i="18"/>
  <c r="D239" i="18" s="1"/>
  <c r="C215" i="18"/>
  <c r="C239" i="18"/>
  <c r="E209" i="18"/>
  <c r="E208" i="18"/>
  <c r="E207" i="18"/>
  <c r="E206" i="18"/>
  <c r="D205" i="18"/>
  <c r="C205" i="18"/>
  <c r="E204" i="18"/>
  <c r="E203" i="18"/>
  <c r="E197" i="18"/>
  <c r="E196" i="18"/>
  <c r="D195" i="18"/>
  <c r="C195" i="18"/>
  <c r="C260" i="18" s="1"/>
  <c r="E194" i="18"/>
  <c r="E193" i="18"/>
  <c r="E192" i="18"/>
  <c r="E191" i="18"/>
  <c r="E190" i="18"/>
  <c r="D188" i="18"/>
  <c r="C188" i="18"/>
  <c r="E186" i="18"/>
  <c r="E185" i="18"/>
  <c r="D179" i="18"/>
  <c r="C179" i="18"/>
  <c r="E179" i="18"/>
  <c r="D178" i="18"/>
  <c r="C178" i="18"/>
  <c r="D177" i="18"/>
  <c r="C177" i="18"/>
  <c r="E177" i="18" s="1"/>
  <c r="D176" i="18"/>
  <c r="C176" i="18"/>
  <c r="E176" i="18" s="1"/>
  <c r="D174" i="18"/>
  <c r="E174" i="18"/>
  <c r="C174" i="18"/>
  <c r="D173" i="18"/>
  <c r="E173" i="18" s="1"/>
  <c r="C173" i="18"/>
  <c r="D167" i="18"/>
  <c r="E167" i="18"/>
  <c r="C167" i="18"/>
  <c r="D166" i="18"/>
  <c r="C166" i="18"/>
  <c r="E166" i="18"/>
  <c r="D165" i="18"/>
  <c r="E165" i="18"/>
  <c r="C165" i="18"/>
  <c r="D164" i="18"/>
  <c r="C164" i="18"/>
  <c r="E164" i="18"/>
  <c r="D162" i="18"/>
  <c r="C162" i="18"/>
  <c r="E162" i="18" s="1"/>
  <c r="D161" i="18"/>
  <c r="E161" i="18" s="1"/>
  <c r="C161" i="18"/>
  <c r="E155" i="18"/>
  <c r="E154" i="18"/>
  <c r="E153" i="18"/>
  <c r="E152" i="18"/>
  <c r="D151" i="18"/>
  <c r="D156" i="18" s="1"/>
  <c r="D157" i="18" s="1"/>
  <c r="C151" i="18"/>
  <c r="C156" i="18" s="1"/>
  <c r="C157" i="18" s="1"/>
  <c r="C169" i="18" s="1"/>
  <c r="E169" i="18" s="1"/>
  <c r="E150" i="18"/>
  <c r="E149" i="18"/>
  <c r="C144" i="18"/>
  <c r="E143" i="18"/>
  <c r="E142" i="18"/>
  <c r="E141" i="18"/>
  <c r="E140" i="18"/>
  <c r="D139" i="18"/>
  <c r="D163" i="18"/>
  <c r="C139" i="18"/>
  <c r="C175" i="18"/>
  <c r="E138" i="18"/>
  <c r="E137" i="18"/>
  <c r="D75" i="18"/>
  <c r="C75" i="18"/>
  <c r="E75" i="18" s="1"/>
  <c r="D74" i="18"/>
  <c r="C74" i="18"/>
  <c r="D73" i="18"/>
  <c r="C73" i="18"/>
  <c r="E73" i="18"/>
  <c r="D72" i="18"/>
  <c r="C72" i="18"/>
  <c r="D70" i="18"/>
  <c r="C70" i="18"/>
  <c r="D69" i="18"/>
  <c r="C69" i="18"/>
  <c r="E64" i="18"/>
  <c r="E63" i="18"/>
  <c r="E62" i="18"/>
  <c r="E61" i="18"/>
  <c r="D60" i="18"/>
  <c r="C60" i="18"/>
  <c r="E59" i="18"/>
  <c r="E58" i="18"/>
  <c r="D54" i="18"/>
  <c r="D55" i="18" s="1"/>
  <c r="C54" i="18"/>
  <c r="E53" i="18"/>
  <c r="E52" i="18"/>
  <c r="E51" i="18"/>
  <c r="E50" i="18"/>
  <c r="E49" i="18"/>
  <c r="E48" i="18"/>
  <c r="E47" i="18"/>
  <c r="D42" i="18"/>
  <c r="C42" i="18"/>
  <c r="D41" i="18"/>
  <c r="C41" i="18"/>
  <c r="D40" i="18"/>
  <c r="C40" i="18"/>
  <c r="D39" i="18"/>
  <c r="C39" i="18"/>
  <c r="D38" i="18"/>
  <c r="E38" i="18" s="1"/>
  <c r="C38" i="18"/>
  <c r="D37" i="18"/>
  <c r="D43" i="18"/>
  <c r="C37" i="18"/>
  <c r="D36" i="18"/>
  <c r="C36" i="18"/>
  <c r="C33" i="18"/>
  <c r="D32" i="18"/>
  <c r="C32" i="18"/>
  <c r="E31" i="18"/>
  <c r="E30" i="18"/>
  <c r="E29" i="18"/>
  <c r="E28" i="18"/>
  <c r="E27" i="18"/>
  <c r="E26" i="18"/>
  <c r="E25" i="18"/>
  <c r="D22" i="18"/>
  <c r="D284" i="18" s="1"/>
  <c r="D21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F308" i="17"/>
  <c r="E308" i="17"/>
  <c r="D307" i="17"/>
  <c r="E307" i="17" s="1"/>
  <c r="F307" i="17" s="1"/>
  <c r="C307" i="17"/>
  <c r="D299" i="17"/>
  <c r="C299" i="17"/>
  <c r="D298" i="17"/>
  <c r="E298" i="17" s="1"/>
  <c r="C298" i="17"/>
  <c r="D297" i="17"/>
  <c r="C297" i="17"/>
  <c r="D296" i="17"/>
  <c r="C296" i="17"/>
  <c r="D295" i="17"/>
  <c r="C295" i="17"/>
  <c r="D294" i="17"/>
  <c r="C294" i="17"/>
  <c r="D250" i="17"/>
  <c r="D306" i="17" s="1"/>
  <c r="E306" i="17" s="1"/>
  <c r="C250" i="17"/>
  <c r="C306" i="17"/>
  <c r="E249" i="17"/>
  <c r="F249" i="17" s="1"/>
  <c r="E248" i="17"/>
  <c r="F248" i="17" s="1"/>
  <c r="F245" i="17"/>
  <c r="E245" i="17"/>
  <c r="E244" i="17"/>
  <c r="F244" i="17" s="1"/>
  <c r="E243" i="17"/>
  <c r="F243" i="17" s="1"/>
  <c r="D238" i="17"/>
  <c r="C238" i="17"/>
  <c r="D237" i="17"/>
  <c r="C237" i="17"/>
  <c r="E237" i="17" s="1"/>
  <c r="F234" i="17"/>
  <c r="E234" i="17"/>
  <c r="F233" i="17"/>
  <c r="E233" i="17"/>
  <c r="D230" i="17"/>
  <c r="E230" i="17" s="1"/>
  <c r="F230" i="17" s="1"/>
  <c r="C230" i="17"/>
  <c r="D229" i="17"/>
  <c r="E229" i="17" s="1"/>
  <c r="F229" i="17"/>
  <c r="C229" i="17"/>
  <c r="E228" i="17"/>
  <c r="F228" i="17" s="1"/>
  <c r="D226" i="17"/>
  <c r="E226" i="17" s="1"/>
  <c r="F226" i="17" s="1"/>
  <c r="C226" i="17"/>
  <c r="C227" i="17"/>
  <c r="E225" i="17"/>
  <c r="F225" i="17"/>
  <c r="E224" i="17"/>
  <c r="F224" i="17"/>
  <c r="D223" i="17"/>
  <c r="E223" i="17" s="1"/>
  <c r="C223" i="17"/>
  <c r="E222" i="17"/>
  <c r="F222" i="17"/>
  <c r="E221" i="17"/>
  <c r="F221" i="17"/>
  <c r="D204" i="17"/>
  <c r="C204" i="17"/>
  <c r="D203" i="17"/>
  <c r="C203" i="17"/>
  <c r="D198" i="17"/>
  <c r="C198" i="17"/>
  <c r="D191" i="17"/>
  <c r="C191" i="17"/>
  <c r="D189" i="17"/>
  <c r="C189" i="17"/>
  <c r="C278" i="17"/>
  <c r="D188" i="17"/>
  <c r="D190" i="17"/>
  <c r="C188" i="17"/>
  <c r="C277" i="17"/>
  <c r="D180" i="17"/>
  <c r="E180" i="17"/>
  <c r="C180" i="17"/>
  <c r="F180" i="17" s="1"/>
  <c r="D179" i="17"/>
  <c r="E179" i="17" s="1"/>
  <c r="C179" i="17"/>
  <c r="C181" i="17" s="1"/>
  <c r="F181" i="17" s="1"/>
  <c r="D171" i="17"/>
  <c r="D172" i="17"/>
  <c r="C171" i="17"/>
  <c r="F171" i="17" s="1"/>
  <c r="C172" i="17"/>
  <c r="D170" i="17"/>
  <c r="E170" i="17" s="1"/>
  <c r="C170" i="17"/>
  <c r="F170" i="17" s="1"/>
  <c r="F169" i="17"/>
  <c r="E169" i="17"/>
  <c r="F168" i="17"/>
  <c r="E168" i="17"/>
  <c r="D165" i="17"/>
  <c r="E165" i="17" s="1"/>
  <c r="C165" i="17"/>
  <c r="F165" i="17" s="1"/>
  <c r="D164" i="17"/>
  <c r="E164" i="17" s="1"/>
  <c r="C164" i="17"/>
  <c r="F164" i="17" s="1"/>
  <c r="F163" i="17"/>
  <c r="E163" i="17"/>
  <c r="D158" i="17"/>
  <c r="D159" i="17" s="1"/>
  <c r="C158" i="17"/>
  <c r="F158" i="17" s="1"/>
  <c r="C159" i="17"/>
  <c r="F159" i="17" s="1"/>
  <c r="F157" i="17"/>
  <c r="E157" i="17"/>
  <c r="F156" i="17"/>
  <c r="E156" i="17"/>
  <c r="F155" i="17"/>
  <c r="D155" i="17"/>
  <c r="E155" i="17"/>
  <c r="C155" i="17"/>
  <c r="F154" i="17"/>
  <c r="E154" i="17"/>
  <c r="F153" i="17"/>
  <c r="E153" i="17"/>
  <c r="D145" i="17"/>
  <c r="E145" i="17" s="1"/>
  <c r="F145" i="17" s="1"/>
  <c r="C145" i="17"/>
  <c r="D144" i="17"/>
  <c r="C144" i="17"/>
  <c r="C146" i="17" s="1"/>
  <c r="D136" i="17"/>
  <c r="D137" i="17" s="1"/>
  <c r="C136" i="17"/>
  <c r="C137" i="17" s="1"/>
  <c r="D135" i="17"/>
  <c r="E135" i="17" s="1"/>
  <c r="F135" i="17" s="1"/>
  <c r="C135" i="17"/>
  <c r="E134" i="17"/>
  <c r="F134" i="17" s="1"/>
  <c r="E133" i="17"/>
  <c r="F133" i="17" s="1"/>
  <c r="D130" i="17"/>
  <c r="E130" i="17" s="1"/>
  <c r="F130" i="17" s="1"/>
  <c r="C130" i="17"/>
  <c r="D129" i="17"/>
  <c r="E129" i="17" s="1"/>
  <c r="F129" i="17"/>
  <c r="C129" i="17"/>
  <c r="E128" i="17"/>
  <c r="F128" i="17" s="1"/>
  <c r="D123" i="17"/>
  <c r="C123" i="17"/>
  <c r="E122" i="17"/>
  <c r="F122" i="17" s="1"/>
  <c r="E121" i="17"/>
  <c r="F121" i="17" s="1"/>
  <c r="D120" i="17"/>
  <c r="E120" i="17" s="1"/>
  <c r="F120" i="17" s="1"/>
  <c r="C120" i="17"/>
  <c r="E119" i="17"/>
  <c r="F119" i="17" s="1"/>
  <c r="E118" i="17"/>
  <c r="F118" i="17" s="1"/>
  <c r="D110" i="17"/>
  <c r="E110" i="17" s="1"/>
  <c r="C110" i="17"/>
  <c r="F110" i="17" s="1"/>
  <c r="D109" i="17"/>
  <c r="D111" i="17" s="1"/>
  <c r="E111" i="17" s="1"/>
  <c r="C109" i="17"/>
  <c r="C111" i="17" s="1"/>
  <c r="F111" i="17" s="1"/>
  <c r="D101" i="17"/>
  <c r="C101" i="17"/>
  <c r="C102" i="17" s="1"/>
  <c r="D100" i="17"/>
  <c r="E100" i="17" s="1"/>
  <c r="F100" i="17" s="1"/>
  <c r="C100" i="17"/>
  <c r="E99" i="17"/>
  <c r="F99" i="17" s="1"/>
  <c r="E98" i="17"/>
  <c r="F98" i="17" s="1"/>
  <c r="D95" i="17"/>
  <c r="E95" i="17" s="1"/>
  <c r="F95" i="17" s="1"/>
  <c r="C95" i="17"/>
  <c r="D94" i="17"/>
  <c r="E94" i="17" s="1"/>
  <c r="C94" i="17"/>
  <c r="E93" i="17"/>
  <c r="F93" i="17" s="1"/>
  <c r="D88" i="17"/>
  <c r="D89" i="17" s="1"/>
  <c r="C88" i="17"/>
  <c r="C89" i="17" s="1"/>
  <c r="E89" i="17" s="1"/>
  <c r="E87" i="17"/>
  <c r="F87" i="17"/>
  <c r="E86" i="17"/>
  <c r="F86" i="17"/>
  <c r="D85" i="17"/>
  <c r="E85" i="17"/>
  <c r="C85" i="17"/>
  <c r="F85" i="17" s="1"/>
  <c r="E84" i="17"/>
  <c r="F84" i="17"/>
  <c r="E83" i="17"/>
  <c r="F83" i="17"/>
  <c r="D76" i="17"/>
  <c r="D77" i="17"/>
  <c r="E77" i="17" s="1"/>
  <c r="C76" i="17"/>
  <c r="C77" i="17"/>
  <c r="E74" i="17"/>
  <c r="F74" i="17" s="1"/>
  <c r="E73" i="17"/>
  <c r="F73" i="17" s="1"/>
  <c r="D67" i="17"/>
  <c r="E67" i="17" s="1"/>
  <c r="F67" i="17" s="1"/>
  <c r="C67" i="17"/>
  <c r="D66" i="17"/>
  <c r="C66" i="17"/>
  <c r="C68" i="17"/>
  <c r="D59" i="17"/>
  <c r="D60" i="17"/>
  <c r="C59" i="17"/>
  <c r="C60" i="17"/>
  <c r="D58" i="17"/>
  <c r="C58" i="17"/>
  <c r="E57" i="17"/>
  <c r="F57" i="17"/>
  <c r="E56" i="17"/>
  <c r="F56" i="17"/>
  <c r="D53" i="17"/>
  <c r="C53" i="17"/>
  <c r="D52" i="17"/>
  <c r="C52" i="17"/>
  <c r="E51" i="17"/>
  <c r="F51" i="17"/>
  <c r="D47" i="17"/>
  <c r="D48" i="17"/>
  <c r="C47" i="17"/>
  <c r="C48" i="17" s="1"/>
  <c r="C160" i="17" s="1"/>
  <c r="E46" i="17"/>
  <c r="F46" i="17"/>
  <c r="E45" i="17"/>
  <c r="F45" i="17"/>
  <c r="D44" i="17"/>
  <c r="C44" i="17"/>
  <c r="E43" i="17"/>
  <c r="F43" i="17"/>
  <c r="E42" i="17"/>
  <c r="F42" i="17"/>
  <c r="D36" i="17"/>
  <c r="C36" i="17"/>
  <c r="D35" i="17"/>
  <c r="D37" i="17"/>
  <c r="C35" i="17"/>
  <c r="D30" i="17"/>
  <c r="D31" i="17" s="1"/>
  <c r="C30" i="17"/>
  <c r="C31" i="17" s="1"/>
  <c r="D29" i="17"/>
  <c r="C29" i="17"/>
  <c r="E28" i="17"/>
  <c r="F28" i="17" s="1"/>
  <c r="E27" i="17"/>
  <c r="F27" i="17" s="1"/>
  <c r="D24" i="17"/>
  <c r="C24" i="17"/>
  <c r="D23" i="17"/>
  <c r="E23" i="17" s="1"/>
  <c r="F23" i="17" s="1"/>
  <c r="C23" i="17"/>
  <c r="E22" i="17"/>
  <c r="F22" i="17" s="1"/>
  <c r="D20" i="17"/>
  <c r="C20" i="17"/>
  <c r="E19" i="17"/>
  <c r="F19" i="17" s="1"/>
  <c r="E18" i="17"/>
  <c r="F18" i="17" s="1"/>
  <c r="D17" i="17"/>
  <c r="C17" i="17"/>
  <c r="E16" i="17"/>
  <c r="F16" i="17" s="1"/>
  <c r="E15" i="17"/>
  <c r="F15" i="17" s="1"/>
  <c r="D23" i="16"/>
  <c r="E23" i="16" s="1"/>
  <c r="F23" i="16"/>
  <c r="C23" i="16"/>
  <c r="F22" i="16"/>
  <c r="E22" i="16"/>
  <c r="D19" i="16"/>
  <c r="E19" i="16" s="1"/>
  <c r="F19" i="16" s="1"/>
  <c r="C19" i="16"/>
  <c r="F18" i="16"/>
  <c r="E18" i="16"/>
  <c r="E17" i="16"/>
  <c r="F17" i="16" s="1"/>
  <c r="D14" i="16"/>
  <c r="E14" i="16" s="1"/>
  <c r="F14" i="16"/>
  <c r="C14" i="16"/>
  <c r="F13" i="16"/>
  <c r="E13" i="16"/>
  <c r="F12" i="16"/>
  <c r="E12" i="16"/>
  <c r="D107" i="15"/>
  <c r="E107" i="15" s="1"/>
  <c r="F107" i="15" s="1"/>
  <c r="C107" i="15"/>
  <c r="F106" i="15"/>
  <c r="E106" i="15"/>
  <c r="F105" i="15"/>
  <c r="E105" i="15"/>
  <c r="F104" i="15"/>
  <c r="E104" i="15"/>
  <c r="D100" i="15"/>
  <c r="E100" i="15" s="1"/>
  <c r="F100" i="15"/>
  <c r="C100" i="15"/>
  <c r="E99" i="15"/>
  <c r="F99" i="15" s="1"/>
  <c r="F98" i="15"/>
  <c r="E98" i="15"/>
  <c r="F97" i="15"/>
  <c r="E97" i="15"/>
  <c r="F96" i="15"/>
  <c r="E96" i="15"/>
  <c r="F95" i="15"/>
  <c r="E95" i="15"/>
  <c r="F92" i="15"/>
  <c r="D92" i="15"/>
  <c r="E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D70" i="15"/>
  <c r="E70" i="15" s="1"/>
  <c r="F70" i="15"/>
  <c r="C70" i="15"/>
  <c r="F69" i="15"/>
  <c r="E69" i="15"/>
  <c r="F68" i="15"/>
  <c r="E68" i="15"/>
  <c r="D65" i="15"/>
  <c r="E65" i="15" s="1"/>
  <c r="F65" i="15"/>
  <c r="C65" i="15"/>
  <c r="F64" i="15"/>
  <c r="E64" i="15"/>
  <c r="F63" i="15"/>
  <c r="E63" i="15"/>
  <c r="D60" i="15"/>
  <c r="C60" i="15"/>
  <c r="F60" i="15" s="1"/>
  <c r="F59" i="15"/>
  <c r="E59" i="15"/>
  <c r="F58" i="15"/>
  <c r="E58" i="15"/>
  <c r="F55" i="15"/>
  <c r="D55" i="15"/>
  <c r="E55" i="15"/>
  <c r="C55" i="15"/>
  <c r="F54" i="15"/>
  <c r="E54" i="15"/>
  <c r="F53" i="15"/>
  <c r="E53" i="15"/>
  <c r="F50" i="15"/>
  <c r="D50" i="15"/>
  <c r="E50" i="15"/>
  <c r="C50" i="15"/>
  <c r="F49" i="15"/>
  <c r="E49" i="15"/>
  <c r="F48" i="15"/>
  <c r="E48" i="15"/>
  <c r="F45" i="15"/>
  <c r="D45" i="15"/>
  <c r="E45" i="15"/>
  <c r="C45" i="15"/>
  <c r="F44" i="15"/>
  <c r="E44" i="15"/>
  <c r="F43" i="15"/>
  <c r="E43" i="15"/>
  <c r="F37" i="15"/>
  <c r="D37" i="15"/>
  <c r="E37" i="15"/>
  <c r="C37" i="15"/>
  <c r="F36" i="15"/>
  <c r="E36" i="15"/>
  <c r="F35" i="15"/>
  <c r="E35" i="15"/>
  <c r="F34" i="15"/>
  <c r="E34" i="15"/>
  <c r="F33" i="15"/>
  <c r="E33" i="15"/>
  <c r="F30" i="15"/>
  <c r="D30" i="15"/>
  <c r="E30" i="15"/>
  <c r="C30" i="15"/>
  <c r="F29" i="15"/>
  <c r="E29" i="15"/>
  <c r="F28" i="15"/>
  <c r="E28" i="15"/>
  <c r="F27" i="15"/>
  <c r="E27" i="15"/>
  <c r="F26" i="15"/>
  <c r="E26" i="15"/>
  <c r="D23" i="15"/>
  <c r="E23" i="15" s="1"/>
  <c r="F23" i="15"/>
  <c r="C23" i="15"/>
  <c r="F22" i="15"/>
  <c r="E22" i="15"/>
  <c r="F21" i="15"/>
  <c r="E21" i="15"/>
  <c r="F20" i="15"/>
  <c r="E20" i="15"/>
  <c r="F19" i="15"/>
  <c r="E19" i="15"/>
  <c r="D16" i="15"/>
  <c r="E16" i="15" s="1"/>
  <c r="F16" i="15"/>
  <c r="C16" i="15"/>
  <c r="F15" i="15"/>
  <c r="E15" i="15"/>
  <c r="F14" i="15"/>
  <c r="E14" i="15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F33" i="14" s="1"/>
  <c r="H33" i="14" s="1"/>
  <c r="H36" i="14" s="1"/>
  <c r="H38" i="14" s="1"/>
  <c r="H40" i="14" s="1"/>
  <c r="E17" i="14"/>
  <c r="E31" i="14" s="1"/>
  <c r="D17" i="14"/>
  <c r="D33" i="14" s="1"/>
  <c r="D36" i="14" s="1"/>
  <c r="D38" i="14" s="1"/>
  <c r="D40" i="14" s="1"/>
  <c r="C17" i="14"/>
  <c r="C31" i="14"/>
  <c r="I16" i="14"/>
  <c r="H16" i="14"/>
  <c r="I15" i="14"/>
  <c r="H15" i="14"/>
  <c r="I13" i="14"/>
  <c r="H13" i="14"/>
  <c r="I11" i="14"/>
  <c r="H11" i="14"/>
  <c r="E79" i="13"/>
  <c r="D79" i="13"/>
  <c r="D80" i="13" s="1"/>
  <c r="D77" i="13" s="1"/>
  <c r="C79" i="13"/>
  <c r="E78" i="13"/>
  <c r="E80" i="13" s="1"/>
  <c r="E77" i="13" s="1"/>
  <c r="D78" i="13"/>
  <c r="C78" i="13"/>
  <c r="C80" i="13" s="1"/>
  <c r="C77" i="13" s="1"/>
  <c r="E73" i="13"/>
  <c r="E75" i="13" s="1"/>
  <c r="D73" i="13"/>
  <c r="D75" i="13" s="1"/>
  <c r="C73" i="13"/>
  <c r="C75" i="13" s="1"/>
  <c r="E71" i="13"/>
  <c r="D71" i="13"/>
  <c r="C71" i="13"/>
  <c r="E66" i="13"/>
  <c r="E65" i="13"/>
  <c r="D66" i="13"/>
  <c r="D65" i="13" s="1"/>
  <c r="C66" i="13"/>
  <c r="C65" i="13"/>
  <c r="E60" i="13"/>
  <c r="D60" i="13"/>
  <c r="C60" i="13"/>
  <c r="E58" i="13"/>
  <c r="D58" i="13"/>
  <c r="C58" i="13"/>
  <c r="E55" i="13"/>
  <c r="E50" i="13" s="1"/>
  <c r="D55" i="13"/>
  <c r="C55" i="13"/>
  <c r="E54" i="13"/>
  <c r="D54" i="13"/>
  <c r="C54" i="13"/>
  <c r="D50" i="13"/>
  <c r="E46" i="13"/>
  <c r="E48" i="13" s="1"/>
  <c r="E42" i="13" s="1"/>
  <c r="E59" i="13"/>
  <c r="E61" i="13" s="1"/>
  <c r="E57" i="13" s="1"/>
  <c r="D46" i="13"/>
  <c r="D59" i="13"/>
  <c r="D61" i="13" s="1"/>
  <c r="C46" i="13"/>
  <c r="C48" i="13" s="1"/>
  <c r="C42" i="13" s="1"/>
  <c r="C59" i="13"/>
  <c r="C61" i="13" s="1"/>
  <c r="C57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15" i="13"/>
  <c r="C15" i="13"/>
  <c r="C24" i="13" s="1"/>
  <c r="C20" i="13" s="1"/>
  <c r="E13" i="13"/>
  <c r="E25" i="13" s="1"/>
  <c r="E27" i="13" s="1"/>
  <c r="D13" i="13"/>
  <c r="D25" i="13"/>
  <c r="D27" i="13" s="1"/>
  <c r="C13" i="13"/>
  <c r="C25" i="13" s="1"/>
  <c r="C27" i="13" s="1"/>
  <c r="D47" i="12"/>
  <c r="C47" i="12"/>
  <c r="F47" i="12" s="1"/>
  <c r="F46" i="12"/>
  <c r="E46" i="12"/>
  <c r="F45" i="12"/>
  <c r="E45" i="12"/>
  <c r="D40" i="12"/>
  <c r="C40" i="12"/>
  <c r="E39" i="12"/>
  <c r="F39" i="12" s="1"/>
  <c r="F38" i="12"/>
  <c r="E38" i="12"/>
  <c r="E37" i="12"/>
  <c r="F37" i="12" s="1"/>
  <c r="D32" i="12"/>
  <c r="E32" i="12" s="1"/>
  <c r="F32" i="12" s="1"/>
  <c r="C32" i="12"/>
  <c r="E31" i="12"/>
  <c r="F31" i="12"/>
  <c r="E30" i="12"/>
  <c r="F30" i="12"/>
  <c r="E29" i="12"/>
  <c r="F29" i="12"/>
  <c r="E28" i="12"/>
  <c r="F28" i="12"/>
  <c r="E27" i="12"/>
  <c r="F27" i="12"/>
  <c r="E26" i="12"/>
  <c r="F26" i="12"/>
  <c r="E25" i="12"/>
  <c r="F25" i="12"/>
  <c r="E24" i="12"/>
  <c r="F24" i="12"/>
  <c r="E23" i="12"/>
  <c r="F23" i="12"/>
  <c r="E19" i="12"/>
  <c r="F19" i="12"/>
  <c r="E18" i="12"/>
  <c r="F18" i="12"/>
  <c r="F16" i="12"/>
  <c r="E16" i="12"/>
  <c r="D15" i="12"/>
  <c r="D17" i="12"/>
  <c r="C15" i="12"/>
  <c r="F14" i="12"/>
  <c r="E14" i="12"/>
  <c r="E13" i="12"/>
  <c r="F13" i="12" s="1"/>
  <c r="E12" i="12"/>
  <c r="F12" i="12" s="1"/>
  <c r="E11" i="12"/>
  <c r="F11" i="12" s="1"/>
  <c r="D73" i="11"/>
  <c r="E73" i="11" s="1"/>
  <c r="C73" i="11"/>
  <c r="E72" i="11"/>
  <c r="F72" i="11" s="1"/>
  <c r="E71" i="11"/>
  <c r="F71" i="11" s="1"/>
  <c r="E70" i="11"/>
  <c r="F70" i="11" s="1"/>
  <c r="F67" i="11"/>
  <c r="E67" i="11"/>
  <c r="E64" i="11"/>
  <c r="F64" i="11" s="1"/>
  <c r="F63" i="11"/>
  <c r="E63" i="11"/>
  <c r="D61" i="11"/>
  <c r="D65" i="11"/>
  <c r="C61" i="11"/>
  <c r="E60" i="11"/>
  <c r="F60" i="11" s="1"/>
  <c r="F59" i="11"/>
  <c r="E59" i="11"/>
  <c r="D56" i="11"/>
  <c r="C56" i="11"/>
  <c r="E55" i="11"/>
  <c r="F55" i="11" s="1"/>
  <c r="E54" i="11"/>
  <c r="F54" i="11"/>
  <c r="F53" i="11"/>
  <c r="E53" i="11"/>
  <c r="F52" i="11"/>
  <c r="E52" i="11"/>
  <c r="E51" i="11"/>
  <c r="F51" i="11" s="1"/>
  <c r="E50" i="11"/>
  <c r="F50" i="11" s="1"/>
  <c r="A50" i="11"/>
  <c r="A51" i="11" s="1"/>
  <c r="A52" i="11" s="1"/>
  <c r="A53" i="11" s="1"/>
  <c r="A54" i="11" s="1"/>
  <c r="A55" i="11" s="1"/>
  <c r="E49" i="11"/>
  <c r="F49" i="11" s="1"/>
  <c r="F40" i="11"/>
  <c r="E40" i="11"/>
  <c r="D38" i="11"/>
  <c r="D41" i="11" s="1"/>
  <c r="C38" i="11"/>
  <c r="C41" i="11" s="1"/>
  <c r="C43" i="11" s="1"/>
  <c r="F37" i="11"/>
  <c r="E37" i="11"/>
  <c r="F36" i="11"/>
  <c r="E36" i="11"/>
  <c r="F33" i="11"/>
  <c r="E33" i="11"/>
  <c r="F32" i="11"/>
  <c r="E32" i="11"/>
  <c r="F31" i="11"/>
  <c r="E31" i="11"/>
  <c r="D29" i="11"/>
  <c r="E29" i="11" s="1"/>
  <c r="C29" i="11"/>
  <c r="F28" i="11"/>
  <c r="E28" i="11"/>
  <c r="F27" i="11"/>
  <c r="E27" i="11"/>
  <c r="F26" i="11"/>
  <c r="E26" i="11"/>
  <c r="F25" i="11"/>
  <c r="E25" i="11"/>
  <c r="D22" i="11"/>
  <c r="C22" i="11"/>
  <c r="E21" i="11"/>
  <c r="F21" i="11" s="1"/>
  <c r="E20" i="11"/>
  <c r="F20" i="11" s="1"/>
  <c r="E19" i="11"/>
  <c r="F19" i="11" s="1"/>
  <c r="F18" i="11"/>
  <c r="E18" i="11"/>
  <c r="F17" i="11"/>
  <c r="E17" i="11"/>
  <c r="F16" i="11"/>
  <c r="E16" i="11"/>
  <c r="E15" i="11"/>
  <c r="F15" i="11" s="1"/>
  <c r="F14" i="11"/>
  <c r="E14" i="11"/>
  <c r="E13" i="11"/>
  <c r="F13" i="11" s="1"/>
  <c r="D120" i="10"/>
  <c r="E120" i="10"/>
  <c r="C120" i="10"/>
  <c r="D119" i="10"/>
  <c r="E119" i="10" s="1"/>
  <c r="F119" i="10"/>
  <c r="C119" i="10"/>
  <c r="D118" i="10"/>
  <c r="E118" i="10" s="1"/>
  <c r="F118" i="10" s="1"/>
  <c r="C118" i="10"/>
  <c r="D117" i="10"/>
  <c r="E117" i="10" s="1"/>
  <c r="F117" i="10"/>
  <c r="C117" i="10"/>
  <c r="D116" i="10"/>
  <c r="E116" i="10" s="1"/>
  <c r="F116" i="10"/>
  <c r="C116" i="10"/>
  <c r="D115" i="10"/>
  <c r="E115" i="10" s="1"/>
  <c r="F115" i="10" s="1"/>
  <c r="C115" i="10"/>
  <c r="D114" i="10"/>
  <c r="E114" i="10" s="1"/>
  <c r="F114" i="10"/>
  <c r="C114" i="10"/>
  <c r="D113" i="10"/>
  <c r="D122" i="10" s="1"/>
  <c r="E122" i="10"/>
  <c r="F122" i="10" s="1"/>
  <c r="C113" i="10"/>
  <c r="C122" i="10"/>
  <c r="D112" i="10"/>
  <c r="D121" i="10"/>
  <c r="C112" i="10"/>
  <c r="C121" i="10" s="1"/>
  <c r="D108" i="10"/>
  <c r="E108" i="10" s="1"/>
  <c r="F108" i="10" s="1"/>
  <c r="C108" i="10"/>
  <c r="D107" i="10"/>
  <c r="E107" i="10" s="1"/>
  <c r="F107" i="10" s="1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E96" i="10" s="1"/>
  <c r="F96" i="10"/>
  <c r="C96" i="10"/>
  <c r="D95" i="10"/>
  <c r="E95" i="10" s="1"/>
  <c r="F95" i="10" s="1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 s="1"/>
  <c r="F60" i="10" s="1"/>
  <c r="C60" i="10"/>
  <c r="D59" i="10"/>
  <c r="E59" i="10" s="1"/>
  <c r="F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E48" i="10" s="1"/>
  <c r="F48" i="10" s="1"/>
  <c r="C48" i="10"/>
  <c r="D47" i="10"/>
  <c r="E47" i="10" s="1"/>
  <c r="F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 s="1"/>
  <c r="F36" i="10" s="1"/>
  <c r="C36" i="10"/>
  <c r="D35" i="10"/>
  <c r="E35" i="10" s="1"/>
  <c r="F35" i="10" s="1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C206" i="9"/>
  <c r="D205" i="9"/>
  <c r="E205" i="9"/>
  <c r="F205" i="9" s="1"/>
  <c r="C205" i="9"/>
  <c r="D204" i="9"/>
  <c r="E204" i="9" s="1"/>
  <c r="F204" i="9"/>
  <c r="C204" i="9"/>
  <c r="D203" i="9"/>
  <c r="E203" i="9" s="1"/>
  <c r="F203" i="9" s="1"/>
  <c r="C203" i="9"/>
  <c r="D202" i="9"/>
  <c r="E202" i="9" s="1"/>
  <c r="F202" i="9"/>
  <c r="C202" i="9"/>
  <c r="D201" i="9"/>
  <c r="E201" i="9" s="1"/>
  <c r="F201" i="9"/>
  <c r="C201" i="9"/>
  <c r="D200" i="9"/>
  <c r="E200" i="9" s="1"/>
  <c r="F200" i="9" s="1"/>
  <c r="C200" i="9"/>
  <c r="D199" i="9"/>
  <c r="D208" i="9" s="1"/>
  <c r="C199" i="9"/>
  <c r="C208" i="9"/>
  <c r="E208" i="9" s="1"/>
  <c r="D198" i="9"/>
  <c r="D207" i="9"/>
  <c r="E207" i="9" s="1"/>
  <c r="C198" i="9"/>
  <c r="C207" i="9" s="1"/>
  <c r="D193" i="9"/>
  <c r="E193" i="9" s="1"/>
  <c r="F193" i="9"/>
  <c r="C193" i="9"/>
  <c r="D192" i="9"/>
  <c r="E192" i="9" s="1"/>
  <c r="F192" i="9" s="1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 s="1"/>
  <c r="F154" i="9"/>
  <c r="C154" i="9"/>
  <c r="D153" i="9"/>
  <c r="E153" i="9" s="1"/>
  <c r="F153" i="9" s="1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 s="1"/>
  <c r="F141" i="9"/>
  <c r="C141" i="9"/>
  <c r="D140" i="9"/>
  <c r="E140" i="9" s="1"/>
  <c r="F140" i="9" s="1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 s="1"/>
  <c r="F128" i="9"/>
  <c r="C128" i="9"/>
  <c r="D127" i="9"/>
  <c r="E127" i="9" s="1"/>
  <c r="F127" i="9" s="1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D115" i="9"/>
  <c r="E115" i="9" s="1"/>
  <c r="F115" i="9" s="1"/>
  <c r="C115" i="9"/>
  <c r="D114" i="9"/>
  <c r="E114" i="9" s="1"/>
  <c r="F114" i="9" s="1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 s="1"/>
  <c r="F102" i="9"/>
  <c r="C102" i="9"/>
  <c r="D101" i="9"/>
  <c r="E101" i="9" s="1"/>
  <c r="F101" i="9" s="1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 s="1"/>
  <c r="F76" i="9" s="1"/>
  <c r="C76" i="9"/>
  <c r="D75" i="9"/>
  <c r="E75" i="9" s="1"/>
  <c r="F75" i="9" s="1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F50" i="9" s="1"/>
  <c r="C50" i="9"/>
  <c r="D49" i="9"/>
  <c r="E49" i="9" s="1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 s="1"/>
  <c r="F24" i="9"/>
  <c r="C24" i="9"/>
  <c r="D23" i="9"/>
  <c r="E23" i="9" s="1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E160" i="8" s="1"/>
  <c r="D164" i="8"/>
  <c r="C164" i="8"/>
  <c r="C160" i="8" s="1"/>
  <c r="E162" i="8"/>
  <c r="D162" i="8"/>
  <c r="C162" i="8"/>
  <c r="E161" i="8"/>
  <c r="D161" i="8"/>
  <c r="C161" i="8"/>
  <c r="D160" i="8"/>
  <c r="D166" i="8"/>
  <c r="C166" i="8"/>
  <c r="E147" i="8"/>
  <c r="D147" i="8"/>
  <c r="D143" i="8" s="1"/>
  <c r="D149" i="8"/>
  <c r="C147" i="8"/>
  <c r="E145" i="8"/>
  <c r="D145" i="8"/>
  <c r="C145" i="8"/>
  <c r="E144" i="8"/>
  <c r="D144" i="8"/>
  <c r="C144" i="8"/>
  <c r="E143" i="8"/>
  <c r="E149" i="8" s="1"/>
  <c r="E136" i="8" s="1"/>
  <c r="C143" i="8"/>
  <c r="E126" i="8"/>
  <c r="D126" i="8"/>
  <c r="C126" i="8"/>
  <c r="E119" i="8"/>
  <c r="D119" i="8"/>
  <c r="C119" i="8"/>
  <c r="E108" i="8"/>
  <c r="D108" i="8"/>
  <c r="C108" i="8"/>
  <c r="E107" i="8"/>
  <c r="E109" i="8"/>
  <c r="E106" i="8" s="1"/>
  <c r="D107" i="8"/>
  <c r="D109" i="8" s="1"/>
  <c r="D106" i="8" s="1"/>
  <c r="C107" i="8"/>
  <c r="C109" i="8"/>
  <c r="C106" i="8" s="1"/>
  <c r="E102" i="8"/>
  <c r="E104" i="8" s="1"/>
  <c r="D102" i="8"/>
  <c r="D104" i="8" s="1"/>
  <c r="C102" i="8"/>
  <c r="C104" i="8" s="1"/>
  <c r="E100" i="8"/>
  <c r="D100" i="8"/>
  <c r="C100" i="8"/>
  <c r="E95" i="8"/>
  <c r="D95" i="8"/>
  <c r="D94" i="8" s="1"/>
  <c r="C95" i="8"/>
  <c r="E94" i="8"/>
  <c r="C94" i="8"/>
  <c r="E89" i="8"/>
  <c r="D89" i="8"/>
  <c r="C89" i="8"/>
  <c r="E87" i="8"/>
  <c r="D87" i="8"/>
  <c r="C87" i="8"/>
  <c r="E84" i="8"/>
  <c r="D84" i="8"/>
  <c r="D79" i="8" s="1"/>
  <c r="C84" i="8"/>
  <c r="E83" i="8"/>
  <c r="E79" i="8" s="1"/>
  <c r="D83" i="8"/>
  <c r="C83" i="8"/>
  <c r="E75" i="8"/>
  <c r="D75" i="8"/>
  <c r="D88" i="8" s="1"/>
  <c r="C75" i="8"/>
  <c r="C88" i="8" s="1"/>
  <c r="C90" i="8" s="1"/>
  <c r="C86" i="8" s="1"/>
  <c r="E74" i="8"/>
  <c r="D74" i="8"/>
  <c r="C74" i="8"/>
  <c r="E67" i="8"/>
  <c r="D67" i="8"/>
  <c r="C67" i="8"/>
  <c r="E38" i="8"/>
  <c r="E57" i="8" s="1"/>
  <c r="E62" i="8" s="1"/>
  <c r="D38" i="8"/>
  <c r="D53" i="8"/>
  <c r="C38" i="8"/>
  <c r="C57" i="8"/>
  <c r="C62" i="8" s="1"/>
  <c r="E33" i="8"/>
  <c r="E34" i="8" s="1"/>
  <c r="D33" i="8"/>
  <c r="D34" i="8" s="1"/>
  <c r="E26" i="8"/>
  <c r="D26" i="8"/>
  <c r="C26" i="8"/>
  <c r="C24" i="8"/>
  <c r="E13" i="8"/>
  <c r="E15" i="8" s="1"/>
  <c r="E25" i="8"/>
  <c r="E27" i="8" s="1"/>
  <c r="D13" i="8"/>
  <c r="D25" i="8" s="1"/>
  <c r="D27" i="8" s="1"/>
  <c r="D21" i="8" s="1"/>
  <c r="C13" i="8"/>
  <c r="C15" i="8" s="1"/>
  <c r="C25" i="8"/>
  <c r="F186" i="7"/>
  <c r="E186" i="7"/>
  <c r="D183" i="7"/>
  <c r="C183" i="7"/>
  <c r="F182" i="7"/>
  <c r="E182" i="7"/>
  <c r="F181" i="7"/>
  <c r="E181" i="7"/>
  <c r="F180" i="7"/>
  <c r="E180" i="7"/>
  <c r="E179" i="7"/>
  <c r="F179" i="7" s="1"/>
  <c r="F178" i="7"/>
  <c r="E178" i="7"/>
  <c r="F177" i="7"/>
  <c r="E177" i="7"/>
  <c r="F176" i="7"/>
  <c r="E176" i="7"/>
  <c r="E175" i="7"/>
  <c r="F175" i="7" s="1"/>
  <c r="F174" i="7"/>
  <c r="E174" i="7"/>
  <c r="E173" i="7"/>
  <c r="F173" i="7" s="1"/>
  <c r="F172" i="7"/>
  <c r="E172" i="7"/>
  <c r="E171" i="7"/>
  <c r="F171" i="7" s="1"/>
  <c r="E170" i="7"/>
  <c r="F170" i="7" s="1"/>
  <c r="D167" i="7"/>
  <c r="E167" i="7"/>
  <c r="C167" i="7"/>
  <c r="E166" i="7"/>
  <c r="F166" i="7" s="1"/>
  <c r="F165" i="7"/>
  <c r="E165" i="7"/>
  <c r="E164" i="7"/>
  <c r="F164" i="7" s="1"/>
  <c r="F163" i="7"/>
  <c r="E163" i="7"/>
  <c r="F162" i="7"/>
  <c r="E162" i="7"/>
  <c r="F161" i="7"/>
  <c r="E161" i="7"/>
  <c r="F160" i="7"/>
  <c r="E160" i="7"/>
  <c r="F159" i="7"/>
  <c r="E159" i="7"/>
  <c r="F158" i="7"/>
  <c r="E158" i="7"/>
  <c r="E157" i="7"/>
  <c r="F157" i="7" s="1"/>
  <c r="F156" i="7"/>
  <c r="E156" i="7"/>
  <c r="E155" i="7"/>
  <c r="F155" i="7" s="1"/>
  <c r="E154" i="7"/>
  <c r="F154" i="7" s="1"/>
  <c r="F153" i="7"/>
  <c r="E153" i="7"/>
  <c r="F152" i="7"/>
  <c r="E152" i="7"/>
  <c r="E151" i="7"/>
  <c r="F151" i="7" s="1"/>
  <c r="E150" i="7"/>
  <c r="F150" i="7" s="1"/>
  <c r="F149" i="7"/>
  <c r="E149" i="7"/>
  <c r="F148" i="7"/>
  <c r="E148" i="7"/>
  <c r="F147" i="7"/>
  <c r="E147" i="7"/>
  <c r="F146" i="7"/>
  <c r="E146" i="7"/>
  <c r="E145" i="7"/>
  <c r="F145" i="7" s="1"/>
  <c r="E144" i="7"/>
  <c r="F144" i="7" s="1"/>
  <c r="F143" i="7"/>
  <c r="E143" i="7"/>
  <c r="E142" i="7"/>
  <c r="F142" i="7" s="1"/>
  <c r="F141" i="7"/>
  <c r="E141" i="7"/>
  <c r="F140" i="7"/>
  <c r="E140" i="7"/>
  <c r="F139" i="7"/>
  <c r="E139" i="7"/>
  <c r="E138" i="7"/>
  <c r="F138" i="7" s="1"/>
  <c r="E137" i="7"/>
  <c r="F137" i="7" s="1"/>
  <c r="F136" i="7"/>
  <c r="E136" i="7"/>
  <c r="F135" i="7"/>
  <c r="E135" i="7"/>
  <c r="E134" i="7"/>
  <c r="F134" i="7" s="1"/>
  <c r="E133" i="7"/>
  <c r="F133" i="7" s="1"/>
  <c r="D130" i="7"/>
  <c r="E130" i="7" s="1"/>
  <c r="F130" i="7" s="1"/>
  <c r="C130" i="7"/>
  <c r="F129" i="7"/>
  <c r="E129" i="7"/>
  <c r="F128" i="7"/>
  <c r="E128" i="7"/>
  <c r="E127" i="7"/>
  <c r="F127" i="7" s="1"/>
  <c r="F126" i="7"/>
  <c r="E126" i="7"/>
  <c r="F125" i="7"/>
  <c r="E125" i="7"/>
  <c r="F124" i="7"/>
  <c r="E124" i="7"/>
  <c r="D121" i="7"/>
  <c r="E121" i="7"/>
  <c r="F121" i="7" s="1"/>
  <c r="C121" i="7"/>
  <c r="E120" i="7"/>
  <c r="F120" i="7" s="1"/>
  <c r="E119" i="7"/>
  <c r="F119" i="7" s="1"/>
  <c r="F118" i="7"/>
  <c r="E118" i="7"/>
  <c r="F117" i="7"/>
  <c r="E117" i="7"/>
  <c r="E116" i="7"/>
  <c r="F116" i="7" s="1"/>
  <c r="F115" i="7"/>
  <c r="E115" i="7"/>
  <c r="E114" i="7"/>
  <c r="F114" i="7" s="1"/>
  <c r="F113" i="7"/>
  <c r="E113" i="7"/>
  <c r="E112" i="7"/>
  <c r="F112" i="7" s="1"/>
  <c r="E111" i="7"/>
  <c r="F111" i="7" s="1"/>
  <c r="E110" i="7"/>
  <c r="F110" i="7" s="1"/>
  <c r="F109" i="7"/>
  <c r="E109" i="7"/>
  <c r="E108" i="7"/>
  <c r="F108" i="7" s="1"/>
  <c r="F107" i="7"/>
  <c r="E107" i="7"/>
  <c r="F106" i="7"/>
  <c r="E106" i="7"/>
  <c r="F105" i="7"/>
  <c r="E105" i="7"/>
  <c r="E104" i="7"/>
  <c r="F104" i="7" s="1"/>
  <c r="E103" i="7"/>
  <c r="F103" i="7" s="1"/>
  <c r="E93" i="7"/>
  <c r="F93" i="7" s="1"/>
  <c r="D90" i="7"/>
  <c r="C90" i="7"/>
  <c r="E89" i="7"/>
  <c r="F89" i="7" s="1"/>
  <c r="F88" i="7"/>
  <c r="E88" i="7"/>
  <c r="F87" i="7"/>
  <c r="E87" i="7"/>
  <c r="E86" i="7"/>
  <c r="F86" i="7" s="1"/>
  <c r="F85" i="7"/>
  <c r="E85" i="7"/>
  <c r="F84" i="7"/>
  <c r="E84" i="7"/>
  <c r="F83" i="7"/>
  <c r="E83" i="7"/>
  <c r="E82" i="7"/>
  <c r="F82" i="7" s="1"/>
  <c r="E81" i="7"/>
  <c r="F81" i="7" s="1"/>
  <c r="F80" i="7"/>
  <c r="E80" i="7"/>
  <c r="F79" i="7"/>
  <c r="E79" i="7"/>
  <c r="E78" i="7"/>
  <c r="F78" i="7" s="1"/>
  <c r="F77" i="7"/>
  <c r="E77" i="7"/>
  <c r="F76" i="7"/>
  <c r="E76" i="7"/>
  <c r="F75" i="7"/>
  <c r="E75" i="7"/>
  <c r="E74" i="7"/>
  <c r="F74" i="7" s="1"/>
  <c r="F73" i="7"/>
  <c r="E73" i="7"/>
  <c r="F72" i="7"/>
  <c r="E72" i="7"/>
  <c r="F71" i="7"/>
  <c r="E71" i="7"/>
  <c r="E70" i="7"/>
  <c r="F70" i="7" s="1"/>
  <c r="F69" i="7"/>
  <c r="E69" i="7"/>
  <c r="F68" i="7"/>
  <c r="E68" i="7"/>
  <c r="F67" i="7"/>
  <c r="E67" i="7"/>
  <c r="E66" i="7"/>
  <c r="F66" i="7" s="1"/>
  <c r="E65" i="7"/>
  <c r="F65" i="7" s="1"/>
  <c r="F64" i="7"/>
  <c r="E64" i="7"/>
  <c r="F63" i="7"/>
  <c r="E63" i="7"/>
  <c r="E62" i="7"/>
  <c r="F62" i="7" s="1"/>
  <c r="D59" i="7"/>
  <c r="E59" i="7"/>
  <c r="F59" i="7"/>
  <c r="C59" i="7"/>
  <c r="F58" i="7"/>
  <c r="E58" i="7"/>
  <c r="E57" i="7"/>
  <c r="F57" i="7" s="1"/>
  <c r="E56" i="7"/>
  <c r="F56" i="7" s="1"/>
  <c r="F55" i="7"/>
  <c r="E55" i="7"/>
  <c r="F54" i="7"/>
  <c r="E54" i="7"/>
  <c r="E53" i="7"/>
  <c r="F53" i="7" s="1"/>
  <c r="E50" i="7"/>
  <c r="F50" i="7" s="1"/>
  <c r="F47" i="7"/>
  <c r="E47" i="7"/>
  <c r="F44" i="7"/>
  <c r="E44" i="7"/>
  <c r="D41" i="7"/>
  <c r="C41" i="7"/>
  <c r="E41" i="7" s="1"/>
  <c r="F40" i="7"/>
  <c r="E40" i="7"/>
  <c r="F39" i="7"/>
  <c r="E39" i="7"/>
  <c r="E38" i="7"/>
  <c r="F38" i="7" s="1"/>
  <c r="D35" i="7"/>
  <c r="E35" i="7"/>
  <c r="F35" i="7"/>
  <c r="C35" i="7"/>
  <c r="F34" i="7"/>
  <c r="E34" i="7"/>
  <c r="E33" i="7"/>
  <c r="F33" i="7" s="1"/>
  <c r="D30" i="7"/>
  <c r="E30" i="7" s="1"/>
  <c r="F30" i="7" s="1"/>
  <c r="C30" i="7"/>
  <c r="F29" i="7"/>
  <c r="E29" i="7"/>
  <c r="E28" i="7"/>
  <c r="F28" i="7" s="1"/>
  <c r="F27" i="7"/>
  <c r="E27" i="7"/>
  <c r="D24" i="7"/>
  <c r="E24" i="7" s="1"/>
  <c r="F24" i="7" s="1"/>
  <c r="C24" i="7"/>
  <c r="F23" i="7"/>
  <c r="E23" i="7"/>
  <c r="F22" i="7"/>
  <c r="E22" i="7"/>
  <c r="F21" i="7"/>
  <c r="E21" i="7"/>
  <c r="D18" i="7"/>
  <c r="E18" i="7" s="1"/>
  <c r="C18" i="7"/>
  <c r="F18" i="7" s="1"/>
  <c r="E17" i="7"/>
  <c r="F17" i="7" s="1"/>
  <c r="F16" i="7"/>
  <c r="E16" i="7"/>
  <c r="F15" i="7"/>
  <c r="E15" i="7"/>
  <c r="D179" i="6"/>
  <c r="E179" i="6"/>
  <c r="C179" i="6"/>
  <c r="F178" i="6"/>
  <c r="E178" i="6"/>
  <c r="F177" i="6"/>
  <c r="E177" i="6"/>
  <c r="E176" i="6"/>
  <c r="F176" i="6" s="1"/>
  <c r="E175" i="6"/>
  <c r="F175" i="6" s="1"/>
  <c r="E174" i="6"/>
  <c r="F174" i="6" s="1"/>
  <c r="F173" i="6"/>
  <c r="E173" i="6"/>
  <c r="E172" i="6"/>
  <c r="F172" i="6" s="1"/>
  <c r="F171" i="6"/>
  <c r="E171" i="6"/>
  <c r="F170" i="6"/>
  <c r="E170" i="6"/>
  <c r="F169" i="6"/>
  <c r="E169" i="6"/>
  <c r="E168" i="6"/>
  <c r="F168" i="6" s="1"/>
  <c r="D166" i="6"/>
  <c r="E166" i="6"/>
  <c r="C166" i="6"/>
  <c r="F166" i="6" s="1"/>
  <c r="F165" i="6"/>
  <c r="E165" i="6"/>
  <c r="F164" i="6"/>
  <c r="E164" i="6"/>
  <c r="E163" i="6"/>
  <c r="F163" i="6" s="1"/>
  <c r="E162" i="6"/>
  <c r="F162" i="6" s="1"/>
  <c r="F161" i="6"/>
  <c r="E161" i="6"/>
  <c r="E160" i="6"/>
  <c r="F160" i="6" s="1"/>
  <c r="E159" i="6"/>
  <c r="F159" i="6" s="1"/>
  <c r="F158" i="6"/>
  <c r="E158" i="6"/>
  <c r="F157" i="6"/>
  <c r="E157" i="6"/>
  <c r="E156" i="6"/>
  <c r="F156" i="6" s="1"/>
  <c r="F155" i="6"/>
  <c r="E155" i="6"/>
  <c r="D153" i="6"/>
  <c r="E153" i="6"/>
  <c r="F153" i="6" s="1"/>
  <c r="C153" i="6"/>
  <c r="F152" i="6"/>
  <c r="E152" i="6"/>
  <c r="F151" i="6"/>
  <c r="E151" i="6"/>
  <c r="E150" i="6"/>
  <c r="F150" i="6" s="1"/>
  <c r="F149" i="6"/>
  <c r="E149" i="6"/>
  <c r="E148" i="6"/>
  <c r="F148" i="6" s="1"/>
  <c r="E147" i="6"/>
  <c r="F147" i="6" s="1"/>
  <c r="F146" i="6"/>
  <c r="E146" i="6"/>
  <c r="F145" i="6"/>
  <c r="E145" i="6"/>
  <c r="E144" i="6"/>
  <c r="F144" i="6" s="1"/>
  <c r="F143" i="6"/>
  <c r="E143" i="6"/>
  <c r="E142" i="6"/>
  <c r="F142" i="6" s="1"/>
  <c r="D137" i="6"/>
  <c r="E137" i="6" s="1"/>
  <c r="C137" i="6"/>
  <c r="F136" i="6"/>
  <c r="E136" i="6"/>
  <c r="F135" i="6"/>
  <c r="E135" i="6"/>
  <c r="F134" i="6"/>
  <c r="E134" i="6"/>
  <c r="E133" i="6"/>
  <c r="F133" i="6" s="1"/>
  <c r="F132" i="6"/>
  <c r="E132" i="6"/>
  <c r="F131" i="6"/>
  <c r="E131" i="6"/>
  <c r="F130" i="6"/>
  <c r="E130" i="6"/>
  <c r="E129" i="6"/>
  <c r="F129" i="6" s="1"/>
  <c r="F128" i="6"/>
  <c r="E128" i="6"/>
  <c r="F127" i="6"/>
  <c r="E127" i="6"/>
  <c r="F126" i="6"/>
  <c r="E126" i="6"/>
  <c r="D124" i="6"/>
  <c r="E124" i="6"/>
  <c r="F124" i="6" s="1"/>
  <c r="C124" i="6"/>
  <c r="F123" i="6"/>
  <c r="E123" i="6"/>
  <c r="F122" i="6"/>
  <c r="E122" i="6"/>
  <c r="E121" i="6"/>
  <c r="F121" i="6" s="1"/>
  <c r="F120" i="6"/>
  <c r="E120" i="6"/>
  <c r="F119" i="6"/>
  <c r="E119" i="6"/>
  <c r="F118" i="6"/>
  <c r="E118" i="6"/>
  <c r="E117" i="6"/>
  <c r="F117" i="6" s="1"/>
  <c r="E116" i="6"/>
  <c r="F116" i="6" s="1"/>
  <c r="F115" i="6"/>
  <c r="E115" i="6"/>
  <c r="F114" i="6"/>
  <c r="E114" i="6"/>
  <c r="E113" i="6"/>
  <c r="F113" i="6" s="1"/>
  <c r="D111" i="6"/>
  <c r="C111" i="6"/>
  <c r="E111" i="6" s="1"/>
  <c r="F110" i="6"/>
  <c r="E110" i="6"/>
  <c r="F109" i="6"/>
  <c r="E109" i="6"/>
  <c r="E108" i="6"/>
  <c r="F108" i="6" s="1"/>
  <c r="E107" i="6"/>
  <c r="F107" i="6" s="1"/>
  <c r="F106" i="6"/>
  <c r="E106" i="6"/>
  <c r="E105" i="6"/>
  <c r="F105" i="6" s="1"/>
  <c r="F104" i="6"/>
  <c r="E104" i="6"/>
  <c r="E103" i="6"/>
  <c r="F103" i="6" s="1"/>
  <c r="F102" i="6"/>
  <c r="E102" i="6"/>
  <c r="E101" i="6"/>
  <c r="F101" i="6" s="1"/>
  <c r="F100" i="6"/>
  <c r="E100" i="6"/>
  <c r="D94" i="6"/>
  <c r="E94" i="6"/>
  <c r="C94" i="6"/>
  <c r="F94" i="6" s="1"/>
  <c r="D93" i="6"/>
  <c r="C93" i="6"/>
  <c r="E93" i="6" s="1"/>
  <c r="F93" i="6"/>
  <c r="D92" i="6"/>
  <c r="C92" i="6"/>
  <c r="D91" i="6"/>
  <c r="C91" i="6"/>
  <c r="D90" i="6"/>
  <c r="C90" i="6"/>
  <c r="D89" i="6"/>
  <c r="C89" i="6"/>
  <c r="D88" i="6"/>
  <c r="C88" i="6"/>
  <c r="D87" i="6"/>
  <c r="C87" i="6"/>
  <c r="D86" i="6"/>
  <c r="C86" i="6"/>
  <c r="D85" i="6"/>
  <c r="C85" i="6"/>
  <c r="D84" i="6"/>
  <c r="D95" i="6" s="1"/>
  <c r="C84" i="6"/>
  <c r="D81" i="6"/>
  <c r="C81" i="6"/>
  <c r="F80" i="6"/>
  <c r="E80" i="6"/>
  <c r="F79" i="6"/>
  <c r="E79" i="6"/>
  <c r="E78" i="6"/>
  <c r="F78" i="6" s="1"/>
  <c r="E77" i="6"/>
  <c r="F77" i="6" s="1"/>
  <c r="E76" i="6"/>
  <c r="F76" i="6"/>
  <c r="E75" i="6"/>
  <c r="F75" i="6"/>
  <c r="E74" i="6"/>
  <c r="F74" i="6" s="1"/>
  <c r="E73" i="6"/>
  <c r="F73" i="6" s="1"/>
  <c r="E72" i="6"/>
  <c r="F72" i="6"/>
  <c r="E71" i="6"/>
  <c r="F71" i="6" s="1"/>
  <c r="E70" i="6"/>
  <c r="F70" i="6" s="1"/>
  <c r="D68" i="6"/>
  <c r="C68" i="6"/>
  <c r="F67" i="6"/>
  <c r="E67" i="6"/>
  <c r="F66" i="6"/>
  <c r="E66" i="6"/>
  <c r="E65" i="6"/>
  <c r="F65" i="6" s="1"/>
  <c r="E64" i="6"/>
  <c r="F64" i="6"/>
  <c r="E63" i="6"/>
  <c r="F63" i="6"/>
  <c r="E62" i="6"/>
  <c r="F62" i="6" s="1"/>
  <c r="E61" i="6"/>
  <c r="F61" i="6" s="1"/>
  <c r="E60" i="6"/>
  <c r="F60" i="6" s="1"/>
  <c r="E59" i="6"/>
  <c r="F59" i="6"/>
  <c r="E58" i="6"/>
  <c r="F58" i="6"/>
  <c r="E57" i="6"/>
  <c r="F57" i="6" s="1"/>
  <c r="D51" i="6"/>
  <c r="C51" i="6"/>
  <c r="F51" i="6" s="1"/>
  <c r="D50" i="6"/>
  <c r="C50" i="6"/>
  <c r="F50" i="6"/>
  <c r="D49" i="6"/>
  <c r="C49" i="6"/>
  <c r="D48" i="6"/>
  <c r="C48" i="6"/>
  <c r="D47" i="6"/>
  <c r="C47" i="6"/>
  <c r="D46" i="6"/>
  <c r="C46" i="6"/>
  <c r="D45" i="6"/>
  <c r="C45" i="6"/>
  <c r="D44" i="6"/>
  <c r="C44" i="6"/>
  <c r="D43" i="6"/>
  <c r="C43" i="6"/>
  <c r="D42" i="6"/>
  <c r="C42" i="6"/>
  <c r="D41" i="6"/>
  <c r="E41" i="6" s="1"/>
  <c r="F41" i="6" s="1"/>
  <c r="D52" i="6"/>
  <c r="C41" i="6"/>
  <c r="D38" i="6"/>
  <c r="C38" i="6"/>
  <c r="F37" i="6"/>
  <c r="E37" i="6"/>
  <c r="F36" i="6"/>
  <c r="E36" i="6"/>
  <c r="E35" i="6"/>
  <c r="F35" i="6" s="1"/>
  <c r="E34" i="6"/>
  <c r="F34" i="6" s="1"/>
  <c r="E33" i="6"/>
  <c r="F33" i="6" s="1"/>
  <c r="E32" i="6"/>
  <c r="F32" i="6"/>
  <c r="E31" i="6"/>
  <c r="F31" i="6" s="1"/>
  <c r="E30" i="6"/>
  <c r="F30" i="6" s="1"/>
  <c r="E29" i="6"/>
  <c r="F29" i="6"/>
  <c r="E28" i="6"/>
  <c r="F28" i="6" s="1"/>
  <c r="E27" i="6"/>
  <c r="F27" i="6" s="1"/>
  <c r="D25" i="6"/>
  <c r="C25" i="6"/>
  <c r="F24" i="6"/>
  <c r="E24" i="6"/>
  <c r="F23" i="6"/>
  <c r="E23" i="6"/>
  <c r="E22" i="6"/>
  <c r="F22" i="6" s="1"/>
  <c r="E21" i="6"/>
  <c r="F21" i="6" s="1"/>
  <c r="E20" i="6"/>
  <c r="F20" i="6"/>
  <c r="E19" i="6"/>
  <c r="F19" i="6"/>
  <c r="E18" i="6"/>
  <c r="F18" i="6" s="1"/>
  <c r="E17" i="6"/>
  <c r="F17" i="6" s="1"/>
  <c r="E16" i="6"/>
  <c r="F16" i="6" s="1"/>
  <c r="E15" i="6"/>
  <c r="F15" i="6"/>
  <c r="E14" i="6"/>
  <c r="F14" i="6" s="1"/>
  <c r="F51" i="5"/>
  <c r="E51" i="5"/>
  <c r="D48" i="5"/>
  <c r="E48" i="5" s="1"/>
  <c r="C48" i="5"/>
  <c r="F48" i="5"/>
  <c r="F47" i="5"/>
  <c r="E47" i="5"/>
  <c r="F46" i="5"/>
  <c r="E46" i="5"/>
  <c r="D41" i="5"/>
  <c r="E41" i="5" s="1"/>
  <c r="F41" i="5" s="1"/>
  <c r="C41" i="5"/>
  <c r="E40" i="5"/>
  <c r="F40" i="5"/>
  <c r="F39" i="5"/>
  <c r="E39" i="5"/>
  <c r="E38" i="5"/>
  <c r="F38" i="5"/>
  <c r="D33" i="5"/>
  <c r="E33" i="5" s="1"/>
  <c r="F33" i="5" s="1"/>
  <c r="C33" i="5"/>
  <c r="E32" i="5"/>
  <c r="F32" i="5" s="1"/>
  <c r="E31" i="5"/>
  <c r="F31" i="5" s="1"/>
  <c r="E30" i="5"/>
  <c r="F30" i="5" s="1"/>
  <c r="E29" i="5"/>
  <c r="F29" i="5" s="1"/>
  <c r="E28" i="5"/>
  <c r="F28" i="5" s="1"/>
  <c r="E27" i="5"/>
  <c r="F27" i="5" s="1"/>
  <c r="E26" i="5"/>
  <c r="F26" i="5"/>
  <c r="E25" i="5"/>
  <c r="F25" i="5" s="1"/>
  <c r="E24" i="5"/>
  <c r="F24" i="5" s="1"/>
  <c r="E20" i="5"/>
  <c r="F20" i="5" s="1"/>
  <c r="E19" i="5"/>
  <c r="F19" i="5"/>
  <c r="F17" i="5"/>
  <c r="E17" i="5"/>
  <c r="D16" i="5"/>
  <c r="D18" i="5" s="1"/>
  <c r="D21" i="5" s="1"/>
  <c r="C16" i="5"/>
  <c r="F15" i="5"/>
  <c r="E15" i="5"/>
  <c r="E14" i="5"/>
  <c r="F14" i="5"/>
  <c r="E13" i="5"/>
  <c r="F13" i="5"/>
  <c r="E12" i="5"/>
  <c r="F12" i="5"/>
  <c r="D73" i="4"/>
  <c r="C73" i="4"/>
  <c r="E72" i="4"/>
  <c r="F72" i="4" s="1"/>
  <c r="E71" i="4"/>
  <c r="F71" i="4" s="1"/>
  <c r="E70" i="4"/>
  <c r="F70" i="4" s="1"/>
  <c r="F67" i="4"/>
  <c r="E67" i="4"/>
  <c r="F64" i="4"/>
  <c r="E64" i="4"/>
  <c r="F63" i="4"/>
  <c r="E63" i="4"/>
  <c r="D61" i="4"/>
  <c r="D65" i="4" s="1"/>
  <c r="C61" i="4"/>
  <c r="F60" i="4"/>
  <c r="E60" i="4"/>
  <c r="F59" i="4"/>
  <c r="E59" i="4"/>
  <c r="D56" i="4"/>
  <c r="C56" i="4"/>
  <c r="F55" i="4"/>
  <c r="E55" i="4"/>
  <c r="E54" i="4"/>
  <c r="F54" i="4" s="1"/>
  <c r="F53" i="4"/>
  <c r="E53" i="4"/>
  <c r="F52" i="4"/>
  <c r="E52" i="4"/>
  <c r="E51" i="4"/>
  <c r="F51" i="4" s="1"/>
  <c r="E50" i="4"/>
  <c r="F50" i="4" s="1"/>
  <c r="A50" i="4"/>
  <c r="A51" i="4"/>
  <c r="A52" i="4"/>
  <c r="A53" i="4"/>
  <c r="A54" i="4"/>
  <c r="A55" i="4"/>
  <c r="E49" i="4"/>
  <c r="F49" i="4" s="1"/>
  <c r="F40" i="4"/>
  <c r="E40" i="4"/>
  <c r="D38" i="4"/>
  <c r="D41" i="4"/>
  <c r="C38" i="4"/>
  <c r="E37" i="4"/>
  <c r="F37" i="4" s="1"/>
  <c r="E36" i="4"/>
  <c r="F36" i="4" s="1"/>
  <c r="E33" i="4"/>
  <c r="F33" i="4" s="1"/>
  <c r="E32" i="4"/>
  <c r="F32" i="4"/>
  <c r="F31" i="4"/>
  <c r="E31" i="4"/>
  <c r="D29" i="4"/>
  <c r="C29" i="4"/>
  <c r="E28" i="4"/>
  <c r="F28" i="4" s="1"/>
  <c r="E27" i="4"/>
  <c r="F27" i="4"/>
  <c r="F26" i="4"/>
  <c r="E26" i="4"/>
  <c r="E25" i="4"/>
  <c r="F25" i="4" s="1"/>
  <c r="D22" i="4"/>
  <c r="D43" i="4" s="1"/>
  <c r="C22" i="4"/>
  <c r="E21" i="4"/>
  <c r="F21" i="4" s="1"/>
  <c r="E20" i="4"/>
  <c r="F20" i="4" s="1"/>
  <c r="E19" i="4"/>
  <c r="F19" i="4" s="1"/>
  <c r="F18" i="4"/>
  <c r="E18" i="4"/>
  <c r="F17" i="4"/>
  <c r="E17" i="4"/>
  <c r="F16" i="4"/>
  <c r="E16" i="4"/>
  <c r="E15" i="4"/>
  <c r="F15" i="4" s="1"/>
  <c r="F14" i="4"/>
  <c r="E14" i="4"/>
  <c r="E13" i="4"/>
  <c r="F13" i="4"/>
  <c r="C109" i="22"/>
  <c r="C108" i="22"/>
  <c r="E109" i="22"/>
  <c r="E108" i="22"/>
  <c r="D22" i="22"/>
  <c r="E30" i="22"/>
  <c r="D33" i="22"/>
  <c r="E36" i="22"/>
  <c r="E40" i="22"/>
  <c r="C46" i="22"/>
  <c r="E46" i="22"/>
  <c r="E54" i="22"/>
  <c r="C102" i="22"/>
  <c r="E102" i="22"/>
  <c r="C22" i="22"/>
  <c r="E22" i="22"/>
  <c r="D23" i="22"/>
  <c r="F21" i="21"/>
  <c r="C41" i="20"/>
  <c r="F40" i="20"/>
  <c r="D41" i="20"/>
  <c r="E39" i="20"/>
  <c r="F39" i="20" s="1"/>
  <c r="E41" i="20"/>
  <c r="E24" i="17"/>
  <c r="F24" i="17" s="1"/>
  <c r="E29" i="17"/>
  <c r="E36" i="17"/>
  <c r="E44" i="17"/>
  <c r="D192" i="17"/>
  <c r="E192" i="17" s="1"/>
  <c r="E19" i="20"/>
  <c r="F19" i="20"/>
  <c r="C38" i="19"/>
  <c r="C127" i="19"/>
  <c r="C129" i="19" s="1"/>
  <c r="C133" i="19" s="1"/>
  <c r="C22" i="19"/>
  <c r="E17" i="17"/>
  <c r="E52" i="17"/>
  <c r="E53" i="17"/>
  <c r="E58" i="17"/>
  <c r="F58" i="17" s="1"/>
  <c r="E294" i="17"/>
  <c r="F294" i="17" s="1"/>
  <c r="E295" i="17"/>
  <c r="F295" i="17" s="1"/>
  <c r="E296" i="17"/>
  <c r="F296" i="17" s="1"/>
  <c r="E297" i="17"/>
  <c r="F297" i="17" s="1"/>
  <c r="E299" i="17"/>
  <c r="D283" i="18"/>
  <c r="C22" i="18"/>
  <c r="E36" i="18"/>
  <c r="E54" i="18"/>
  <c r="D289" i="18"/>
  <c r="D71" i="18"/>
  <c r="D65" i="18"/>
  <c r="D66" i="18" s="1"/>
  <c r="E69" i="18"/>
  <c r="E21" i="18"/>
  <c r="E37" i="18"/>
  <c r="E139" i="18"/>
  <c r="D144" i="18"/>
  <c r="C145" i="18"/>
  <c r="E157" i="18"/>
  <c r="E156" i="18"/>
  <c r="D175" i="18"/>
  <c r="E175" i="18" s="1"/>
  <c r="C229" i="18"/>
  <c r="C210" i="18"/>
  <c r="C180" i="18" s="1"/>
  <c r="E205" i="18"/>
  <c r="D241" i="18"/>
  <c r="E242" i="18"/>
  <c r="E243" i="18"/>
  <c r="E302" i="18"/>
  <c r="C303" i="18"/>
  <c r="E303" i="18" s="1"/>
  <c r="C306" i="18"/>
  <c r="E306" i="18" s="1"/>
  <c r="C310" i="18"/>
  <c r="C261" i="18"/>
  <c r="C189" i="18"/>
  <c r="D260" i="18"/>
  <c r="E195" i="18"/>
  <c r="D306" i="18"/>
  <c r="D320" i="18"/>
  <c r="E316" i="18"/>
  <c r="E215" i="18"/>
  <c r="C217" i="18"/>
  <c r="E219" i="18"/>
  <c r="D222" i="18"/>
  <c r="D246" i="18" s="1"/>
  <c r="C252" i="18"/>
  <c r="E265" i="18"/>
  <c r="E314" i="18"/>
  <c r="E216" i="18"/>
  <c r="E218" i="18"/>
  <c r="C222" i="18"/>
  <c r="E233" i="18"/>
  <c r="E301" i="18"/>
  <c r="C32" i="17"/>
  <c r="C90" i="17"/>
  <c r="E60" i="17"/>
  <c r="F60" i="17"/>
  <c r="D61" i="17"/>
  <c r="D207" i="17"/>
  <c r="D208" i="17" s="1"/>
  <c r="D138" i="17"/>
  <c r="E137" i="17"/>
  <c r="E31" i="17"/>
  <c r="F31" i="17" s="1"/>
  <c r="D32" i="17"/>
  <c r="D160" i="17"/>
  <c r="E160" i="17" s="1"/>
  <c r="C61" i="17"/>
  <c r="F89" i="17"/>
  <c r="D173" i="17"/>
  <c r="E172" i="17"/>
  <c r="F17" i="17"/>
  <c r="D21" i="17"/>
  <c r="F29" i="17"/>
  <c r="F36" i="17"/>
  <c r="F44" i="17"/>
  <c r="F52" i="17"/>
  <c r="F53" i="17"/>
  <c r="E88" i="17"/>
  <c r="F88" i="17" s="1"/>
  <c r="E109" i="17"/>
  <c r="F109" i="17"/>
  <c r="C193" i="17"/>
  <c r="C192" i="17"/>
  <c r="E123" i="17"/>
  <c r="F123" i="17"/>
  <c r="C124" i="17"/>
  <c r="E124" i="17" s="1"/>
  <c r="C125" i="17"/>
  <c r="E136" i="17"/>
  <c r="F136" i="17"/>
  <c r="E158" i="17"/>
  <c r="E171" i="17"/>
  <c r="F179" i="17"/>
  <c r="D181" i="17"/>
  <c r="E181" i="17"/>
  <c r="D278" i="17"/>
  <c r="E278" i="17" s="1"/>
  <c r="F278" i="17" s="1"/>
  <c r="E189" i="17"/>
  <c r="F189" i="17" s="1"/>
  <c r="D262" i="17"/>
  <c r="D215" i="17"/>
  <c r="D290" i="17"/>
  <c r="D274" i="17"/>
  <c r="E198" i="17"/>
  <c r="F198" i="17"/>
  <c r="D199" i="17"/>
  <c r="E20" i="17"/>
  <c r="F20" i="17"/>
  <c r="C21" i="17"/>
  <c r="E30" i="17"/>
  <c r="F30" i="17" s="1"/>
  <c r="E35" i="17"/>
  <c r="F35" i="17" s="1"/>
  <c r="C37" i="17"/>
  <c r="E47" i="17"/>
  <c r="F47" i="17"/>
  <c r="E59" i="17"/>
  <c r="F59" i="17"/>
  <c r="E66" i="17"/>
  <c r="F66" i="17" s="1"/>
  <c r="E76" i="17"/>
  <c r="F76" i="17" s="1"/>
  <c r="D124" i="17"/>
  <c r="D277" i="17"/>
  <c r="E188" i="17"/>
  <c r="F188" i="17"/>
  <c r="D261" i="17"/>
  <c r="D263" i="17" s="1"/>
  <c r="D214" i="17"/>
  <c r="D206" i="17"/>
  <c r="D280" i="17"/>
  <c r="D264" i="17"/>
  <c r="D200" i="17"/>
  <c r="D193" i="17"/>
  <c r="D266" i="17" s="1"/>
  <c r="D265" i="17" s="1"/>
  <c r="D283" i="17"/>
  <c r="D267" i="17"/>
  <c r="D285" i="17"/>
  <c r="D269" i="17"/>
  <c r="D205" i="17"/>
  <c r="D227" i="17"/>
  <c r="E227" i="17"/>
  <c r="F227" i="17" s="1"/>
  <c r="D239" i="17"/>
  <c r="C287" i="17"/>
  <c r="C279" i="17"/>
  <c r="C190" i="17"/>
  <c r="C290" i="17"/>
  <c r="C274" i="17"/>
  <c r="C199" i="17"/>
  <c r="C283" i="17"/>
  <c r="C286" i="17" s="1"/>
  <c r="E286" i="17" s="1"/>
  <c r="C267" i="17"/>
  <c r="E203" i="17"/>
  <c r="F203" i="17" s="1"/>
  <c r="C285" i="17"/>
  <c r="C269" i="17"/>
  <c r="E204" i="17"/>
  <c r="F204" i="17"/>
  <c r="C205" i="17"/>
  <c r="E205" i="17" s="1"/>
  <c r="C206" i="17"/>
  <c r="C214" i="17"/>
  <c r="C216" i="17" s="1"/>
  <c r="C215" i="17"/>
  <c r="E250" i="17"/>
  <c r="F250" i="17" s="1"/>
  <c r="C254" i="17"/>
  <c r="C255" i="17"/>
  <c r="C261" i="17"/>
  <c r="C262" i="17"/>
  <c r="C272" i="17" s="1"/>
  <c r="C264" i="17"/>
  <c r="F298" i="17"/>
  <c r="F299" i="17"/>
  <c r="I31" i="14"/>
  <c r="I17" i="14"/>
  <c r="D31" i="14"/>
  <c r="F31" i="14"/>
  <c r="H31" i="14"/>
  <c r="C33" i="14"/>
  <c r="C36" i="14"/>
  <c r="C38" i="14"/>
  <c r="C40" i="14" s="1"/>
  <c r="E33" i="14"/>
  <c r="E36" i="14" s="1"/>
  <c r="E38" i="14" s="1"/>
  <c r="E40" i="14"/>
  <c r="G33" i="14"/>
  <c r="G36" i="14" s="1"/>
  <c r="H17" i="14"/>
  <c r="C21" i="13"/>
  <c r="D21" i="13"/>
  <c r="D15" i="13"/>
  <c r="D24" i="13" s="1"/>
  <c r="D20" i="13" s="1"/>
  <c r="C17" i="13"/>
  <c r="C28" i="13"/>
  <c r="D48" i="13"/>
  <c r="D42" i="13" s="1"/>
  <c r="D20" i="12"/>
  <c r="E15" i="12"/>
  <c r="F15" i="12" s="1"/>
  <c r="C17" i="12"/>
  <c r="C20" i="12" s="1"/>
  <c r="E40" i="12"/>
  <c r="F40" i="12" s="1"/>
  <c r="E47" i="12"/>
  <c r="F73" i="11"/>
  <c r="E22" i="11"/>
  <c r="F22" i="11" s="1"/>
  <c r="E38" i="11"/>
  <c r="F38" i="11"/>
  <c r="E56" i="11"/>
  <c r="F56" i="11"/>
  <c r="F120" i="10"/>
  <c r="E112" i="10"/>
  <c r="F112" i="10"/>
  <c r="E113" i="10"/>
  <c r="F113" i="10" s="1"/>
  <c r="F207" i="9"/>
  <c r="F206" i="9"/>
  <c r="E198" i="9"/>
  <c r="F198" i="9"/>
  <c r="E199" i="9"/>
  <c r="F199" i="9" s="1"/>
  <c r="E137" i="8"/>
  <c r="E135" i="8"/>
  <c r="C157" i="8"/>
  <c r="C155" i="8"/>
  <c r="D156" i="8"/>
  <c r="D154" i="8"/>
  <c r="D152" i="8"/>
  <c r="D157" i="8"/>
  <c r="D158" i="8" s="1"/>
  <c r="D155" i="8"/>
  <c r="D153" i="8"/>
  <c r="D15" i="8"/>
  <c r="C17" i="8"/>
  <c r="C43" i="8"/>
  <c r="E43" i="8"/>
  <c r="D49" i="8"/>
  <c r="C53" i="8"/>
  <c r="E53" i="8"/>
  <c r="D57" i="8"/>
  <c r="D62" i="8" s="1"/>
  <c r="D77" i="8"/>
  <c r="D71" i="8"/>
  <c r="D43" i="8"/>
  <c r="C49" i="8"/>
  <c r="E49" i="8"/>
  <c r="C77" i="8"/>
  <c r="C71" i="8" s="1"/>
  <c r="E90" i="7"/>
  <c r="F90" i="7" s="1"/>
  <c r="E183" i="7"/>
  <c r="F183" i="7"/>
  <c r="F179" i="6"/>
  <c r="E25" i="6"/>
  <c r="F25" i="6" s="1"/>
  <c r="E38" i="6"/>
  <c r="F38" i="6" s="1"/>
  <c r="E43" i="6"/>
  <c r="F43" i="6"/>
  <c r="E44" i="6"/>
  <c r="F44" i="6"/>
  <c r="E47" i="6"/>
  <c r="F47" i="6"/>
  <c r="E48" i="6"/>
  <c r="F48" i="6"/>
  <c r="E50" i="6"/>
  <c r="E51" i="6"/>
  <c r="E68" i="6"/>
  <c r="F68" i="6"/>
  <c r="E81" i="6"/>
  <c r="F81" i="6"/>
  <c r="E84" i="6"/>
  <c r="F84" i="6" s="1"/>
  <c r="E86" i="6"/>
  <c r="F86" i="6"/>
  <c r="E87" i="6"/>
  <c r="F87" i="6" s="1"/>
  <c r="E88" i="6"/>
  <c r="F88" i="6" s="1"/>
  <c r="E90" i="6"/>
  <c r="F90" i="6"/>
  <c r="E91" i="6"/>
  <c r="F91" i="6"/>
  <c r="E92" i="6"/>
  <c r="F92" i="6" s="1"/>
  <c r="E16" i="5"/>
  <c r="F16" i="5" s="1"/>
  <c r="C18" i="5"/>
  <c r="E22" i="4"/>
  <c r="F22" i="4"/>
  <c r="E29" i="4"/>
  <c r="F29" i="4" s="1"/>
  <c r="E73" i="4"/>
  <c r="F73" i="4" s="1"/>
  <c r="E53" i="22"/>
  <c r="E45" i="22"/>
  <c r="E39" i="22"/>
  <c r="E35" i="22"/>
  <c r="E29" i="22"/>
  <c r="E110" i="22"/>
  <c r="E113" i="22"/>
  <c r="E56" i="22"/>
  <c r="E48" i="22"/>
  <c r="E38" i="22"/>
  <c r="D53" i="22"/>
  <c r="D45" i="22"/>
  <c r="D39" i="22"/>
  <c r="D54" i="22"/>
  <c r="D46" i="22"/>
  <c r="D40" i="22"/>
  <c r="D36" i="22"/>
  <c r="D30" i="22"/>
  <c r="C53" i="22"/>
  <c r="C45" i="22"/>
  <c r="C39" i="22"/>
  <c r="C35" i="22"/>
  <c r="C29" i="22"/>
  <c r="C47" i="22" s="1"/>
  <c r="C110" i="22"/>
  <c r="F41" i="20"/>
  <c r="E222" i="18"/>
  <c r="D310" i="18"/>
  <c r="E310" i="18"/>
  <c r="D145" i="18"/>
  <c r="E144" i="18"/>
  <c r="D168" i="18"/>
  <c r="E168" i="18" s="1"/>
  <c r="C168" i="18"/>
  <c r="E22" i="18"/>
  <c r="C223" i="18"/>
  <c r="C211" i="18"/>
  <c r="C234" i="18"/>
  <c r="C288" i="17"/>
  <c r="E269" i="17"/>
  <c r="F269" i="17"/>
  <c r="D270" i="17"/>
  <c r="E214" i="17"/>
  <c r="F214" i="17"/>
  <c r="D254" i="17"/>
  <c r="D216" i="17"/>
  <c r="E216" i="17" s="1"/>
  <c r="E290" i="17"/>
  <c r="F290" i="17" s="1"/>
  <c r="D272" i="17"/>
  <c r="D288" i="17"/>
  <c r="E288" i="17"/>
  <c r="D125" i="17"/>
  <c r="E125" i="17" s="1"/>
  <c r="D175" i="17"/>
  <c r="D176" i="17" s="1"/>
  <c r="D62" i="17"/>
  <c r="D63" i="17" s="1"/>
  <c r="E285" i="17"/>
  <c r="F285" i="17"/>
  <c r="D286" i="17"/>
  <c r="D271" i="17"/>
  <c r="D304" i="17" s="1"/>
  <c r="D268" i="17"/>
  <c r="D287" i="17"/>
  <c r="E287" i="17" s="1"/>
  <c r="D284" i="17"/>
  <c r="C304" i="17"/>
  <c r="E199" i="17"/>
  <c r="F199" i="17"/>
  <c r="E274" i="17"/>
  <c r="F274" i="17"/>
  <c r="E215" i="17"/>
  <c r="F215" i="17" s="1"/>
  <c r="D255" i="17"/>
  <c r="E255" i="17" s="1"/>
  <c r="F255" i="17" s="1"/>
  <c r="F124" i="17"/>
  <c r="F192" i="17"/>
  <c r="D161" i="17"/>
  <c r="D162" i="17" s="1"/>
  <c r="D126" i="17"/>
  <c r="D91" i="17"/>
  <c r="D49" i="17"/>
  <c r="E37" i="17"/>
  <c r="F37" i="17"/>
  <c r="E190" i="17"/>
  <c r="F190" i="17" s="1"/>
  <c r="F160" i="17"/>
  <c r="C62" i="17"/>
  <c r="G38" i="14"/>
  <c r="G40" i="14" s="1"/>
  <c r="D34" i="12"/>
  <c r="D42" i="12" s="1"/>
  <c r="E20" i="12"/>
  <c r="F20" i="12" s="1"/>
  <c r="E17" i="12"/>
  <c r="F17" i="12"/>
  <c r="C112" i="8"/>
  <c r="C111" i="8" s="1"/>
  <c r="C28" i="8"/>
  <c r="D24" i="8"/>
  <c r="D17" i="8"/>
  <c r="C21" i="5"/>
  <c r="D35" i="5"/>
  <c r="D43" i="5" s="1"/>
  <c r="E21" i="5"/>
  <c r="F21" i="5" s="1"/>
  <c r="E18" i="5"/>
  <c r="F18" i="5"/>
  <c r="C55" i="22"/>
  <c r="D56" i="22"/>
  <c r="D48" i="22"/>
  <c r="D38" i="22"/>
  <c r="E55" i="22"/>
  <c r="E47" i="22"/>
  <c r="E37" i="22"/>
  <c r="E112" i="22"/>
  <c r="D169" i="18"/>
  <c r="E145" i="18"/>
  <c r="D92" i="17"/>
  <c r="D291" i="17"/>
  <c r="D289" i="17"/>
  <c r="C63" i="17"/>
  <c r="D50" i="17"/>
  <c r="D209" i="17"/>
  <c r="E254" i="17"/>
  <c r="F254" i="17"/>
  <c r="F288" i="17"/>
  <c r="C34" i="12"/>
  <c r="C42" i="12" s="1"/>
  <c r="D28" i="8"/>
  <c r="D112" i="8"/>
  <c r="D111" i="8" s="1"/>
  <c r="C99" i="8"/>
  <c r="C101" i="8"/>
  <c r="C98" i="8"/>
  <c r="C35" i="5"/>
  <c r="E34" i="12"/>
  <c r="F34" i="12"/>
  <c r="D99" i="8"/>
  <c r="D101" i="8" s="1"/>
  <c r="D98" i="8" s="1"/>
  <c r="C43" i="5"/>
  <c r="E35" i="5"/>
  <c r="F35" i="5"/>
  <c r="C50" i="5"/>
  <c r="D323" i="17" l="1"/>
  <c r="E206" i="17"/>
  <c r="F206" i="17" s="1"/>
  <c r="E49" i="6"/>
  <c r="D183" i="17"/>
  <c r="C49" i="12"/>
  <c r="F42" i="12"/>
  <c r="C282" i="17"/>
  <c r="C266" i="17"/>
  <c r="E266" i="17" s="1"/>
  <c r="C194" i="17"/>
  <c r="E42" i="12"/>
  <c r="D49" i="12"/>
  <c r="E268" i="17"/>
  <c r="E45" i="6"/>
  <c r="F45" i="6" s="1"/>
  <c r="F63" i="17"/>
  <c r="E304" i="17"/>
  <c r="F304" i="17" s="1"/>
  <c r="C70" i="13"/>
  <c r="C72" i="13" s="1"/>
  <c r="C69" i="13" s="1"/>
  <c r="C22" i="13"/>
  <c r="C75" i="4"/>
  <c r="E56" i="4"/>
  <c r="F56" i="4"/>
  <c r="E95" i="6"/>
  <c r="C65" i="11"/>
  <c r="F61" i="11"/>
  <c r="E61" i="11"/>
  <c r="F264" i="17"/>
  <c r="C300" i="17"/>
  <c r="F49" i="6"/>
  <c r="E43" i="5"/>
  <c r="F43" i="5" s="1"/>
  <c r="D50" i="5"/>
  <c r="E50" i="5" s="1"/>
  <c r="F50" i="5" s="1"/>
  <c r="E272" i="17"/>
  <c r="F272" i="17" s="1"/>
  <c r="E41" i="4"/>
  <c r="D70" i="17"/>
  <c r="E63" i="17"/>
  <c r="C91" i="17"/>
  <c r="E21" i="17"/>
  <c r="F21" i="17"/>
  <c r="C196" i="17"/>
  <c r="C49" i="17"/>
  <c r="C161" i="17"/>
  <c r="C126" i="17"/>
  <c r="C65" i="4"/>
  <c r="E61" i="4"/>
  <c r="F61" i="4" s="1"/>
  <c r="E141" i="8"/>
  <c r="C291" i="17"/>
  <c r="C289" i="17"/>
  <c r="F287" i="17"/>
  <c r="F125" i="17"/>
  <c r="D127" i="17"/>
  <c r="E126" i="17"/>
  <c r="F216" i="17"/>
  <c r="F267" i="17"/>
  <c r="C270" i="17"/>
  <c r="E267" i="17"/>
  <c r="E260" i="18"/>
  <c r="E263" i="17"/>
  <c r="C174" i="17"/>
  <c r="C139" i="17"/>
  <c r="E65" i="11"/>
  <c r="E139" i="8"/>
  <c r="E85" i="6"/>
  <c r="E161" i="17"/>
  <c r="F208" i="9"/>
  <c r="F43" i="11"/>
  <c r="D20" i="8"/>
  <c r="F205" i="17"/>
  <c r="F36" i="14"/>
  <c r="F38" i="14" s="1"/>
  <c r="F40" i="14" s="1"/>
  <c r="D300" i="17"/>
  <c r="E264" i="17"/>
  <c r="D279" i="17"/>
  <c r="E279" i="17" s="1"/>
  <c r="D140" i="17"/>
  <c r="E32" i="17"/>
  <c r="F32" i="17" s="1"/>
  <c r="F41" i="7"/>
  <c r="C95" i="7"/>
  <c r="E21" i="8"/>
  <c r="C153" i="8"/>
  <c r="C156" i="8"/>
  <c r="C154" i="8"/>
  <c r="C152" i="8"/>
  <c r="C158" i="8" s="1"/>
  <c r="D102" i="17"/>
  <c r="E101" i="17"/>
  <c r="F101" i="17" s="1"/>
  <c r="F172" i="17"/>
  <c r="C173" i="17"/>
  <c r="C280" i="17"/>
  <c r="E191" i="17"/>
  <c r="F191" i="17" s="1"/>
  <c r="C200" i="17"/>
  <c r="E41" i="18"/>
  <c r="C43" i="18"/>
  <c r="D76" i="18"/>
  <c r="E70" i="18"/>
  <c r="E24" i="13"/>
  <c r="E17" i="13"/>
  <c r="E28" i="13" s="1"/>
  <c r="E70" i="13" s="1"/>
  <c r="E72" i="13" s="1"/>
  <c r="E69" i="13" s="1"/>
  <c r="C181" i="18"/>
  <c r="F85" i="6"/>
  <c r="C95" i="6"/>
  <c r="D139" i="8"/>
  <c r="D137" i="8"/>
  <c r="D135" i="8"/>
  <c r="D140" i="8"/>
  <c r="C271" i="17"/>
  <c r="C268" i="17"/>
  <c r="C263" i="17"/>
  <c r="D223" i="18"/>
  <c r="E38" i="4"/>
  <c r="F38" i="4"/>
  <c r="C41" i="4"/>
  <c r="D75" i="4"/>
  <c r="E75" i="4" s="1"/>
  <c r="E42" i="6"/>
  <c r="F42" i="6" s="1"/>
  <c r="C52" i="6"/>
  <c r="E89" i="6"/>
  <c r="F111" i="6"/>
  <c r="E88" i="8"/>
  <c r="E90" i="8" s="1"/>
  <c r="E86" i="8" s="1"/>
  <c r="E77" i="8"/>
  <c r="E71" i="8" s="1"/>
  <c r="E163" i="18"/>
  <c r="D189" i="18"/>
  <c r="E189" i="18" s="1"/>
  <c r="D261" i="18"/>
  <c r="E261" i="18" s="1"/>
  <c r="E188" i="18"/>
  <c r="D245" i="18"/>
  <c r="E221" i="18"/>
  <c r="D253" i="18"/>
  <c r="D254" i="18" s="1"/>
  <c r="E254" i="18" s="1"/>
  <c r="D305" i="17"/>
  <c r="E200" i="17"/>
  <c r="D139" i="17"/>
  <c r="E139" i="17" s="1"/>
  <c r="E61" i="17"/>
  <c r="C103" i="17"/>
  <c r="C207" i="17"/>
  <c r="C138" i="17"/>
  <c r="F237" i="17"/>
  <c r="C239" i="17"/>
  <c r="E239" i="17" s="1"/>
  <c r="E74" i="18"/>
  <c r="E231" i="18"/>
  <c r="D252" i="18"/>
  <c r="E252" i="18" s="1"/>
  <c r="E288" i="18"/>
  <c r="C30" i="22"/>
  <c r="C54" i="22"/>
  <c r="C111" i="22"/>
  <c r="C36" i="22"/>
  <c r="C40" i="22"/>
  <c r="D22" i="8"/>
  <c r="E62" i="17"/>
  <c r="F62" i="17" s="1"/>
  <c r="D273" i="17"/>
  <c r="F286" i="17"/>
  <c r="C112" i="22"/>
  <c r="D17" i="13"/>
  <c r="D28" i="13" s="1"/>
  <c r="I33" i="14"/>
  <c r="I36" i="14" s="1"/>
  <c r="I38" i="14" s="1"/>
  <c r="I40" i="14" s="1"/>
  <c r="D282" i="17"/>
  <c r="E277" i="17"/>
  <c r="F277" i="17" s="1"/>
  <c r="F61" i="17"/>
  <c r="D35" i="22"/>
  <c r="D29" i="22"/>
  <c r="E17" i="8"/>
  <c r="E24" i="8"/>
  <c r="E20" i="8" s="1"/>
  <c r="F146" i="17"/>
  <c r="C284" i="17"/>
  <c r="F89" i="6"/>
  <c r="D326" i="18"/>
  <c r="E324" i="18"/>
  <c r="E46" i="6"/>
  <c r="F46" i="6"/>
  <c r="C71" i="18"/>
  <c r="C65" i="18"/>
  <c r="C289" i="18"/>
  <c r="E60" i="18"/>
  <c r="C241" i="18"/>
  <c r="E241" i="18" s="1"/>
  <c r="E178" i="18"/>
  <c r="D210" i="17"/>
  <c r="C37" i="22"/>
  <c r="E261" i="17"/>
  <c r="F261" i="17" s="1"/>
  <c r="E283" i="17"/>
  <c r="F283" i="17" s="1"/>
  <c r="D174" i="17"/>
  <c r="D194" i="17"/>
  <c r="D136" i="8"/>
  <c r="E289" i="18"/>
  <c r="F137" i="6"/>
  <c r="E22" i="13"/>
  <c r="E20" i="13"/>
  <c r="E21" i="13"/>
  <c r="D146" i="17"/>
  <c r="E146" i="17" s="1"/>
  <c r="E144" i="17"/>
  <c r="F144" i="17" s="1"/>
  <c r="E262" i="17"/>
  <c r="F262" i="17"/>
  <c r="C254" i="18"/>
  <c r="E65" i="4"/>
  <c r="E140" i="8"/>
  <c r="E138" i="8"/>
  <c r="D77" i="22"/>
  <c r="D101" i="22"/>
  <c r="D103" i="22" s="1"/>
  <c r="E193" i="17"/>
  <c r="F193" i="17" s="1"/>
  <c r="D138" i="8"/>
  <c r="F279" i="17"/>
  <c r="F137" i="17"/>
  <c r="C163" i="18"/>
  <c r="F29" i="11"/>
  <c r="D90" i="17"/>
  <c r="E90" i="17" s="1"/>
  <c r="F90" i="17" s="1"/>
  <c r="E48" i="17"/>
  <c r="F48" i="17" s="1"/>
  <c r="D188" i="7"/>
  <c r="E188" i="7" s="1"/>
  <c r="E159" i="17"/>
  <c r="E72" i="18"/>
  <c r="E239" i="18"/>
  <c r="D95" i="7"/>
  <c r="E95" i="7" s="1"/>
  <c r="D33" i="18"/>
  <c r="E32" i="18"/>
  <c r="D294" i="18"/>
  <c r="E42" i="18"/>
  <c r="C283" i="18"/>
  <c r="E283" i="18" s="1"/>
  <c r="C55" i="18"/>
  <c r="C284" i="18" s="1"/>
  <c r="E284" i="18" s="1"/>
  <c r="D46" i="20"/>
  <c r="E43" i="20"/>
  <c r="E166" i="8"/>
  <c r="D244" i="18"/>
  <c r="E244" i="18" s="1"/>
  <c r="E220" i="18"/>
  <c r="C49" i="19"/>
  <c r="C64" i="19"/>
  <c r="C65" i="19" s="1"/>
  <c r="C114" i="19" s="1"/>
  <c r="C116" i="19" s="1"/>
  <c r="C119" i="19" s="1"/>
  <c r="C123" i="19" s="1"/>
  <c r="C27" i="8"/>
  <c r="E121" i="10"/>
  <c r="F121" i="10" s="1"/>
  <c r="C44" i="18"/>
  <c r="C245" i="18"/>
  <c r="C253" i="18"/>
  <c r="E279" i="18"/>
  <c r="D93" i="22"/>
  <c r="C79" i="8"/>
  <c r="E41" i="11"/>
  <c r="F41" i="11" s="1"/>
  <c r="D57" i="13"/>
  <c r="D44" i="18"/>
  <c r="E39" i="18"/>
  <c r="E277" i="18"/>
  <c r="E281" i="18"/>
  <c r="C101" i="22"/>
  <c r="C103" i="22" s="1"/>
  <c r="F167" i="7"/>
  <c r="C188" i="7"/>
  <c r="E60" i="15"/>
  <c r="D68" i="17"/>
  <c r="E68" i="17" s="1"/>
  <c r="F68" i="17" s="1"/>
  <c r="F94" i="17"/>
  <c r="F238" i="17"/>
  <c r="D210" i="18"/>
  <c r="D229" i="18"/>
  <c r="E229" i="18" s="1"/>
  <c r="E25" i="20"/>
  <c r="F25" i="20" s="1"/>
  <c r="F22" i="20"/>
  <c r="D90" i="8"/>
  <c r="D86" i="8" s="1"/>
  <c r="C149" i="8"/>
  <c r="D43" i="11"/>
  <c r="E43" i="11" s="1"/>
  <c r="D75" i="11"/>
  <c r="C50" i="13"/>
  <c r="F75" i="15"/>
  <c r="F223" i="17"/>
  <c r="E238" i="17"/>
  <c r="E40" i="18"/>
  <c r="E278" i="18"/>
  <c r="E282" i="18"/>
  <c r="E151" i="18"/>
  <c r="E36" i="20"/>
  <c r="F36" i="20" s="1"/>
  <c r="C66" i="18" l="1"/>
  <c r="C246" i="18"/>
  <c r="E246" i="18" s="1"/>
  <c r="C294" i="18"/>
  <c r="C273" i="17"/>
  <c r="E271" i="17"/>
  <c r="F271" i="17" s="1"/>
  <c r="F139" i="17"/>
  <c r="F291" i="17"/>
  <c r="C305" i="17"/>
  <c r="E305" i="17" s="1"/>
  <c r="D211" i="18"/>
  <c r="D180" i="18"/>
  <c r="E180" i="18" s="1"/>
  <c r="E210" i="18"/>
  <c r="D234" i="18"/>
  <c r="E234" i="18" s="1"/>
  <c r="E284" i="17"/>
  <c r="F284" i="17" s="1"/>
  <c r="F200" i="17"/>
  <c r="F174" i="17"/>
  <c r="C265" i="17"/>
  <c r="E55" i="18"/>
  <c r="D211" i="17"/>
  <c r="C48" i="22"/>
  <c r="C38" i="22"/>
  <c r="C113" i="22"/>
  <c r="C56" i="22"/>
  <c r="C208" i="17"/>
  <c r="F75" i="4"/>
  <c r="C135" i="8"/>
  <c r="C140" i="8"/>
  <c r="C138" i="8"/>
  <c r="C136" i="8"/>
  <c r="C139" i="8"/>
  <c r="C137" i="8"/>
  <c r="D98" i="18"/>
  <c r="D83" i="18"/>
  <c r="D87" i="18"/>
  <c r="E87" i="18" s="1"/>
  <c r="D95" i="18"/>
  <c r="D85" i="18"/>
  <c r="E85" i="18" s="1"/>
  <c r="D88" i="18"/>
  <c r="D258" i="18"/>
  <c r="D86" i="18"/>
  <c r="E44" i="18"/>
  <c r="D96" i="18"/>
  <c r="D89" i="18"/>
  <c r="E89" i="18" s="1"/>
  <c r="D99" i="18"/>
  <c r="E99" i="18" s="1"/>
  <c r="D97" i="18"/>
  <c r="E97" i="18" s="1"/>
  <c r="D101" i="18"/>
  <c r="D100" i="18"/>
  <c r="E100" i="18" s="1"/>
  <c r="D84" i="18"/>
  <c r="C99" i="18"/>
  <c r="C96" i="18"/>
  <c r="C102" i="18" s="1"/>
  <c r="C258" i="18"/>
  <c r="C98" i="18"/>
  <c r="C101" i="18"/>
  <c r="C97" i="18"/>
  <c r="C89" i="18"/>
  <c r="C95" i="18"/>
  <c r="C87" i="18"/>
  <c r="C83" i="18"/>
  <c r="C84" i="18"/>
  <c r="C88" i="18"/>
  <c r="C86" i="18"/>
  <c r="C100" i="18"/>
  <c r="C85" i="18"/>
  <c r="D108" i="22"/>
  <c r="D109" i="22"/>
  <c r="D110" i="22"/>
  <c r="D111" i="22"/>
  <c r="D113" i="22"/>
  <c r="E28" i="8"/>
  <c r="E112" i="8"/>
  <c r="E111" i="8" s="1"/>
  <c r="E282" i="17"/>
  <c r="D281" i="17"/>
  <c r="C105" i="17"/>
  <c r="D141" i="8"/>
  <c r="F173" i="17"/>
  <c r="C175" i="17"/>
  <c r="E91" i="17"/>
  <c r="F91" i="17"/>
  <c r="C92" i="17"/>
  <c r="F49" i="12"/>
  <c r="E154" i="8"/>
  <c r="E152" i="8"/>
  <c r="E158" i="8" s="1"/>
  <c r="E155" i="8"/>
  <c r="E157" i="8"/>
  <c r="E153" i="8"/>
  <c r="E156" i="8"/>
  <c r="D295" i="18"/>
  <c r="E33" i="18"/>
  <c r="D47" i="22"/>
  <c r="D37" i="22"/>
  <c r="D112" i="22"/>
  <c r="D55" i="22"/>
  <c r="E207" i="17"/>
  <c r="F207" i="17" s="1"/>
  <c r="E245" i="18"/>
  <c r="D247" i="18"/>
  <c r="E223" i="18"/>
  <c r="E300" i="17"/>
  <c r="F300" i="17" s="1"/>
  <c r="E173" i="17"/>
  <c r="F65" i="4"/>
  <c r="E49" i="12"/>
  <c r="E291" i="17"/>
  <c r="E65" i="18"/>
  <c r="E49" i="17"/>
  <c r="F49" i="17"/>
  <c r="C50" i="17"/>
  <c r="C76" i="18"/>
  <c r="C77" i="18" s="1"/>
  <c r="E71" i="18"/>
  <c r="C140" i="17"/>
  <c r="E138" i="17"/>
  <c r="F138" i="17" s="1"/>
  <c r="C43" i="4"/>
  <c r="F41" i="4"/>
  <c r="C235" i="18"/>
  <c r="D141" i="17"/>
  <c r="E270" i="17"/>
  <c r="F270" i="17" s="1"/>
  <c r="E253" i="18"/>
  <c r="C22" i="8"/>
  <c r="C20" i="8"/>
  <c r="C21" i="8"/>
  <c r="F43" i="20"/>
  <c r="E46" i="20"/>
  <c r="F46" i="20" s="1"/>
  <c r="F263" i="17"/>
  <c r="E76" i="18"/>
  <c r="D259" i="18"/>
  <c r="D77" i="18"/>
  <c r="F239" i="17"/>
  <c r="F266" i="17"/>
  <c r="F282" i="17"/>
  <c r="D309" i="17"/>
  <c r="E294" i="18"/>
  <c r="C281" i="17"/>
  <c r="E280" i="17"/>
  <c r="F280" i="17" s="1"/>
  <c r="F188" i="7"/>
  <c r="D195" i="17"/>
  <c r="E194" i="17"/>
  <c r="D196" i="17"/>
  <c r="F52" i="6"/>
  <c r="F95" i="7"/>
  <c r="C127" i="17"/>
  <c r="F126" i="17"/>
  <c r="E174" i="17"/>
  <c r="E326" i="18"/>
  <c r="D330" i="18"/>
  <c r="E330" i="18" s="1"/>
  <c r="D22" i="13"/>
  <c r="D70" i="13"/>
  <c r="D72" i="13" s="1"/>
  <c r="D69" i="13" s="1"/>
  <c r="F268" i="17"/>
  <c r="F95" i="6"/>
  <c r="C259" i="18"/>
  <c r="C263" i="18" s="1"/>
  <c r="E43" i="18"/>
  <c r="D103" i="17"/>
  <c r="E102" i="17"/>
  <c r="F102" i="17" s="1"/>
  <c r="C104" i="17"/>
  <c r="E289" i="17"/>
  <c r="F289" i="17" s="1"/>
  <c r="C162" i="17"/>
  <c r="F161" i="17"/>
  <c r="E52" i="6"/>
  <c r="C75" i="11"/>
  <c r="F65" i="11"/>
  <c r="C195" i="17"/>
  <c r="F194" i="17"/>
  <c r="F162" i="17" l="1"/>
  <c r="E162" i="17"/>
  <c r="C197" i="17"/>
  <c r="F127" i="17"/>
  <c r="C70" i="17"/>
  <c r="F50" i="17"/>
  <c r="E50" i="17"/>
  <c r="E99" i="8"/>
  <c r="E101" i="8" s="1"/>
  <c r="E98" i="8" s="1"/>
  <c r="E22" i="8"/>
  <c r="D121" i="18"/>
  <c r="D122" i="18"/>
  <c r="D114" i="18"/>
  <c r="E114" i="18" s="1"/>
  <c r="D115" i="18"/>
  <c r="E115" i="18" s="1"/>
  <c r="D112" i="18"/>
  <c r="E112" i="18" s="1"/>
  <c r="D113" i="18"/>
  <c r="D110" i="18"/>
  <c r="D111" i="18"/>
  <c r="E77" i="18"/>
  <c r="D127" i="18"/>
  <c r="D109" i="18"/>
  <c r="D125" i="18"/>
  <c r="E125" i="18" s="1"/>
  <c r="D126" i="18"/>
  <c r="D123" i="18"/>
  <c r="D124" i="18"/>
  <c r="C90" i="18"/>
  <c r="C91" i="18" s="1"/>
  <c r="C105" i="18" s="1"/>
  <c r="C264" i="18"/>
  <c r="C266" i="18" s="1"/>
  <c r="C267" i="18"/>
  <c r="D197" i="17"/>
  <c r="E197" i="17" s="1"/>
  <c r="E196" i="17"/>
  <c r="F196" i="17" s="1"/>
  <c r="E247" i="18"/>
  <c r="D102" i="18"/>
  <c r="E102" i="18" s="1"/>
  <c r="E96" i="18"/>
  <c r="E309" i="17"/>
  <c r="D310" i="17"/>
  <c r="F208" i="17"/>
  <c r="C210" i="17"/>
  <c r="C209" i="17"/>
  <c r="E208" i="17"/>
  <c r="F273" i="17"/>
  <c r="E103" i="17"/>
  <c r="F103" i="17" s="1"/>
  <c r="D104" i="17"/>
  <c r="E104" i="17" s="1"/>
  <c r="D105" i="17"/>
  <c r="D322" i="17"/>
  <c r="E141" i="17"/>
  <c r="E281" i="17"/>
  <c r="F281" i="17" s="1"/>
  <c r="C103" i="18"/>
  <c r="D90" i="18"/>
  <c r="E90" i="18" s="1"/>
  <c r="E84" i="18"/>
  <c r="E86" i="18"/>
  <c r="E265" i="17"/>
  <c r="F265" i="17" s="1"/>
  <c r="E43" i="4"/>
  <c r="F43" i="4" s="1"/>
  <c r="C176" i="17"/>
  <c r="C183" i="17" s="1"/>
  <c r="F175" i="17"/>
  <c r="E175" i="17"/>
  <c r="C247" i="18"/>
  <c r="E66" i="18"/>
  <c r="C295" i="18"/>
  <c r="D103" i="18"/>
  <c r="E103" i="18" s="1"/>
  <c r="E95" i="18"/>
  <c r="E259" i="18"/>
  <c r="D263" i="18"/>
  <c r="E263" i="18" s="1"/>
  <c r="C141" i="8"/>
  <c r="C141" i="17"/>
  <c r="E295" i="18"/>
  <c r="F75" i="11"/>
  <c r="E75" i="11"/>
  <c r="C106" i="17"/>
  <c r="E195" i="17"/>
  <c r="D148" i="17"/>
  <c r="E258" i="18"/>
  <c r="D264" i="18"/>
  <c r="E273" i="17"/>
  <c r="F305" i="17"/>
  <c r="C309" i="17"/>
  <c r="F195" i="17"/>
  <c r="F104" i="17"/>
  <c r="C324" i="17"/>
  <c r="F92" i="17"/>
  <c r="E92" i="17"/>
  <c r="D91" i="18"/>
  <c r="E83" i="18"/>
  <c r="E140" i="17"/>
  <c r="F140" i="17" s="1"/>
  <c r="E98" i="18"/>
  <c r="C122" i="18"/>
  <c r="C121" i="18"/>
  <c r="C115" i="18"/>
  <c r="C114" i="18"/>
  <c r="C113" i="18"/>
  <c r="C112" i="18"/>
  <c r="C111" i="18"/>
  <c r="C110" i="18"/>
  <c r="C116" i="18" s="1"/>
  <c r="C127" i="18"/>
  <c r="C126" i="18"/>
  <c r="C109" i="18"/>
  <c r="C125" i="18"/>
  <c r="C124" i="18"/>
  <c r="C123" i="18"/>
  <c r="E127" i="17"/>
  <c r="E101" i="18"/>
  <c r="E88" i="18"/>
  <c r="D235" i="18"/>
  <c r="E235" i="18" s="1"/>
  <c r="E211" i="18"/>
  <c r="D181" i="18"/>
  <c r="E181" i="18" s="1"/>
  <c r="F183" i="17" l="1"/>
  <c r="E183" i="17"/>
  <c r="C128" i="18"/>
  <c r="E210" i="17"/>
  <c r="F210" i="17" s="1"/>
  <c r="E70" i="17"/>
  <c r="F70" i="17" s="1"/>
  <c r="C322" i="17"/>
  <c r="C325" i="17" s="1"/>
  <c r="C211" i="17"/>
  <c r="F141" i="17"/>
  <c r="E148" i="17"/>
  <c r="D106" i="17"/>
  <c r="E105" i="17"/>
  <c r="F105" i="17" s="1"/>
  <c r="C269" i="18"/>
  <c r="C268" i="18"/>
  <c r="C271" i="18" s="1"/>
  <c r="C148" i="17"/>
  <c r="E121" i="18"/>
  <c r="D129" i="18"/>
  <c r="E91" i="18"/>
  <c r="D105" i="18"/>
  <c r="E105" i="18" s="1"/>
  <c r="F309" i="17"/>
  <c r="C310" i="17"/>
  <c r="E111" i="18"/>
  <c r="D266" i="18"/>
  <c r="E264" i="18"/>
  <c r="E126" i="18"/>
  <c r="D312" i="17"/>
  <c r="E310" i="17"/>
  <c r="E122" i="18"/>
  <c r="D128" i="18"/>
  <c r="F197" i="17"/>
  <c r="E124" i="18"/>
  <c r="D116" i="18"/>
  <c r="E116" i="18" s="1"/>
  <c r="E110" i="18"/>
  <c r="C129" i="18"/>
  <c r="F209" i="17"/>
  <c r="E209" i="17"/>
  <c r="E109" i="18"/>
  <c r="E127" i="18"/>
  <c r="C117" i="18"/>
  <c r="C113" i="17"/>
  <c r="F176" i="17"/>
  <c r="E176" i="17"/>
  <c r="E123" i="18"/>
  <c r="E113" i="18"/>
  <c r="C323" i="17"/>
  <c r="E106" i="17" l="1"/>
  <c r="F106" i="17" s="1"/>
  <c r="D113" i="17"/>
  <c r="E113" i="17" s="1"/>
  <c r="D324" i="17"/>
  <c r="E312" i="17"/>
  <c r="D313" i="17"/>
  <c r="E128" i="18"/>
  <c r="E266" i="18"/>
  <c r="D267" i="18"/>
  <c r="F310" i="17"/>
  <c r="C312" i="17"/>
  <c r="F113" i="17"/>
  <c r="C131" i="18"/>
  <c r="F323" i="17"/>
  <c r="E323" i="17"/>
  <c r="E129" i="18"/>
  <c r="E322" i="17"/>
  <c r="F322" i="17" s="1"/>
  <c r="D117" i="18"/>
  <c r="F148" i="17"/>
  <c r="E211" i="17"/>
  <c r="F211" i="17" s="1"/>
  <c r="F312" i="17" l="1"/>
  <c r="C313" i="17"/>
  <c r="D314" i="17"/>
  <c r="E313" i="17"/>
  <c r="D251" i="17"/>
  <c r="D315" i="17"/>
  <c r="D256" i="17"/>
  <c r="E324" i="17"/>
  <c r="F324" i="17" s="1"/>
  <c r="D325" i="17"/>
  <c r="E325" i="17" s="1"/>
  <c r="F325" i="17" s="1"/>
  <c r="D131" i="18"/>
  <c r="E131" i="18" s="1"/>
  <c r="E117" i="18"/>
  <c r="E267" i="18"/>
  <c r="D269" i="18"/>
  <c r="E269" i="18" s="1"/>
  <c r="D268" i="18"/>
  <c r="D257" i="17" l="1"/>
  <c r="D271" i="18"/>
  <c r="E271" i="18" s="1"/>
  <c r="E268" i="18"/>
  <c r="E315" i="17"/>
  <c r="E251" i="17"/>
  <c r="D318" i="17"/>
  <c r="C314" i="17"/>
  <c r="C251" i="17"/>
  <c r="F313" i="17"/>
  <c r="C315" i="17"/>
  <c r="C256" i="17"/>
  <c r="F256" i="17" l="1"/>
  <c r="C257" i="17"/>
  <c r="C318" i="17"/>
  <c r="E256" i="17"/>
  <c r="E314" i="17"/>
  <c r="F314" i="17" s="1"/>
  <c r="E318" i="17"/>
  <c r="F315" i="17"/>
  <c r="F251" i="17"/>
  <c r="E257" i="17"/>
  <c r="F318" i="17" l="1"/>
  <c r="F257" i="17"/>
</calcChain>
</file>

<file path=xl/sharedStrings.xml><?xml version="1.0" encoding="utf-8"?>
<sst xmlns="http://schemas.openxmlformats.org/spreadsheetml/2006/main" count="2335" uniqueCount="1010">
  <si>
    <t>JOHNSON MEMORIAL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</si>
  <si>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</si>
  <si>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</si>
  <si>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</si>
  <si>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</si>
  <si>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</si>
  <si>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</si>
  <si>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</si>
  <si>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</si>
  <si>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</si>
  <si>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</si>
  <si>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</si>
  <si>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</si>
  <si>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</si>
  <si>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</si>
  <si>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</si>
  <si>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</si>
  <si>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</si>
  <si>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</si>
  <si>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</si>
  <si>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</si>
  <si>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</si>
  <si>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</si>
  <si>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</si>
  <si>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</si>
  <si>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</si>
  <si>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</si>
  <si>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</si>
  <si>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</si>
  <si>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</si>
  <si>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</si>
  <si>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</si>
  <si>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</si>
  <si>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</si>
  <si>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</si>
  <si>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</si>
  <si>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</si>
  <si>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</si>
  <si>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</si>
  <si>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</si>
  <si>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</si>
  <si>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</si>
  <si>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</si>
  <si>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</si>
  <si>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</si>
  <si>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</si>
  <si>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</si>
  <si>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</si>
  <si>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</si>
  <si>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</si>
  <si>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</si>
  <si>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</si>
  <si>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</si>
  <si>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</si>
  <si>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</si>
  <si>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</si>
  <si>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</si>
  <si>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</si>
  <si>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</si>
  <si>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</si>
  <si>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</si>
  <si>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</si>
  <si>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</si>
  <si>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</si>
  <si>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</si>
  <si>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</si>
  <si>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</si>
  <si>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</si>
  <si>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</si>
  <si>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</si>
  <si>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</si>
  <si>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</si>
  <si>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</si>
  <si>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</si>
  <si>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</si>
  <si>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</si>
  <si>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</si>
  <si>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</si>
  <si>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</si>
  <si>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</si>
  <si>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</si>
  <si>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</si>
  <si>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</si>
  <si>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</si>
  <si>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</si>
  <si>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</si>
  <si>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</si>
  <si>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</si>
  <si>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</si>
  <si>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</si>
  <si>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</si>
  <si>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</si>
  <si>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</si>
  <si>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</si>
  <si>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</si>
  <si>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</si>
  <si>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</si>
  <si>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</si>
  <si>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</si>
  <si>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</si>
  <si>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</si>
  <si>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</si>
  <si>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</si>
  <si>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</si>
  <si>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</si>
  <si>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</si>
  <si>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</si>
  <si>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</si>
  <si>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</si>
  <si>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</si>
  <si>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</si>
  <si>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</si>
  <si>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</si>
  <si>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</si>
  <si>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</si>
  <si>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</si>
  <si>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</si>
  <si>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</si>
  <si>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</si>
  <si>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</si>
  <si>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</si>
  <si>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</si>
  <si>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</si>
  <si>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</si>
  <si>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</si>
  <si>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</si>
  <si>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</si>
  <si>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</si>
  <si>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</si>
  <si>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</si>
  <si>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</si>
  <si>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</si>
  <si>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</si>
  <si>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</si>
  <si>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</si>
  <si>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</si>
  <si>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</si>
  <si>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</si>
  <si>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</si>
  <si>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</si>
  <si>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</si>
  <si>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</si>
  <si>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</si>
  <si>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</si>
  <si>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</si>
  <si>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</si>
  <si>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</si>
  <si>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</si>
  <si>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</si>
  <si>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</si>
  <si>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</si>
  <si>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</si>
  <si>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</si>
  <si>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</si>
  <si>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</si>
  <si>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</si>
  <si>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</si>
  <si>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</si>
  <si>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</si>
  <si>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</si>
  <si>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</si>
  <si>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</si>
  <si>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</si>
  <si>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</si>
  <si>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</si>
  <si>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</si>
  <si>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</si>
  <si>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</si>
  <si>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</si>
  <si>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</si>
  <si>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</si>
  <si>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</si>
  <si>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</si>
  <si>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</si>
  <si>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</si>
  <si>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</si>
  <si>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</si>
  <si>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</si>
  <si>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</si>
  <si>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</si>
  <si>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</si>
  <si>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</si>
  <si>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</si>
  <si>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</si>
  <si>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</si>
  <si>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</si>
  <si>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</si>
  <si>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</si>
  <si>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</si>
  <si>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</si>
  <si>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</si>
  <si>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</si>
  <si>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</si>
  <si>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</si>
  <si>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</si>
  <si>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</si>
  <si>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</si>
  <si>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</si>
  <si>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</si>
  <si>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</si>
  <si>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</si>
  <si>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</si>
  <si>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</si>
  <si>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</si>
  <si>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</si>
  <si>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</si>
  <si>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</si>
  <si>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</si>
  <si>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</si>
  <si>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</si>
  <si>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</si>
  <si>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</si>
  <si>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</si>
  <si>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</si>
  <si>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</si>
  <si>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</si>
  <si>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</si>
  <si>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</si>
  <si>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</si>
  <si>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</si>
  <si>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</si>
  <si>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</si>
  <si>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</si>
  <si>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</si>
  <si>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</si>
  <si>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</si>
  <si>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</si>
  <si>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</si>
  <si>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</si>
  <si>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</si>
  <si>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</si>
  <si>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</si>
  <si>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</si>
  <si>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</si>
  <si>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</si>
  <si>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</si>
  <si>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</si>
  <si>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</si>
  <si>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</si>
  <si>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</si>
  <si>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</si>
  <si>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</si>
  <si>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</si>
  <si>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</si>
  <si>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</si>
  <si>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</si>
  <si>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</si>
  <si>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</si>
  <si>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</si>
  <si>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</si>
  <si>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</si>
  <si>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</si>
  <si>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</si>
  <si>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</si>
  <si>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</si>
  <si>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</si>
  <si>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</si>
  <si>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</si>
  <si>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</si>
  <si>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</si>
  <si>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</si>
  <si>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</si>
  <si>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</si>
  <si>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</si>
  <si>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</si>
  <si>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</si>
  <si>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</si>
  <si>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</si>
  <si>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</si>
  <si>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</si>
  <si>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</si>
  <si>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</si>
  <si>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</si>
  <si>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</si>
  <si>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</si>
  <si>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</si>
  <si>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</si>
  <si>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</si>
  <si>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</si>
  <si>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</si>
  <si>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</si>
  <si>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</si>
  <si>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</si>
  <si>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</si>
  <si>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</si>
  <si>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</si>
  <si>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</si>
  <si>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</si>
  <si>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</si>
  <si>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</si>
  <si>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</si>
  <si>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</si>
  <si>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</si>
  <si>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</si>
  <si>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</si>
  <si>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</si>
  <si>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</si>
  <si>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</si>
  <si>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</si>
  <si>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</si>
  <si>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</si>
  <si>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</si>
  <si>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</si>
  <si>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</si>
  <si>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</si>
  <si>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</si>
  <si>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</si>
  <si>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</si>
  <si>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</si>
  <si>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</si>
  <si>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</si>
  <si>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</si>
  <si>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</si>
  <si>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</si>
  <si>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</si>
  <si>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</si>
  <si>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</si>
  <si>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</si>
  <si>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</si>
  <si>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</si>
  <si>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</si>
  <si>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</si>
  <si>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</si>
  <si>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</si>
  <si>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</si>
  <si>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</si>
  <si>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</si>
  <si>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</si>
  <si>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</si>
  <si>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</si>
  <si>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</si>
  <si>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</si>
  <si>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</si>
  <si>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</si>
  <si>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</si>
  <si>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</si>
  <si>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</si>
  <si>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</si>
  <si>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</si>
  <si>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</si>
  <si>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</si>
  <si>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</si>
  <si>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</si>
  <si>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</si>
  <si>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</si>
  <si>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</si>
  <si>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</si>
  <si>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</si>
  <si>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</si>
  <si>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</si>
  <si>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</si>
  <si>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</si>
  <si>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</si>
  <si>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</si>
  <si>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</si>
  <si>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</si>
  <si>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</si>
  <si>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</si>
  <si>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</si>
  <si>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</si>
  <si>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</si>
  <si>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</si>
  <si>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</si>
  <si>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</si>
  <si>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</si>
  <si>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</si>
  <si>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</si>
  <si>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</si>
  <si>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</si>
  <si>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</si>
  <si>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</si>
  <si>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</si>
  <si>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</si>
  <si>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</si>
  <si>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</si>
  <si>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</si>
  <si>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</si>
  <si>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</si>
  <si>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</si>
  <si>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</si>
  <si>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</si>
  <si>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</si>
  <si>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</si>
  <si>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</si>
  <si>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</si>
  <si>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</si>
  <si>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</si>
  <si>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</si>
  <si>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</si>
  <si>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</si>
  <si>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</si>
  <si>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</si>
  <si>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</si>
  <si>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</si>
  <si>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</si>
  <si>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</si>
  <si>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</si>
  <si>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</si>
  <si>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</si>
  <si>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</si>
  <si>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</si>
  <si>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</si>
  <si>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</si>
  <si>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</si>
  <si>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</si>
  <si>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</si>
  <si>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</si>
  <si>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</si>
  <si>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</si>
  <si>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</si>
  <si>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</si>
  <si>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</si>
  <si>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</si>
  <si>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</si>
  <si>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</si>
  <si>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</si>
  <si>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</si>
  <si>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</si>
  <si>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</si>
  <si>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</si>
  <si>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</si>
  <si>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</si>
  <si>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</si>
  <si>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</si>
  <si>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</si>
  <si>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</si>
  <si>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</si>
  <si>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</si>
  <si>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</si>
  <si>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</si>
  <si>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</si>
  <si>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</si>
  <si>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</si>
  <si>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</si>
  <si>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</si>
  <si>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</si>
  <si>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</si>
  <si>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</si>
  <si>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</si>
  <si>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</si>
  <si>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</si>
  <si>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</si>
  <si>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</si>
  <si>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</si>
  <si>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</si>
  <si>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</si>
  <si>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</si>
  <si>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</si>
  <si>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</si>
  <si>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</si>
  <si>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</si>
  <si>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</si>
  <si>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</si>
  <si>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</si>
  <si>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</si>
  <si>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</si>
  <si>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</si>
  <si>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</si>
  <si>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</si>
  <si>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</si>
  <si>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</si>
  <si>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</si>
  <si>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</si>
  <si>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</si>
  <si>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</si>
  <si>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</si>
  <si>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</si>
  <si>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</si>
  <si>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</si>
  <si>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</si>
  <si>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</si>
  <si>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</si>
  <si>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</si>
  <si>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</si>
  <si>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</si>
  <si>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</si>
  <si>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</si>
  <si>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</si>
  <si>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</si>
  <si>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</si>
  <si>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</si>
  <si>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</si>
  <si>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</si>
  <si>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</si>
  <si>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</si>
  <si>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</si>
  <si>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</si>
  <si>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</si>
  <si>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</si>
  <si>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</si>
  <si>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</si>
  <si>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</si>
  <si>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</si>
  <si>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</si>
  <si>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</si>
  <si>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</si>
  <si>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</si>
  <si>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</si>
  <si>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</si>
  <si>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</si>
  <si>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JOHNSON MEMORIAL MEDICAL CENTER,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</si>
  <si>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</si>
  <si>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</si>
  <si>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</si>
  <si>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</si>
  <si>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</si>
  <si>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</si>
  <si>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</si>
  <si>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</si>
  <si>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</si>
  <si>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</si>
  <si>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</si>
  <si>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</si>
  <si>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</si>
  <si>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</si>
  <si>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</si>
  <si>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</si>
  <si>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</si>
  <si>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</si>
  <si>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</si>
  <si>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</si>
  <si>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</si>
  <si>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</si>
  <si>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</si>
  <si>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</si>
  <si>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</si>
  <si>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</si>
  <si>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</si>
  <si>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</si>
  <si>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</si>
  <si>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</si>
  <si>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</si>
  <si>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</si>
  <si>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</si>
  <si>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</si>
  <si>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</si>
  <si>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</si>
  <si>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</si>
  <si>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</si>
  <si>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</si>
  <si>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</si>
  <si>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</si>
  <si>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</si>
  <si>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</si>
  <si>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</si>
  <si>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</si>
  <si>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</si>
  <si>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</si>
  <si>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</si>
  <si>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</si>
  <si>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</si>
  <si>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</si>
  <si>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</si>
  <si>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</si>
  <si>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</si>
  <si>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</si>
  <si>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</si>
  <si>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</si>
  <si>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</si>
  <si>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</si>
  <si>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</si>
  <si>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</si>
  <si>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</si>
  <si>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</si>
  <si>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</si>
  <si>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</si>
  <si>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</si>
  <si>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</si>
  <si>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</si>
  <si>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</si>
  <si>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</si>
  <si>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</si>
  <si>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</si>
  <si>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</si>
  <si>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</si>
  <si>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</si>
  <si>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</si>
  <si>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</si>
  <si>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</si>
  <si>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</si>
  <si>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</si>
  <si>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</si>
  <si>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</si>
  <si>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</si>
  <si>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</si>
  <si>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</si>
  <si>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</si>
  <si>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</si>
  <si>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</si>
  <si>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</si>
  <si>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</si>
  <si>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</si>
  <si>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</si>
  <si>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</si>
  <si>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</si>
  <si>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</si>
  <si>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</si>
  <si>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</si>
  <si>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</si>
  <si>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</si>
  <si>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</si>
  <si>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</si>
  <si>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</si>
  <si>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</si>
  <si>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</si>
  <si>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</si>
  <si>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</si>
  <si>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</si>
  <si>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</si>
  <si>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</si>
  <si>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</si>
  <si>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</si>
  <si>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</si>
  <si>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</si>
  <si>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</si>
  <si>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</si>
  <si>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</si>
  <si>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</si>
  <si>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</si>
  <si>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</si>
  <si>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</si>
  <si>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Johnson Memorial Hospital</t>
  </si>
  <si>
    <t>Offsite Surgery Department - Enfield, CT</t>
  </si>
  <si>
    <t>Total Outpatient Surgical Procedures(A)</t>
  </si>
  <si>
    <t>Offsite Surgical Department - Enfield, CT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</si>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</sst>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787925</v>
      </c>
      <c r="D13" s="22">
        <v>188181</v>
      </c>
      <c r="E13" s="22">
        <f t="shared" ref="E13:E22" si="0">D13-C13</f>
        <v>-599744</v>
      </c>
      <c r="F13" s="23">
        <f t="shared" ref="F13:F22" si="1">IF(C13=0,0,E13/C13)</f>
        <v>-0.76116889297839263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8023775</v>
      </c>
      <c r="D15" s="22">
        <v>7312397</v>
      </c>
      <c r="E15" s="22">
        <f t="shared" si="0"/>
        <v>-711378</v>
      </c>
      <c r="F15" s="23">
        <f t="shared" si="1"/>
        <v>-8.8658767226149793E-2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1254591</v>
      </c>
      <c r="D19" s="22">
        <v>1317470</v>
      </c>
      <c r="E19" s="22">
        <f t="shared" si="0"/>
        <v>62879</v>
      </c>
      <c r="F19" s="23">
        <f t="shared" si="1"/>
        <v>5.0119122486930005E-2</v>
      </c>
    </row>
    <row r="20" spans="1:11" ht="24" customHeight="1" x14ac:dyDescent="0.2">
      <c r="A20" s="20">
        <v>8</v>
      </c>
      <c r="B20" s="21" t="s">
        <v>23</v>
      </c>
      <c r="C20" s="22">
        <v>759969</v>
      </c>
      <c r="D20" s="22">
        <v>851435</v>
      </c>
      <c r="E20" s="22">
        <f t="shared" si="0"/>
        <v>91466</v>
      </c>
      <c r="F20" s="23">
        <f t="shared" si="1"/>
        <v>0.12035490921340213</v>
      </c>
    </row>
    <row r="21" spans="1:11" ht="24" customHeight="1" x14ac:dyDescent="0.2">
      <c r="A21" s="20">
        <v>9</v>
      </c>
      <c r="B21" s="21" t="s">
        <v>24</v>
      </c>
      <c r="C21" s="22">
        <v>193008</v>
      </c>
      <c r="D21" s="22">
        <v>1688323</v>
      </c>
      <c r="E21" s="22">
        <f t="shared" si="0"/>
        <v>1495315</v>
      </c>
      <c r="F21" s="23">
        <f t="shared" si="1"/>
        <v>7.7474249772030177</v>
      </c>
    </row>
    <row r="22" spans="1:11" ht="24" customHeight="1" x14ac:dyDescent="0.25">
      <c r="A22" s="24"/>
      <c r="B22" s="25" t="s">
        <v>25</v>
      </c>
      <c r="C22" s="26">
        <f>SUM(C13:C21)</f>
        <v>11019268</v>
      </c>
      <c r="D22" s="26">
        <f>SUM(D13:D21)</f>
        <v>11357806</v>
      </c>
      <c r="E22" s="26">
        <f t="shared" si="0"/>
        <v>338538</v>
      </c>
      <c r="F22" s="27">
        <f t="shared" si="1"/>
        <v>3.0722367402263018E-2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3616492</v>
      </c>
      <c r="D25" s="22">
        <v>3729727</v>
      </c>
      <c r="E25" s="22">
        <f>D25-C25</f>
        <v>113235</v>
      </c>
      <c r="F25" s="23">
        <f>IF(C25=0,0,E25/C25)</f>
        <v>3.1310728739341882E-2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363097</v>
      </c>
      <c r="D27" s="22">
        <v>268338</v>
      </c>
      <c r="E27" s="22">
        <f>D27-C27</f>
        <v>-94759</v>
      </c>
      <c r="F27" s="23">
        <f>IF(C27=0,0,E27/C27)</f>
        <v>-0.26097434019008697</v>
      </c>
    </row>
    <row r="28" spans="1:11" ht="24" customHeight="1" x14ac:dyDescent="0.2">
      <c r="A28" s="20">
        <v>4</v>
      </c>
      <c r="B28" s="21" t="s">
        <v>31</v>
      </c>
      <c r="C28" s="22">
        <v>843587</v>
      </c>
      <c r="D28" s="22">
        <v>843587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4823176</v>
      </c>
      <c r="D29" s="26">
        <f>SUM(D25:D28)</f>
        <v>4841652</v>
      </c>
      <c r="E29" s="26">
        <f>D29-C29</f>
        <v>18476</v>
      </c>
      <c r="F29" s="27">
        <f>IF(C29=0,0,E29/C29)</f>
        <v>3.8306709106198903E-3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3106905</v>
      </c>
      <c r="D32" s="22">
        <v>3165915</v>
      </c>
      <c r="E32" s="22">
        <f>D32-C32</f>
        <v>59010</v>
      </c>
      <c r="F32" s="23">
        <f>IF(C32=0,0,E32/C32)</f>
        <v>1.8993178098461329E-2</v>
      </c>
    </row>
    <row r="33" spans="1:8" ht="24" customHeight="1" x14ac:dyDescent="0.2">
      <c r="A33" s="20">
        <v>7</v>
      </c>
      <c r="B33" s="21" t="s">
        <v>35</v>
      </c>
      <c r="C33" s="22">
        <v>4660539</v>
      </c>
      <c r="D33" s="22">
        <v>5742650</v>
      </c>
      <c r="E33" s="22">
        <f>D33-C33</f>
        <v>1082111</v>
      </c>
      <c r="F33" s="23">
        <f>IF(C33=0,0,E33/C33)</f>
        <v>0.23218580511824921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58629232</v>
      </c>
      <c r="D36" s="22">
        <v>58937092</v>
      </c>
      <c r="E36" s="22">
        <f>D36-C36</f>
        <v>307860</v>
      </c>
      <c r="F36" s="23">
        <f>IF(C36=0,0,E36/C36)</f>
        <v>5.25096422890206E-3</v>
      </c>
    </row>
    <row r="37" spans="1:8" ht="24" customHeight="1" x14ac:dyDescent="0.2">
      <c r="A37" s="20">
        <v>2</v>
      </c>
      <c r="B37" s="21" t="s">
        <v>39</v>
      </c>
      <c r="C37" s="22">
        <v>39198224</v>
      </c>
      <c r="D37" s="22">
        <v>42014780</v>
      </c>
      <c r="E37" s="22">
        <f>D37-C37</f>
        <v>2816556</v>
      </c>
      <c r="F37" s="23">
        <f>IF(C37=0,0,E37/C37)</f>
        <v>7.1854173801343652E-2</v>
      </c>
    </row>
    <row r="38" spans="1:8" ht="24" customHeight="1" x14ac:dyDescent="0.25">
      <c r="A38" s="24"/>
      <c r="B38" s="25" t="s">
        <v>40</v>
      </c>
      <c r="C38" s="26">
        <f>C36-C37</f>
        <v>19431008</v>
      </c>
      <c r="D38" s="26">
        <f>D36-D37</f>
        <v>16922312</v>
      </c>
      <c r="E38" s="26">
        <f>D38-C38</f>
        <v>-2508696</v>
      </c>
      <c r="F38" s="27">
        <f>IF(C38=0,0,E38/C38)</f>
        <v>-0.12910786717806919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0</v>
      </c>
      <c r="D40" s="22">
        <v>0</v>
      </c>
      <c r="E40" s="22">
        <f>D40-C40</f>
        <v>0</v>
      </c>
      <c r="F40" s="23">
        <f>IF(C40=0,0,E40/C40)</f>
        <v>0</v>
      </c>
    </row>
    <row r="41" spans="1:8" ht="24" customHeight="1" x14ac:dyDescent="0.25">
      <c r="A41" s="24"/>
      <c r="B41" s="25" t="s">
        <v>42</v>
      </c>
      <c r="C41" s="26">
        <f>+C38+C40</f>
        <v>19431008</v>
      </c>
      <c r="D41" s="26">
        <f>+D38+D40</f>
        <v>16922312</v>
      </c>
      <c r="E41" s="26">
        <f>D41-C41</f>
        <v>-2508696</v>
      </c>
      <c r="F41" s="27">
        <f>IF(C41=0,0,E41/C41)</f>
        <v>-0.12910786717806919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43040896</v>
      </c>
      <c r="D43" s="26">
        <f>D22+D29+D31+D32+D33+D41</f>
        <v>42030335</v>
      </c>
      <c r="E43" s="26">
        <f>D43-C43</f>
        <v>-1010561</v>
      </c>
      <c r="F43" s="27">
        <f>IF(C43=0,0,E43/C43)</f>
        <v>-2.3479088353551003E-2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3182062</v>
      </c>
      <c r="D49" s="22">
        <v>4873903</v>
      </c>
      <c r="E49" s="22">
        <f t="shared" ref="E49:E56" si="2">D49-C49</f>
        <v>1691841</v>
      </c>
      <c r="F49" s="23">
        <f t="shared" ref="F49:F56" si="3">IF(C49=0,0,E49/C49)</f>
        <v>0.53168071520919458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2014282</v>
      </c>
      <c r="D50" s="22">
        <v>1930115</v>
      </c>
      <c r="E50" s="22">
        <f t="shared" si="2"/>
        <v>-84167</v>
      </c>
      <c r="F50" s="23">
        <f t="shared" si="3"/>
        <v>-4.1785112511554985E-2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1272580</v>
      </c>
      <c r="D51" s="22">
        <v>2564571</v>
      </c>
      <c r="E51" s="22">
        <f t="shared" si="2"/>
        <v>1291991</v>
      </c>
      <c r="F51" s="23">
        <f t="shared" si="3"/>
        <v>1.0152532650206667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0</v>
      </c>
      <c r="D53" s="22">
        <v>11987500</v>
      </c>
      <c r="E53" s="22">
        <f t="shared" si="2"/>
        <v>11987500</v>
      </c>
      <c r="F53" s="23">
        <f t="shared" si="3"/>
        <v>0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342500</v>
      </c>
      <c r="D54" s="22">
        <v>471952</v>
      </c>
      <c r="E54" s="22">
        <f t="shared" si="2"/>
        <v>129452</v>
      </c>
      <c r="F54" s="23">
        <f t="shared" si="3"/>
        <v>0.37796204379562043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4780624</v>
      </c>
      <c r="D55" s="22">
        <v>4324690</v>
      </c>
      <c r="E55" s="22">
        <f t="shared" si="2"/>
        <v>-455934</v>
      </c>
      <c r="F55" s="23">
        <f t="shared" si="3"/>
        <v>-9.5371231872659307E-2</v>
      </c>
    </row>
    <row r="56" spans="1:6" ht="24" customHeight="1" x14ac:dyDescent="0.25">
      <c r="A56" s="24"/>
      <c r="B56" s="25" t="s">
        <v>54</v>
      </c>
      <c r="C56" s="26">
        <f>SUM(C49:C55)</f>
        <v>11592048</v>
      </c>
      <c r="D56" s="26">
        <f>SUM(D49:D55)</f>
        <v>26152731</v>
      </c>
      <c r="E56" s="26">
        <f t="shared" si="2"/>
        <v>14560683</v>
      </c>
      <c r="F56" s="27">
        <f t="shared" si="3"/>
        <v>1.256092366077159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11816250</v>
      </c>
      <c r="D60" s="22">
        <v>0</v>
      </c>
      <c r="E60" s="22">
        <f>D60-C60</f>
        <v>-11816250</v>
      </c>
      <c r="F60" s="23">
        <f>IF(C60=0,0,E60/C60)</f>
        <v>-1</v>
      </c>
    </row>
    <row r="61" spans="1:6" ht="24" customHeight="1" x14ac:dyDescent="0.25">
      <c r="A61" s="24"/>
      <c r="B61" s="25" t="s">
        <v>58</v>
      </c>
      <c r="C61" s="26">
        <f>SUM(C59:C60)</f>
        <v>11816250</v>
      </c>
      <c r="D61" s="26">
        <f>SUM(D59:D60)</f>
        <v>0</v>
      </c>
      <c r="E61" s="26">
        <f>D61-C61</f>
        <v>-11816250</v>
      </c>
      <c r="F61" s="27">
        <f>IF(C61=0,0,E61/C61)</f>
        <v>-1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0</v>
      </c>
      <c r="D63" s="22">
        <v>0</v>
      </c>
      <c r="E63" s="22">
        <f>D63-C63</f>
        <v>0</v>
      </c>
      <c r="F63" s="23">
        <f>IF(C63=0,0,E63/C63)</f>
        <v>0</v>
      </c>
    </row>
    <row r="64" spans="1:6" ht="24" customHeight="1" x14ac:dyDescent="0.2">
      <c r="A64" s="20">
        <v>4</v>
      </c>
      <c r="B64" s="21" t="s">
        <v>60</v>
      </c>
      <c r="C64" s="22">
        <v>9948000</v>
      </c>
      <c r="D64" s="22">
        <v>8965790</v>
      </c>
      <c r="E64" s="22">
        <f>D64-C64</f>
        <v>-982210</v>
      </c>
      <c r="F64" s="23">
        <f>IF(C64=0,0,E64/C64)</f>
        <v>-9.873441897868919E-2</v>
      </c>
    </row>
    <row r="65" spans="1:6" ht="24" customHeight="1" x14ac:dyDescent="0.25">
      <c r="A65" s="24"/>
      <c r="B65" s="25" t="s">
        <v>61</v>
      </c>
      <c r="C65" s="26">
        <f>SUM(C61:C64)</f>
        <v>21764250</v>
      </c>
      <c r="D65" s="26">
        <f>SUM(D61:D64)</f>
        <v>8965790</v>
      </c>
      <c r="E65" s="26">
        <f>D65-C65</f>
        <v>-12798460</v>
      </c>
      <c r="F65" s="27">
        <f>IF(C65=0,0,E65/C65)</f>
        <v>-0.58804966860792351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4961873</v>
      </c>
      <c r="D70" s="22">
        <v>2069573</v>
      </c>
      <c r="E70" s="22">
        <f>D70-C70</f>
        <v>-2892300</v>
      </c>
      <c r="F70" s="23">
        <f>IF(C70=0,0,E70/C70)</f>
        <v>-0.58290488289402009</v>
      </c>
    </row>
    <row r="71" spans="1:6" ht="24" customHeight="1" x14ac:dyDescent="0.2">
      <c r="A71" s="20">
        <v>2</v>
      </c>
      <c r="B71" s="21" t="s">
        <v>65</v>
      </c>
      <c r="C71" s="22">
        <v>262646</v>
      </c>
      <c r="D71" s="22">
        <v>268927</v>
      </c>
      <c r="E71" s="22">
        <f>D71-C71</f>
        <v>6281</v>
      </c>
      <c r="F71" s="23">
        <f>IF(C71=0,0,E71/C71)</f>
        <v>2.3914318131629645E-2</v>
      </c>
    </row>
    <row r="72" spans="1:6" ht="24" customHeight="1" x14ac:dyDescent="0.2">
      <c r="A72" s="20">
        <v>3</v>
      </c>
      <c r="B72" s="21" t="s">
        <v>66</v>
      </c>
      <c r="C72" s="22">
        <v>4460079</v>
      </c>
      <c r="D72" s="22">
        <v>4573314</v>
      </c>
      <c r="E72" s="22">
        <f>D72-C72</f>
        <v>113235</v>
      </c>
      <c r="F72" s="23">
        <f>IF(C72=0,0,E72/C72)</f>
        <v>2.538856374517133E-2</v>
      </c>
    </row>
    <row r="73" spans="1:6" ht="24" customHeight="1" x14ac:dyDescent="0.25">
      <c r="A73" s="20"/>
      <c r="B73" s="25" t="s">
        <v>67</v>
      </c>
      <c r="C73" s="26">
        <f>SUM(C70:C72)</f>
        <v>9684598</v>
      </c>
      <c r="D73" s="26">
        <f>SUM(D70:D72)</f>
        <v>6911814</v>
      </c>
      <c r="E73" s="26">
        <f>D73-C73</f>
        <v>-2772784</v>
      </c>
      <c r="F73" s="27">
        <f>IF(C73=0,0,E73/C73)</f>
        <v>-0.28630863149921143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43040896</v>
      </c>
      <c r="D75" s="26">
        <f>D56+D65+D67+D73</f>
        <v>42030335</v>
      </c>
      <c r="E75" s="26">
        <f>D75-C75</f>
        <v>-1010561</v>
      </c>
      <c r="F75" s="27">
        <f>IF(C75=0,0,E75/C75)</f>
        <v>-2.3479088353551003E-2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88701620</v>
      </c>
      <c r="D11" s="76">
        <v>92870450</v>
      </c>
      <c r="E11" s="76">
        <v>86321671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1633180</v>
      </c>
      <c r="D12" s="185">
        <v>896986</v>
      </c>
      <c r="E12" s="185">
        <v>1356313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90334800</v>
      </c>
      <c r="D13" s="76">
        <f>+D11+D12</f>
        <v>93767436</v>
      </c>
      <c r="E13" s="76">
        <f>+E11+E12</f>
        <v>87677984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93561742</v>
      </c>
      <c r="D14" s="185">
        <v>96980439</v>
      </c>
      <c r="E14" s="185">
        <v>93071797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-3226942</v>
      </c>
      <c r="D15" s="76">
        <f>+D13-D14</f>
        <v>-3213003</v>
      </c>
      <c r="E15" s="76">
        <f>+E13-E14</f>
        <v>-5393813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1205975</v>
      </c>
      <c r="D16" s="185">
        <v>447582</v>
      </c>
      <c r="E16" s="185">
        <v>2589208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-2020967</v>
      </c>
      <c r="D17" s="76">
        <f>D15+D16</f>
        <v>-2765421</v>
      </c>
      <c r="E17" s="76">
        <f>E15+E16</f>
        <v>-2804605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-3.5251416650121215E-2</v>
      </c>
      <c r="D20" s="189">
        <f>IF(+D27=0,0,+D24/+D27)</f>
        <v>-3.410287519129912E-2</v>
      </c>
      <c r="E20" s="189">
        <f>IF(+E27=0,0,+E24/+E27)</f>
        <v>-5.9753858301031457E-2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1.3174183854134948E-2</v>
      </c>
      <c r="D21" s="189">
        <f>IF(+D27=0,0,+D26/+D27)</f>
        <v>4.7506438941613324E-3</v>
      </c>
      <c r="E21" s="189">
        <f>IF(+E27=0,0,+E26/+E27)</f>
        <v>2.8683821249252995E-2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-2.2077232795986269E-2</v>
      </c>
      <c r="D22" s="189">
        <f>IF(+D27=0,0,+D28/+D27)</f>
        <v>-2.9352231297137786E-2</v>
      </c>
      <c r="E22" s="189">
        <f>IF(+E27=0,0,+E28/+E27)</f>
        <v>-3.1070037051778458E-2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-3226942</v>
      </c>
      <c r="D24" s="76">
        <f>+D15</f>
        <v>-3213003</v>
      </c>
      <c r="E24" s="76">
        <f>+E15</f>
        <v>-5393813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90334800</v>
      </c>
      <c r="D25" s="76">
        <f>+D13</f>
        <v>93767436</v>
      </c>
      <c r="E25" s="76">
        <f>+E13</f>
        <v>87677984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1205975</v>
      </c>
      <c r="D26" s="76">
        <f>+D16</f>
        <v>447582</v>
      </c>
      <c r="E26" s="76">
        <f>+E16</f>
        <v>2589208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91540775</v>
      </c>
      <c r="D27" s="76">
        <f>SUM(D25:D26)</f>
        <v>94215018</v>
      </c>
      <c r="E27" s="76">
        <f>SUM(E25:E26)</f>
        <v>90267192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-2020967</v>
      </c>
      <c r="D28" s="76">
        <f>+D17</f>
        <v>-2765421</v>
      </c>
      <c r="E28" s="76">
        <f>+E17</f>
        <v>-2804605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873482</v>
      </c>
      <c r="D31" s="76">
        <v>-1339902</v>
      </c>
      <c r="E31" s="76">
        <v>-8766006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5405784</v>
      </c>
      <c r="D32" s="76">
        <v>3591786</v>
      </c>
      <c r="E32" s="76">
        <v>-3686748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-1826709</v>
      </c>
      <c r="D33" s="76">
        <f>+D32-C32</f>
        <v>-1813998</v>
      </c>
      <c r="E33" s="76">
        <f>+E32-D32</f>
        <v>-7278534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0.74739999999999995</v>
      </c>
      <c r="D34" s="193">
        <f>IF(C32=0,0,+D33/C32)</f>
        <v>-0.33556612694846855</v>
      </c>
      <c r="E34" s="193">
        <f>IF(D32=0,0,+E33/D32)</f>
        <v>-2.0264386575369469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0.96698264882145846</v>
      </c>
      <c r="D38" s="338">
        <f>IF(+D40=0,0,+D39/+D40)</f>
        <v>0.96626949793587624</v>
      </c>
      <c r="E38" s="338">
        <f>IF(+E40=0,0,+E39/+E40)</f>
        <v>0.32653669174260758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15821158</v>
      </c>
      <c r="D39" s="341">
        <v>15400869</v>
      </c>
      <c r="E39" s="341">
        <v>15465517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16361367</v>
      </c>
      <c r="D40" s="341">
        <v>15938482</v>
      </c>
      <c r="E40" s="341">
        <v>47362264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5.3337364983261679</v>
      </c>
      <c r="D42" s="343">
        <f>IF((D48/365)=0,0,+D45/(D48/365))</f>
        <v>4.9114947292046081</v>
      </c>
      <c r="E42" s="343">
        <f>IF((E48/365)=0,0,+E45/(E48/365))</f>
        <v>3.5991793950753976</v>
      </c>
    </row>
    <row r="43" spans="1:14" ht="24" customHeight="1" x14ac:dyDescent="0.2">
      <c r="A43" s="339">
        <v>5</v>
      </c>
      <c r="B43" s="344" t="s">
        <v>16</v>
      </c>
      <c r="C43" s="345">
        <v>1301545</v>
      </c>
      <c r="D43" s="345">
        <v>1246131</v>
      </c>
      <c r="E43" s="345">
        <v>875661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1301545</v>
      </c>
      <c r="D45" s="341">
        <f>+D43+D44</f>
        <v>1246131</v>
      </c>
      <c r="E45" s="341">
        <f>+E43+E44</f>
        <v>875661</v>
      </c>
    </row>
    <row r="46" spans="1:14" ht="24" customHeight="1" x14ac:dyDescent="0.2">
      <c r="A46" s="339">
        <v>8</v>
      </c>
      <c r="B46" s="340" t="s">
        <v>334</v>
      </c>
      <c r="C46" s="341">
        <f>+C14</f>
        <v>93561742</v>
      </c>
      <c r="D46" s="341">
        <f>+D14</f>
        <v>96980439</v>
      </c>
      <c r="E46" s="341">
        <f>+E14</f>
        <v>93071797</v>
      </c>
    </row>
    <row r="47" spans="1:14" ht="24" customHeight="1" x14ac:dyDescent="0.2">
      <c r="A47" s="339">
        <v>9</v>
      </c>
      <c r="B47" s="340" t="s">
        <v>356</v>
      </c>
      <c r="C47" s="341">
        <v>4493989</v>
      </c>
      <c r="D47" s="341">
        <v>4373638</v>
      </c>
      <c r="E47" s="341">
        <v>4269259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89067753</v>
      </c>
      <c r="D48" s="341">
        <f>+D46-D47</f>
        <v>92606801</v>
      </c>
      <c r="E48" s="341">
        <f>+E46-E47</f>
        <v>88802538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35.669856198793212</v>
      </c>
      <c r="D50" s="350">
        <f>IF((D55/365)=0,0,+D54/(D55/365))</f>
        <v>37.554859430529298</v>
      </c>
      <c r="E50" s="350">
        <f>IF((E55/365)=0,0,+E54/(E55/365))</f>
        <v>31.084120927177143</v>
      </c>
    </row>
    <row r="51" spans="1:5" ht="24" customHeight="1" x14ac:dyDescent="0.2">
      <c r="A51" s="339">
        <v>12</v>
      </c>
      <c r="B51" s="344" t="s">
        <v>359</v>
      </c>
      <c r="C51" s="351">
        <v>10229184</v>
      </c>
      <c r="D51" s="351">
        <v>11049711</v>
      </c>
      <c r="E51" s="351">
        <v>10135389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1560762</v>
      </c>
      <c r="D53" s="341">
        <v>1494268</v>
      </c>
      <c r="E53" s="341">
        <v>2784065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8668422</v>
      </c>
      <c r="D54" s="352">
        <f>+D51+D52-D53</f>
        <v>9555443</v>
      </c>
      <c r="E54" s="352">
        <f>+E51+E52-E53</f>
        <v>7351324</v>
      </c>
    </row>
    <row r="55" spans="1:5" ht="24" customHeight="1" x14ac:dyDescent="0.2">
      <c r="A55" s="339">
        <v>16</v>
      </c>
      <c r="B55" s="340" t="s">
        <v>75</v>
      </c>
      <c r="C55" s="341">
        <f>+C11</f>
        <v>88701620</v>
      </c>
      <c r="D55" s="341">
        <f>+D11</f>
        <v>92870450</v>
      </c>
      <c r="E55" s="341">
        <f>+E11</f>
        <v>86321671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67.048945929959629</v>
      </c>
      <c r="D57" s="355">
        <f>IF((D61/365)=0,0,+D58/(D61/365))</f>
        <v>62.819856286796906</v>
      </c>
      <c r="E57" s="355">
        <f>IF((E61/365)=0,0,+E58/(E61/365))</f>
        <v>194.67040863178934</v>
      </c>
    </row>
    <row r="58" spans="1:5" ht="24" customHeight="1" x14ac:dyDescent="0.2">
      <c r="A58" s="339">
        <v>18</v>
      </c>
      <c r="B58" s="340" t="s">
        <v>54</v>
      </c>
      <c r="C58" s="353">
        <f>+C40</f>
        <v>16361367</v>
      </c>
      <c r="D58" s="353">
        <f>+D40</f>
        <v>15938482</v>
      </c>
      <c r="E58" s="353">
        <f>+E40</f>
        <v>47362264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93561742</v>
      </c>
      <c r="D59" s="353">
        <f t="shared" si="0"/>
        <v>96980439</v>
      </c>
      <c r="E59" s="353">
        <f t="shared" si="0"/>
        <v>93071797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4493989</v>
      </c>
      <c r="D60" s="356">
        <f t="shared" si="0"/>
        <v>4373638</v>
      </c>
      <c r="E60" s="356">
        <f t="shared" si="0"/>
        <v>4269259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89067753</v>
      </c>
      <c r="D61" s="353">
        <f>+D59-D60</f>
        <v>92606801</v>
      </c>
      <c r="E61" s="353">
        <f>+E59-E60</f>
        <v>88802538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8.9371213671386052</v>
      </c>
      <c r="D65" s="357">
        <f>IF(D67=0,0,(D66/D67)*100)</f>
        <v>6.2542651292539526</v>
      </c>
      <c r="E65" s="357">
        <f>IF(E67=0,0,(E66/E67)*100)</f>
        <v>-7.1617412165788057</v>
      </c>
    </row>
    <row r="66" spans="1:5" ht="24" customHeight="1" x14ac:dyDescent="0.2">
      <c r="A66" s="339">
        <v>2</v>
      </c>
      <c r="B66" s="340" t="s">
        <v>67</v>
      </c>
      <c r="C66" s="353">
        <f>+C32</f>
        <v>5405784</v>
      </c>
      <c r="D66" s="353">
        <f>+D32</f>
        <v>3591786</v>
      </c>
      <c r="E66" s="353">
        <f>+E32</f>
        <v>-3686748</v>
      </c>
    </row>
    <row r="67" spans="1:5" ht="24" customHeight="1" x14ac:dyDescent="0.2">
      <c r="A67" s="339">
        <v>3</v>
      </c>
      <c r="B67" s="340" t="s">
        <v>43</v>
      </c>
      <c r="C67" s="353">
        <v>60486859</v>
      </c>
      <c r="D67" s="353">
        <v>57429385</v>
      </c>
      <c r="E67" s="353">
        <v>51478375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5.3762260615772623</v>
      </c>
      <c r="D69" s="357">
        <f>IF(D75=0,0,(D72/D75)*100)</f>
        <v>3.6023926963906541</v>
      </c>
      <c r="E69" s="357">
        <f>IF(E75=0,0,(E72/E75)*100)</f>
        <v>3.0924492967650363</v>
      </c>
    </row>
    <row r="70" spans="1:5" ht="24" customHeight="1" x14ac:dyDescent="0.2">
      <c r="A70" s="339">
        <v>5</v>
      </c>
      <c r="B70" s="340" t="s">
        <v>366</v>
      </c>
      <c r="C70" s="353">
        <f>+C28</f>
        <v>-2020967</v>
      </c>
      <c r="D70" s="353">
        <f>+D28</f>
        <v>-2765421</v>
      </c>
      <c r="E70" s="353">
        <f>+E28</f>
        <v>-2804605</v>
      </c>
    </row>
    <row r="71" spans="1:5" ht="24" customHeight="1" x14ac:dyDescent="0.2">
      <c r="A71" s="339">
        <v>6</v>
      </c>
      <c r="B71" s="340" t="s">
        <v>356</v>
      </c>
      <c r="C71" s="356">
        <f>+C47</f>
        <v>4493989</v>
      </c>
      <c r="D71" s="356">
        <f>+D47</f>
        <v>4373638</v>
      </c>
      <c r="E71" s="356">
        <f>+E47</f>
        <v>4269259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2473022</v>
      </c>
      <c r="D72" s="353">
        <f>+D70+D71</f>
        <v>1608217</v>
      </c>
      <c r="E72" s="353">
        <f>+E70+E71</f>
        <v>1464654</v>
      </c>
    </row>
    <row r="73" spans="1:5" ht="24" customHeight="1" x14ac:dyDescent="0.2">
      <c r="A73" s="339">
        <v>8</v>
      </c>
      <c r="B73" s="340" t="s">
        <v>54</v>
      </c>
      <c r="C73" s="341">
        <f>+C40</f>
        <v>16361367</v>
      </c>
      <c r="D73" s="341">
        <f>+D40</f>
        <v>15938482</v>
      </c>
      <c r="E73" s="341">
        <f>+E40</f>
        <v>47362264</v>
      </c>
    </row>
    <row r="74" spans="1:5" ht="24" customHeight="1" x14ac:dyDescent="0.2">
      <c r="A74" s="339">
        <v>9</v>
      </c>
      <c r="B74" s="340" t="s">
        <v>58</v>
      </c>
      <c r="C74" s="353">
        <v>29637852</v>
      </c>
      <c r="D74" s="353">
        <v>28704541</v>
      </c>
      <c r="E74" s="353">
        <v>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45999219</v>
      </c>
      <c r="D75" s="341">
        <f>+D73+D74</f>
        <v>44643023</v>
      </c>
      <c r="E75" s="341">
        <f>+E73+E74</f>
        <v>47362264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84.574134944216411</v>
      </c>
      <c r="D77" s="359">
        <f>IF(D80=0,0,(D78/D80)*100)</f>
        <v>88.878654838985256</v>
      </c>
      <c r="E77" s="359">
        <f>IF(E80=0,0,(E78/E80)*100)</f>
        <v>0</v>
      </c>
    </row>
    <row r="78" spans="1:5" ht="24" customHeight="1" x14ac:dyDescent="0.2">
      <c r="A78" s="339">
        <v>12</v>
      </c>
      <c r="B78" s="340" t="s">
        <v>58</v>
      </c>
      <c r="C78" s="341">
        <f>+C74</f>
        <v>29637852</v>
      </c>
      <c r="D78" s="341">
        <f>+D74</f>
        <v>28704541</v>
      </c>
      <c r="E78" s="341">
        <f>+E74</f>
        <v>0</v>
      </c>
    </row>
    <row r="79" spans="1:5" ht="24" customHeight="1" x14ac:dyDescent="0.2">
      <c r="A79" s="339">
        <v>13</v>
      </c>
      <c r="B79" s="340" t="s">
        <v>67</v>
      </c>
      <c r="C79" s="341">
        <f>+C32</f>
        <v>5405784</v>
      </c>
      <c r="D79" s="341">
        <f>+D32</f>
        <v>3591786</v>
      </c>
      <c r="E79" s="341">
        <f>+E32</f>
        <v>-3686748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35043636</v>
      </c>
      <c r="D80" s="341">
        <f>+D78+D79</f>
        <v>32296327</v>
      </c>
      <c r="E80" s="341">
        <f>+E78+E79</f>
        <v>-3686748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10115</v>
      </c>
      <c r="D11" s="376">
        <v>2191</v>
      </c>
      <c r="E11" s="376">
        <v>2194</v>
      </c>
      <c r="F11" s="377">
        <v>40</v>
      </c>
      <c r="G11" s="377">
        <v>56</v>
      </c>
      <c r="H11" s="378">
        <f>IF(F11=0,0,$C11/(F11*365))</f>
        <v>0.69280821917808222</v>
      </c>
      <c r="I11" s="378">
        <f>IF(G11=0,0,$C11/(G11*365))</f>
        <v>0.49486301369863012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1179</v>
      </c>
      <c r="D13" s="376">
        <v>115</v>
      </c>
      <c r="E13" s="376">
        <v>0</v>
      </c>
      <c r="F13" s="377">
        <v>5</v>
      </c>
      <c r="G13" s="377">
        <v>7</v>
      </c>
      <c r="H13" s="378">
        <f>IF(F13=0,0,$C13/(F13*365))</f>
        <v>0.64602739726027403</v>
      </c>
      <c r="I13" s="378">
        <f>IF(G13=0,0,$C13/(G13*365))</f>
        <v>0.4614481409001957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3818</v>
      </c>
      <c r="D16" s="376">
        <v>547</v>
      </c>
      <c r="E16" s="376">
        <v>531</v>
      </c>
      <c r="F16" s="377">
        <v>17</v>
      </c>
      <c r="G16" s="377">
        <v>20</v>
      </c>
      <c r="H16" s="378">
        <f t="shared" si="0"/>
        <v>0.61531023368251414</v>
      </c>
      <c r="I16" s="378">
        <f t="shared" si="0"/>
        <v>0.52301369863013702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3818</v>
      </c>
      <c r="D17" s="381">
        <f>SUM(D15:D16)</f>
        <v>547</v>
      </c>
      <c r="E17" s="381">
        <f>SUM(E15:E16)</f>
        <v>531</v>
      </c>
      <c r="F17" s="381">
        <f>SUM(F15:F16)</f>
        <v>17</v>
      </c>
      <c r="G17" s="381">
        <f>SUM(G15:G16)</f>
        <v>20</v>
      </c>
      <c r="H17" s="382">
        <f t="shared" si="0"/>
        <v>0.61531023368251414</v>
      </c>
      <c r="I17" s="382">
        <f t="shared" si="0"/>
        <v>0.52301369863013702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559</v>
      </c>
      <c r="D21" s="376">
        <v>201</v>
      </c>
      <c r="E21" s="376">
        <v>205</v>
      </c>
      <c r="F21" s="377">
        <v>4</v>
      </c>
      <c r="G21" s="377">
        <v>6</v>
      </c>
      <c r="H21" s="378">
        <f>IF(F21=0,0,$C21/(F21*365))</f>
        <v>0.38287671232876713</v>
      </c>
      <c r="I21" s="378">
        <f>IF(G21=0,0,$C21/(G21*365))</f>
        <v>0.25525114155251144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459</v>
      </c>
      <c r="D23" s="376">
        <v>200</v>
      </c>
      <c r="E23" s="376">
        <v>202</v>
      </c>
      <c r="F23" s="377">
        <v>4</v>
      </c>
      <c r="G23" s="377">
        <v>6</v>
      </c>
      <c r="H23" s="378">
        <f>IF(F23=0,0,$C23/(F23*365))</f>
        <v>0.31438356164383563</v>
      </c>
      <c r="I23" s="378">
        <f>IF(G23=0,0,$C23/(G23*365))</f>
        <v>0.20958904109589041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15671</v>
      </c>
      <c r="D31" s="384">
        <f>SUM(D10:D29)-D13-D17-D23</f>
        <v>2939</v>
      </c>
      <c r="E31" s="384">
        <f>SUM(E10:E29)-E17-E23</f>
        <v>2930</v>
      </c>
      <c r="F31" s="384">
        <f>SUM(F10:F29)-F17-F23</f>
        <v>66</v>
      </c>
      <c r="G31" s="384">
        <f>SUM(G10:G29)-G17-G23</f>
        <v>89</v>
      </c>
      <c r="H31" s="385">
        <f>IF(F31=0,0,$C31/(F31*365))</f>
        <v>0.65051888750518883</v>
      </c>
      <c r="I31" s="385">
        <f>IF(G31=0,0,$C31/(G31*365))</f>
        <v>0.48240726489148839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16130</v>
      </c>
      <c r="D33" s="384">
        <f>SUM(D10:D29)-D13-D17</f>
        <v>3139</v>
      </c>
      <c r="E33" s="384">
        <f>SUM(E10:E29)-E17</f>
        <v>3132</v>
      </c>
      <c r="F33" s="384">
        <f>SUM(F10:F29)-F17</f>
        <v>70</v>
      </c>
      <c r="G33" s="384">
        <f>SUM(G10:G29)-G17</f>
        <v>95</v>
      </c>
      <c r="H33" s="385">
        <f>IF(F33=0,0,$C33/(F33*365))</f>
        <v>0.63131115459882581</v>
      </c>
      <c r="I33" s="385">
        <f>IF(G33=0,0,$C33/(G33*365))</f>
        <v>0.46517664023071376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16130</v>
      </c>
      <c r="D36" s="384">
        <f t="shared" si="1"/>
        <v>3139</v>
      </c>
      <c r="E36" s="384">
        <f t="shared" si="1"/>
        <v>3132</v>
      </c>
      <c r="F36" s="384">
        <f t="shared" si="1"/>
        <v>70</v>
      </c>
      <c r="G36" s="384">
        <f t="shared" si="1"/>
        <v>95</v>
      </c>
      <c r="H36" s="387">
        <f t="shared" si="1"/>
        <v>0.63131115459882581</v>
      </c>
      <c r="I36" s="387">
        <f t="shared" si="1"/>
        <v>0.46517664023071376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16189</v>
      </c>
      <c r="D37" s="384">
        <v>3251</v>
      </c>
      <c r="E37" s="384">
        <v>3266</v>
      </c>
      <c r="F37" s="386">
        <v>72</v>
      </c>
      <c r="G37" s="386">
        <v>95</v>
      </c>
      <c r="H37" s="385">
        <f>IF(F37=0,0,$C37/(F37*365))</f>
        <v>0.61601978691019788</v>
      </c>
      <c r="I37" s="385">
        <f>IF(G37=0,0,$C37/(G37*365))</f>
        <v>0.4668781542898342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-59</v>
      </c>
      <c r="D38" s="384">
        <f t="shared" si="2"/>
        <v>-112</v>
      </c>
      <c r="E38" s="384">
        <f t="shared" si="2"/>
        <v>-134</v>
      </c>
      <c r="F38" s="384">
        <f t="shared" si="2"/>
        <v>-2</v>
      </c>
      <c r="G38" s="384">
        <f t="shared" si="2"/>
        <v>0</v>
      </c>
      <c r="H38" s="387">
        <f t="shared" si="2"/>
        <v>1.5291367688627933E-2</v>
      </c>
      <c r="I38" s="387">
        <f t="shared" si="2"/>
        <v>-1.7015140591204458E-3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-3.6444499351411452E-3</v>
      </c>
      <c r="D40" s="389">
        <f t="shared" si="3"/>
        <v>-3.4450938172869885E-2</v>
      </c>
      <c r="E40" s="389">
        <f t="shared" si="3"/>
        <v>-4.1028781383955909E-2</v>
      </c>
      <c r="F40" s="389">
        <f t="shared" si="3"/>
        <v>-2.7777777777777776E-2</v>
      </c>
      <c r="G40" s="389">
        <f t="shared" si="3"/>
        <v>0</v>
      </c>
      <c r="H40" s="389">
        <f t="shared" si="3"/>
        <v>2.4822851495283346E-2</v>
      </c>
      <c r="I40" s="389">
        <f t="shared" si="3"/>
        <v>-3.644449935141235E-3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101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1631</v>
      </c>
      <c r="D12" s="409">
        <v>1884</v>
      </c>
      <c r="E12" s="409">
        <f>+D12-C12</f>
        <v>253</v>
      </c>
      <c r="F12" s="410">
        <f>IF(C12=0,0,+E12/C12)</f>
        <v>0.15511955855303494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1665</v>
      </c>
      <c r="D13" s="409">
        <v>1707</v>
      </c>
      <c r="E13" s="409">
        <f>+D13-C13</f>
        <v>42</v>
      </c>
      <c r="F13" s="410">
        <f>IF(C13=0,0,+E13/C13)</f>
        <v>2.5225225225225224E-2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3538</v>
      </c>
      <c r="D14" s="409">
        <v>3547</v>
      </c>
      <c r="E14" s="409">
        <f>+D14-C14</f>
        <v>9</v>
      </c>
      <c r="F14" s="410">
        <f>IF(C14=0,0,+E14/C14)</f>
        <v>2.5438100621820239E-3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6834</v>
      </c>
      <c r="D16" s="401">
        <f>SUM(D12:D15)</f>
        <v>7138</v>
      </c>
      <c r="E16" s="401">
        <f>+D16-C16</f>
        <v>304</v>
      </c>
      <c r="F16" s="402">
        <f>IF(C16=0,0,+E16/C16)</f>
        <v>4.4483465027802163E-2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133</v>
      </c>
      <c r="D19" s="409">
        <v>124</v>
      </c>
      <c r="E19" s="409">
        <f>+D19-C19</f>
        <v>-9</v>
      </c>
      <c r="F19" s="410">
        <f>IF(C19=0,0,+E19/C19)</f>
        <v>-6.7669172932330823E-2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1354</v>
      </c>
      <c r="D20" s="409">
        <v>1241</v>
      </c>
      <c r="E20" s="409">
        <f>+D20-C20</f>
        <v>-113</v>
      </c>
      <c r="F20" s="410">
        <f>IF(C20=0,0,+E20/C20)</f>
        <v>-8.3456425406203835E-2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24</v>
      </c>
      <c r="D21" s="409">
        <v>19</v>
      </c>
      <c r="E21" s="409">
        <f>+D21-C21</f>
        <v>-5</v>
      </c>
      <c r="F21" s="410">
        <f>IF(C21=0,0,+E21/C21)</f>
        <v>-0.20833333333333334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1511</v>
      </c>
      <c r="D23" s="401">
        <f>SUM(D19:D22)</f>
        <v>1384</v>
      </c>
      <c r="E23" s="401">
        <f>+D23-C23</f>
        <v>-127</v>
      </c>
      <c r="F23" s="402">
        <f>IF(C23=0,0,+E23/C23)</f>
        <v>-8.405029781601589E-2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554</v>
      </c>
      <c r="D63" s="409">
        <v>492</v>
      </c>
      <c r="E63" s="409">
        <f>+D63-C63</f>
        <v>-62</v>
      </c>
      <c r="F63" s="410">
        <f>IF(C63=0,0,+E63/C63)</f>
        <v>-0.11191335740072202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2016</v>
      </c>
      <c r="D64" s="409">
        <v>2058</v>
      </c>
      <c r="E64" s="409">
        <f>+D64-C64</f>
        <v>42</v>
      </c>
      <c r="F64" s="410">
        <f>IF(C64=0,0,+E64/C64)</f>
        <v>2.0833333333333332E-2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2570</v>
      </c>
      <c r="D65" s="401">
        <f>SUM(D63:D64)</f>
        <v>2550</v>
      </c>
      <c r="E65" s="401">
        <f>+D65-C65</f>
        <v>-20</v>
      </c>
      <c r="F65" s="402">
        <f>IF(C65=0,0,+E65/C65)</f>
        <v>-7.7821011673151752E-3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97</v>
      </c>
      <c r="D68" s="409">
        <v>121</v>
      </c>
      <c r="E68" s="409">
        <f>+D68-C68</f>
        <v>24</v>
      </c>
      <c r="F68" s="410">
        <f>IF(C68=0,0,+E68/C68)</f>
        <v>0.24742268041237114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2201</v>
      </c>
      <c r="D69" s="409">
        <v>2068</v>
      </c>
      <c r="E69" s="409">
        <f>+D69-C69</f>
        <v>-133</v>
      </c>
      <c r="F69" s="412">
        <f>IF(C69=0,0,+E69/C69)</f>
        <v>-6.0427078600636078E-2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2298</v>
      </c>
      <c r="D70" s="401">
        <f>SUM(D68:D69)</f>
        <v>2189</v>
      </c>
      <c r="E70" s="401">
        <f>+D70-C70</f>
        <v>-109</v>
      </c>
      <c r="F70" s="402">
        <f>IF(C70=0,0,+E70/C70)</f>
        <v>-4.7432550043516104E-2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2537</v>
      </c>
      <c r="D73" s="376">
        <v>2309</v>
      </c>
      <c r="E73" s="409">
        <f>+D73-C73</f>
        <v>-228</v>
      </c>
      <c r="F73" s="410">
        <f>IF(C73=0,0,+E73/C73)</f>
        <v>-8.986992510839574E-2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18145</v>
      </c>
      <c r="D74" s="376">
        <v>17817</v>
      </c>
      <c r="E74" s="409">
        <f>+D74-C74</f>
        <v>-328</v>
      </c>
      <c r="F74" s="410">
        <f>IF(C74=0,0,+E74/C74)</f>
        <v>-1.8076605125378894E-2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20682</v>
      </c>
      <c r="D75" s="401">
        <f>SUM(D73:D74)</f>
        <v>20126</v>
      </c>
      <c r="E75" s="401">
        <f>SUM(E73:E74)</f>
        <v>-556</v>
      </c>
      <c r="F75" s="402">
        <f>IF(C75=0,0,+E75/C75)</f>
        <v>-2.688328014698772E-2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0</v>
      </c>
      <c r="D92" s="381">
        <f>SUM(D79:D91)</f>
        <v>0</v>
      </c>
      <c r="E92" s="401">
        <f t="shared" si="0"/>
        <v>0</v>
      </c>
      <c r="F92" s="402">
        <f t="shared" si="1"/>
        <v>0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1923</v>
      </c>
      <c r="D95" s="414">
        <v>1806</v>
      </c>
      <c r="E95" s="415">
        <f t="shared" ref="E95:E100" si="2">+D95-C95</f>
        <v>-117</v>
      </c>
      <c r="F95" s="412">
        <f t="shared" ref="F95:F100" si="3">IF(C95=0,0,+E95/C95)</f>
        <v>-6.0842433697347896E-2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1504</v>
      </c>
      <c r="D96" s="414">
        <v>1629</v>
      </c>
      <c r="E96" s="409">
        <f t="shared" si="2"/>
        <v>125</v>
      </c>
      <c r="F96" s="410">
        <f t="shared" si="3"/>
        <v>8.3111702127659573E-2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1975</v>
      </c>
      <c r="D97" s="414">
        <v>2270</v>
      </c>
      <c r="E97" s="409">
        <f t="shared" si="2"/>
        <v>295</v>
      </c>
      <c r="F97" s="410">
        <f t="shared" si="3"/>
        <v>0.14936708860759493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1002</v>
      </c>
      <c r="D98" s="414">
        <v>951</v>
      </c>
      <c r="E98" s="409">
        <f t="shared" si="2"/>
        <v>-51</v>
      </c>
      <c r="F98" s="410">
        <f t="shared" si="3"/>
        <v>-5.089820359281437E-2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76147</v>
      </c>
      <c r="D99" s="414">
        <v>76269</v>
      </c>
      <c r="E99" s="409">
        <f t="shared" si="2"/>
        <v>122</v>
      </c>
      <c r="F99" s="410">
        <f t="shared" si="3"/>
        <v>1.6021642349665778E-3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82551</v>
      </c>
      <c r="D100" s="381">
        <f>SUM(D95:D99)</f>
        <v>82925</v>
      </c>
      <c r="E100" s="401">
        <f t="shared" si="2"/>
        <v>374</v>
      </c>
      <c r="F100" s="402">
        <f t="shared" si="3"/>
        <v>4.5305326404283409E-3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118.7</v>
      </c>
      <c r="D104" s="416">
        <v>114.2</v>
      </c>
      <c r="E104" s="417">
        <f>+D104-C104</f>
        <v>-4.5</v>
      </c>
      <c r="F104" s="410">
        <f>IF(C104=0,0,+E104/C104)</f>
        <v>-3.7910699241786014E-2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0</v>
      </c>
      <c r="D105" s="416">
        <v>0</v>
      </c>
      <c r="E105" s="417">
        <f>+D105-C105</f>
        <v>0</v>
      </c>
      <c r="F105" s="410">
        <f>IF(C105=0,0,+E105/C105)</f>
        <v>0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345.5</v>
      </c>
      <c r="D106" s="416">
        <v>346.1</v>
      </c>
      <c r="E106" s="417">
        <f>+D106-C106</f>
        <v>0.60000000000002274</v>
      </c>
      <c r="F106" s="410">
        <f>IF(C106=0,0,+E106/C106)</f>
        <v>1.736613603473293E-3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464.2</v>
      </c>
      <c r="D107" s="418">
        <f>SUM(D104:D106)</f>
        <v>460.3</v>
      </c>
      <c r="E107" s="418">
        <f>+D107-C107</f>
        <v>-3.8999999999999773</v>
      </c>
      <c r="F107" s="402">
        <f>IF(C107=0,0,+E107/C107)</f>
        <v>-8.4015510555794422E-3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845</v>
      </c>
      <c r="D12" s="409">
        <v>768</v>
      </c>
      <c r="E12" s="409">
        <f>+D12-C12</f>
        <v>-77</v>
      </c>
      <c r="F12" s="410">
        <f>IF(C12=0,0,+E12/C12)</f>
        <v>-9.1124260355029588E-2</v>
      </c>
    </row>
    <row r="13" spans="1:6" ht="15.75" customHeight="1" x14ac:dyDescent="0.2">
      <c r="A13" s="374">
        <v>2</v>
      </c>
      <c r="B13" s="408" t="s">
        <v>622</v>
      </c>
      <c r="C13" s="409">
        <v>1171</v>
      </c>
      <c r="D13" s="409">
        <v>1290</v>
      </c>
      <c r="E13" s="409">
        <f>+D13-C13</f>
        <v>119</v>
      </c>
      <c r="F13" s="410">
        <f>IF(C13=0,0,+E13/C13)</f>
        <v>0.10162254483347566</v>
      </c>
    </row>
    <row r="14" spans="1:6" ht="15.75" customHeight="1" x14ac:dyDescent="0.25">
      <c r="A14" s="374"/>
      <c r="B14" s="399" t="s">
        <v>623</v>
      </c>
      <c r="C14" s="401">
        <f>SUM(C11:C13)</f>
        <v>2016</v>
      </c>
      <c r="D14" s="401">
        <f>SUM(D11:D13)</f>
        <v>2058</v>
      </c>
      <c r="E14" s="401">
        <f>+D14-C14</f>
        <v>42</v>
      </c>
      <c r="F14" s="402">
        <f>IF(C14=0,0,+E14/C14)</f>
        <v>2.0833333333333332E-2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621</v>
      </c>
      <c r="C17" s="409">
        <v>1271</v>
      </c>
      <c r="D17" s="409">
        <v>1157</v>
      </c>
      <c r="E17" s="409">
        <f>+D17-C17</f>
        <v>-114</v>
      </c>
      <c r="F17" s="410">
        <f>IF(C17=0,0,+E17/C17)</f>
        <v>-8.9693154996066088E-2</v>
      </c>
    </row>
    <row r="18" spans="1:6" ht="15.75" customHeight="1" x14ac:dyDescent="0.2">
      <c r="A18" s="374">
        <v>2</v>
      </c>
      <c r="B18" s="408" t="s">
        <v>624</v>
      </c>
      <c r="C18" s="409">
        <v>930</v>
      </c>
      <c r="D18" s="409">
        <v>911</v>
      </c>
      <c r="E18" s="409">
        <f>+D18-C18</f>
        <v>-19</v>
      </c>
      <c r="F18" s="410">
        <f>IF(C18=0,0,+E18/C18)</f>
        <v>-2.0430107526881722E-2</v>
      </c>
    </row>
    <row r="19" spans="1:6" ht="15.75" customHeight="1" x14ac:dyDescent="0.25">
      <c r="A19" s="374"/>
      <c r="B19" s="399" t="s">
        <v>625</v>
      </c>
      <c r="C19" s="401">
        <f>SUM(C16:C18)</f>
        <v>2201</v>
      </c>
      <c r="D19" s="401">
        <f>SUM(D16:D18)</f>
        <v>2068</v>
      </c>
      <c r="E19" s="401">
        <f>+D19-C19</f>
        <v>-133</v>
      </c>
      <c r="F19" s="402">
        <f>IF(C19=0,0,+E19/C19)</f>
        <v>-6.0427078600636078E-2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626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621</v>
      </c>
      <c r="C22" s="409">
        <v>18145</v>
      </c>
      <c r="D22" s="409">
        <v>17817</v>
      </c>
      <c r="E22" s="409">
        <f>+D22-C22</f>
        <v>-328</v>
      </c>
      <c r="F22" s="410">
        <f>IF(C22=0,0,+E22/C22)</f>
        <v>-1.8076605125378894E-2</v>
      </c>
    </row>
    <row r="23" spans="1:6" ht="15.75" customHeight="1" x14ac:dyDescent="0.25">
      <c r="A23" s="374"/>
      <c r="B23" s="399" t="s">
        <v>627</v>
      </c>
      <c r="C23" s="401">
        <f>SUM(C21:C22)</f>
        <v>18145</v>
      </c>
      <c r="D23" s="401">
        <f>SUM(D21:D22)</f>
        <v>17817</v>
      </c>
      <c r="E23" s="401">
        <f>+D23-C23</f>
        <v>-328</v>
      </c>
      <c r="F23" s="402">
        <f>IF(C23=0,0,+E23/C23)</f>
        <v>-1.8076605125378894E-2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0" t="s">
        <v>628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629</v>
      </c>
      <c r="C27" s="811"/>
      <c r="D27" s="811"/>
      <c r="E27" s="811"/>
      <c r="F27" s="812"/>
    </row>
    <row r="28" spans="1:6" ht="15.75" customHeight="1" x14ac:dyDescent="0.25">
      <c r="A28" s="392"/>
    </row>
    <row r="29" spans="1:6" ht="15.75" customHeight="1" x14ac:dyDescent="0.25">
      <c r="B29" s="810" t="s">
        <v>630</v>
      </c>
      <c r="C29" s="811"/>
      <c r="D29" s="811"/>
      <c r="E29" s="811"/>
      <c r="F29" s="812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631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632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633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634</v>
      </c>
      <c r="D7" s="426" t="s">
        <v>634</v>
      </c>
      <c r="E7" s="426" t="s">
        <v>635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636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637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638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639</v>
      </c>
      <c r="C15" s="448">
        <v>39724495</v>
      </c>
      <c r="D15" s="448">
        <v>40017644</v>
      </c>
      <c r="E15" s="448">
        <f t="shared" ref="E15:E24" si="0">D15-C15</f>
        <v>293149</v>
      </c>
      <c r="F15" s="449">
        <f t="shared" ref="F15:F24" si="1">IF(C15=0,0,E15/C15)</f>
        <v>7.3795525909139941E-3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640</v>
      </c>
      <c r="C16" s="448">
        <v>15012920</v>
      </c>
      <c r="D16" s="448">
        <v>13509060</v>
      </c>
      <c r="E16" s="448">
        <f t="shared" si="0"/>
        <v>-1503860</v>
      </c>
      <c r="F16" s="449">
        <f t="shared" si="1"/>
        <v>-0.10017105266663646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641</v>
      </c>
      <c r="C17" s="453">
        <f>IF(C15=0,0,C16/C15)</f>
        <v>0.37792601265289844</v>
      </c>
      <c r="D17" s="453">
        <f>IF(LN_IA1=0,0,LN_IA2/LN_IA1)</f>
        <v>0.33757759452305586</v>
      </c>
      <c r="E17" s="454">
        <f t="shared" si="0"/>
        <v>-4.0348418129842578E-2</v>
      </c>
      <c r="F17" s="449">
        <f t="shared" si="1"/>
        <v>-0.10676274397364675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1601</v>
      </c>
      <c r="D18" s="456">
        <v>1633</v>
      </c>
      <c r="E18" s="456">
        <f t="shared" si="0"/>
        <v>32</v>
      </c>
      <c r="F18" s="449">
        <f t="shared" si="1"/>
        <v>1.9987507807620236E-2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642</v>
      </c>
      <c r="C19" s="459">
        <v>1.3225</v>
      </c>
      <c r="D19" s="459">
        <v>1.3169999999999999</v>
      </c>
      <c r="E19" s="460">
        <f t="shared" si="0"/>
        <v>-5.5000000000000604E-3</v>
      </c>
      <c r="F19" s="449">
        <f t="shared" si="1"/>
        <v>-4.1587901701323707E-3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643</v>
      </c>
      <c r="C20" s="463">
        <f>C18*C19</f>
        <v>2117.3225000000002</v>
      </c>
      <c r="D20" s="463">
        <f>LN_IA4*LN_IA5</f>
        <v>2150.6610000000001</v>
      </c>
      <c r="E20" s="463">
        <f t="shared" si="0"/>
        <v>33.33849999999984</v>
      </c>
      <c r="F20" s="449">
        <f t="shared" si="1"/>
        <v>1.5745593786492061E-2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644</v>
      </c>
      <c r="C21" s="465">
        <f>IF(C20=0,0,C16/C20)</f>
        <v>7090.5211652924854</v>
      </c>
      <c r="D21" s="465">
        <f>IF(LN_IA6=0,0,LN_IA2/LN_IA6)</f>
        <v>6281.3525702098095</v>
      </c>
      <c r="E21" s="465">
        <f t="shared" si="0"/>
        <v>-809.16859508267589</v>
      </c>
      <c r="F21" s="449">
        <f t="shared" si="1"/>
        <v>-0.11411976302158003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9242</v>
      </c>
      <c r="D22" s="456">
        <v>9745</v>
      </c>
      <c r="E22" s="456">
        <f t="shared" si="0"/>
        <v>503</v>
      </c>
      <c r="F22" s="449">
        <f t="shared" si="1"/>
        <v>5.4425449037004976E-2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645</v>
      </c>
      <c r="C23" s="465">
        <f>IF(C22=0,0,C16/C22)</f>
        <v>1624.4232850032461</v>
      </c>
      <c r="D23" s="465">
        <f>IF(LN_IA8=0,0,LN_IA2/LN_IA8)</f>
        <v>1386.2555156490507</v>
      </c>
      <c r="E23" s="465">
        <f t="shared" si="0"/>
        <v>-238.16776935419534</v>
      </c>
      <c r="F23" s="449">
        <f t="shared" si="1"/>
        <v>-0.14661681567419751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646</v>
      </c>
      <c r="C24" s="466">
        <f>IF(C18=0,0,C22/C18)</f>
        <v>5.77264209868832</v>
      </c>
      <c r="D24" s="466">
        <f>IF(LN_IA4=0,0,LN_IA8/LN_IA4)</f>
        <v>5.9675443968156765</v>
      </c>
      <c r="E24" s="466">
        <f t="shared" si="0"/>
        <v>0.19490229812735649</v>
      </c>
      <c r="F24" s="449">
        <f t="shared" si="1"/>
        <v>3.3763100984840699E-2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647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648</v>
      </c>
      <c r="C27" s="448">
        <v>29240458</v>
      </c>
      <c r="D27" s="448">
        <v>36025736</v>
      </c>
      <c r="E27" s="448">
        <f t="shared" ref="E27:E32" si="2">D27-C27</f>
        <v>6785278</v>
      </c>
      <c r="F27" s="449">
        <f t="shared" ref="F27:F32" si="3">IF(C27=0,0,E27/C27)</f>
        <v>0.23205101643756743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649</v>
      </c>
      <c r="C28" s="448">
        <v>9656813</v>
      </c>
      <c r="D28" s="448">
        <v>8943188</v>
      </c>
      <c r="E28" s="448">
        <f t="shared" si="2"/>
        <v>-713625</v>
      </c>
      <c r="F28" s="449">
        <f t="shared" si="3"/>
        <v>-7.3898604021844477E-2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650</v>
      </c>
      <c r="C29" s="453">
        <f>IF(C27=0,0,C28/C27)</f>
        <v>0.33025518957329603</v>
      </c>
      <c r="D29" s="453">
        <f>IF(LN_IA11=0,0,LN_IA12/LN_IA11)</f>
        <v>0.24824442171007971</v>
      </c>
      <c r="E29" s="454">
        <f t="shared" si="2"/>
        <v>-8.2010767863216316E-2</v>
      </c>
      <c r="F29" s="449">
        <f t="shared" si="3"/>
        <v>-0.24832544787313643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651</v>
      </c>
      <c r="C30" s="453">
        <f>IF(C15=0,0,C27/C15)</f>
        <v>0.73608130197753296</v>
      </c>
      <c r="D30" s="453">
        <f>IF(LN_IA1=0,0,LN_IA11/LN_IA1)</f>
        <v>0.90024630135647166</v>
      </c>
      <c r="E30" s="454">
        <f t="shared" si="2"/>
        <v>0.16416499937893869</v>
      </c>
      <c r="F30" s="449">
        <f t="shared" si="3"/>
        <v>0.22302563444812162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652</v>
      </c>
      <c r="C31" s="463">
        <f>C30*C18</f>
        <v>1178.4661644660302</v>
      </c>
      <c r="D31" s="463">
        <f>LN_IA14*LN_IA4</f>
        <v>1470.1022101151182</v>
      </c>
      <c r="E31" s="463">
        <f t="shared" si="2"/>
        <v>291.63604564908792</v>
      </c>
      <c r="F31" s="449">
        <f t="shared" si="3"/>
        <v>0.24747086886557315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653</v>
      </c>
      <c r="C32" s="465">
        <f>IF(C31=0,0,C28/C31)</f>
        <v>8194.3913972070277</v>
      </c>
      <c r="D32" s="465">
        <f>IF(LN_IA15=0,0,LN_IA12/LN_IA15)</f>
        <v>6083.3783790446059</v>
      </c>
      <c r="E32" s="465">
        <f t="shared" si="2"/>
        <v>-2111.0130181624218</v>
      </c>
      <c r="F32" s="449">
        <f t="shared" si="3"/>
        <v>-0.25761681567735933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654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655</v>
      </c>
      <c r="C35" s="448">
        <f>C15+C27</f>
        <v>68964953</v>
      </c>
      <c r="D35" s="448">
        <f>LN_IA1+LN_IA11</f>
        <v>76043380</v>
      </c>
      <c r="E35" s="448">
        <f>D35-C35</f>
        <v>7078427</v>
      </c>
      <c r="F35" s="449">
        <f>IF(C35=0,0,E35/C35)</f>
        <v>0.10263803123305253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656</v>
      </c>
      <c r="C36" s="448">
        <f>C16+C28</f>
        <v>24669733</v>
      </c>
      <c r="D36" s="448">
        <f>LN_IA2+LN_IA12</f>
        <v>22452248</v>
      </c>
      <c r="E36" s="448">
        <f>D36-C36</f>
        <v>-2217485</v>
      </c>
      <c r="F36" s="449">
        <f>IF(C36=0,0,E36/C36)</f>
        <v>-8.9886866631268367E-2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657</v>
      </c>
      <c r="C37" s="448">
        <f>C35-C36</f>
        <v>44295220</v>
      </c>
      <c r="D37" s="448">
        <f>LN_IA17-LN_IA18</f>
        <v>53591132</v>
      </c>
      <c r="E37" s="448">
        <f>D37-C37</f>
        <v>9295912</v>
      </c>
      <c r="F37" s="449">
        <f>IF(C37=0,0,E37/C37)</f>
        <v>0.20986264432144144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658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659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639</v>
      </c>
      <c r="C42" s="448">
        <v>15559054</v>
      </c>
      <c r="D42" s="448">
        <v>13247394</v>
      </c>
      <c r="E42" s="448">
        <f t="shared" ref="E42:E53" si="4">D42-C42</f>
        <v>-2311660</v>
      </c>
      <c r="F42" s="449">
        <f t="shared" ref="F42:F53" si="5">IF(C42=0,0,E42/C42)</f>
        <v>-0.14857330015051043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640</v>
      </c>
      <c r="C43" s="448">
        <v>8489972</v>
      </c>
      <c r="D43" s="448">
        <v>7112017</v>
      </c>
      <c r="E43" s="448">
        <f t="shared" si="4"/>
        <v>-1377955</v>
      </c>
      <c r="F43" s="449">
        <f t="shared" si="5"/>
        <v>-0.16230383327530409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641</v>
      </c>
      <c r="C44" s="453">
        <f>IF(C42=0,0,C43/C42)</f>
        <v>0.54566119508294009</v>
      </c>
      <c r="D44" s="453">
        <f>IF(LN_IB1=0,0,LN_IB2/LN_IB1)</f>
        <v>0.5368615895322506</v>
      </c>
      <c r="E44" s="454">
        <f t="shared" si="4"/>
        <v>-8.7996055506894821E-3</v>
      </c>
      <c r="F44" s="449">
        <f t="shared" si="5"/>
        <v>-1.6126500528138066E-2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985</v>
      </c>
      <c r="D45" s="456">
        <v>896</v>
      </c>
      <c r="E45" s="456">
        <f t="shared" si="4"/>
        <v>-89</v>
      </c>
      <c r="F45" s="449">
        <f t="shared" si="5"/>
        <v>-9.0355329949238575E-2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642</v>
      </c>
      <c r="C46" s="459">
        <v>1.03942</v>
      </c>
      <c r="D46" s="459">
        <v>0.96850000000000003</v>
      </c>
      <c r="E46" s="460">
        <f t="shared" si="4"/>
        <v>-7.0919999999999983E-2</v>
      </c>
      <c r="F46" s="449">
        <f t="shared" si="5"/>
        <v>-6.8230359238806243E-2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643</v>
      </c>
      <c r="C47" s="463">
        <f>C45*C46</f>
        <v>1023.8287</v>
      </c>
      <c r="D47" s="463">
        <f>LN_IB4*LN_IB5</f>
        <v>867.77600000000007</v>
      </c>
      <c r="E47" s="463">
        <f t="shared" si="4"/>
        <v>-156.05269999999996</v>
      </c>
      <c r="F47" s="449">
        <f t="shared" si="5"/>
        <v>-0.15242071256646739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644</v>
      </c>
      <c r="C48" s="465">
        <f>IF(C47=0,0,C43/C47)</f>
        <v>8292.3754725766139</v>
      </c>
      <c r="D48" s="465">
        <f>IF(LN_IB6=0,0,LN_IB2/LN_IB6)</f>
        <v>8195.682987314698</v>
      </c>
      <c r="E48" s="465">
        <f t="shared" si="4"/>
        <v>-96.692485261915863</v>
      </c>
      <c r="F48" s="449">
        <f t="shared" si="5"/>
        <v>-1.1660408477846156E-2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660</v>
      </c>
      <c r="C49" s="465">
        <f>C21-C48</f>
        <v>-1201.8543072841285</v>
      </c>
      <c r="D49" s="465">
        <f>LN_IA7-LN_IB7</f>
        <v>-1914.3304171048885</v>
      </c>
      <c r="E49" s="465">
        <f t="shared" si="4"/>
        <v>-712.47610982076003</v>
      </c>
      <c r="F49" s="449">
        <f t="shared" si="5"/>
        <v>0.5928140420204232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661</v>
      </c>
      <c r="C50" s="479">
        <f>C49*C47</f>
        <v>-1230492.9330161097</v>
      </c>
      <c r="D50" s="479">
        <f>LN_IB8*LN_IB6</f>
        <v>-1661209.9920336118</v>
      </c>
      <c r="E50" s="479">
        <f t="shared" si="4"/>
        <v>-430717.059017502</v>
      </c>
      <c r="F50" s="449">
        <f t="shared" si="5"/>
        <v>0.35003619074979525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3951</v>
      </c>
      <c r="D51" s="456">
        <v>3650</v>
      </c>
      <c r="E51" s="456">
        <f t="shared" si="4"/>
        <v>-301</v>
      </c>
      <c r="F51" s="449">
        <f t="shared" si="5"/>
        <v>-7.6183244748165027E-2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645</v>
      </c>
      <c r="C52" s="465">
        <f>IF(C51=0,0,C43/C51)</f>
        <v>2148.8159959503923</v>
      </c>
      <c r="D52" s="465">
        <f>IF(LN_IB10=0,0,LN_IB2/LN_IB10)</f>
        <v>1948.4978082191781</v>
      </c>
      <c r="E52" s="465">
        <f t="shared" si="4"/>
        <v>-200.31818773121427</v>
      </c>
      <c r="F52" s="449">
        <f t="shared" si="5"/>
        <v>-9.3222587745404525E-2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646</v>
      </c>
      <c r="C53" s="466">
        <f>IF(C45=0,0,C51/C45)</f>
        <v>4.0111675126903554</v>
      </c>
      <c r="D53" s="466">
        <f>IF(LN_IB4=0,0,LN_IB10/LN_IB4)</f>
        <v>4.0736607142857144</v>
      </c>
      <c r="E53" s="466">
        <f t="shared" si="4"/>
        <v>6.2493201595358983E-2</v>
      </c>
      <c r="F53" s="449">
        <f t="shared" si="5"/>
        <v>1.55798034855552E-2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662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648</v>
      </c>
      <c r="C56" s="448">
        <v>43029416</v>
      </c>
      <c r="D56" s="448">
        <v>43214603</v>
      </c>
      <c r="E56" s="448">
        <f t="shared" ref="E56:E63" si="6">D56-C56</f>
        <v>185187</v>
      </c>
      <c r="F56" s="449">
        <f t="shared" ref="F56:F63" si="7">IF(C56=0,0,E56/C56)</f>
        <v>4.3037302667551887E-3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649</v>
      </c>
      <c r="C57" s="448">
        <v>22273804</v>
      </c>
      <c r="D57" s="448">
        <v>21768819</v>
      </c>
      <c r="E57" s="448">
        <f t="shared" si="6"/>
        <v>-504985</v>
      </c>
      <c r="F57" s="449">
        <f t="shared" si="7"/>
        <v>-2.2671699903617722E-2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650</v>
      </c>
      <c r="C58" s="453">
        <f>IF(C56=0,0,C57/C56)</f>
        <v>0.51764132704008814</v>
      </c>
      <c r="D58" s="453">
        <f>IF(LN_IB13=0,0,LN_IB14/LN_IB13)</f>
        <v>0.50373756759954502</v>
      </c>
      <c r="E58" s="454">
        <f t="shared" si="6"/>
        <v>-1.3903759440543118E-2</v>
      </c>
      <c r="F58" s="449">
        <f t="shared" si="7"/>
        <v>-2.6859832695441562E-2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651</v>
      </c>
      <c r="C59" s="453">
        <f>IF(C42=0,0,C56/C42)</f>
        <v>2.7655547695894622</v>
      </c>
      <c r="D59" s="453">
        <f>IF(LN_IB1=0,0,LN_IB13/LN_IB1)</f>
        <v>3.2621210632068465</v>
      </c>
      <c r="E59" s="454">
        <f t="shared" si="6"/>
        <v>0.49656629361738425</v>
      </c>
      <c r="F59" s="449">
        <f t="shared" si="7"/>
        <v>0.17955395390383028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652</v>
      </c>
      <c r="C60" s="463">
        <f>C59*C45</f>
        <v>2724.0714480456204</v>
      </c>
      <c r="D60" s="463">
        <f>LN_IB16*LN_IB4</f>
        <v>2922.8604726333342</v>
      </c>
      <c r="E60" s="463">
        <f t="shared" si="6"/>
        <v>198.78902458771381</v>
      </c>
      <c r="F60" s="449">
        <f t="shared" si="7"/>
        <v>7.2974967205920602E-2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653</v>
      </c>
      <c r="C61" s="465">
        <f>IF(C60=0,0,C57/C60)</f>
        <v>8176.6592487800917</v>
      </c>
      <c r="D61" s="465">
        <f>IF(LN_IB17=0,0,LN_IB14/LN_IB17)</f>
        <v>7447.7790520009012</v>
      </c>
      <c r="E61" s="465">
        <f t="shared" si="6"/>
        <v>-728.88019677919056</v>
      </c>
      <c r="F61" s="449">
        <f t="shared" si="7"/>
        <v>-8.9141564372752238E-2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663</v>
      </c>
      <c r="C62" s="465">
        <f>C32-C61</f>
        <v>17.732148426935964</v>
      </c>
      <c r="D62" s="465">
        <f>LN_IA16-LN_IB18</f>
        <v>-1364.4006729562952</v>
      </c>
      <c r="E62" s="465">
        <f t="shared" si="6"/>
        <v>-1382.1328213832312</v>
      </c>
      <c r="F62" s="449">
        <f t="shared" si="7"/>
        <v>-77.945028887966373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664</v>
      </c>
      <c r="C63" s="448">
        <f>C62*C60</f>
        <v>48303.639242323319</v>
      </c>
      <c r="D63" s="448">
        <f>LN_IB19*LN_IB17</f>
        <v>-3987952.7958182762</v>
      </c>
      <c r="E63" s="448">
        <f t="shared" si="6"/>
        <v>-4036256.4350605994</v>
      </c>
      <c r="F63" s="449">
        <f t="shared" si="7"/>
        <v>-83.560089847724328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665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655</v>
      </c>
      <c r="C66" s="448">
        <f>C42+C56</f>
        <v>58588470</v>
      </c>
      <c r="D66" s="448">
        <f>LN_IB1+LN_IB13</f>
        <v>56461997</v>
      </c>
      <c r="E66" s="448">
        <f>D66-C66</f>
        <v>-2126473</v>
      </c>
      <c r="F66" s="449">
        <f>IF(C66=0,0,E66/C66)</f>
        <v>-3.6295076488599205E-2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656</v>
      </c>
      <c r="C67" s="448">
        <f>C43+C57</f>
        <v>30763776</v>
      </c>
      <c r="D67" s="448">
        <f>LN_IB2+LN_IB14</f>
        <v>28880836</v>
      </c>
      <c r="E67" s="448">
        <f>D67-C67</f>
        <v>-1882940</v>
      </c>
      <c r="F67" s="449">
        <f>IF(C67=0,0,E67/C67)</f>
        <v>-6.1206400670710905E-2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657</v>
      </c>
      <c r="C68" s="448">
        <f>C66-C67</f>
        <v>27824694</v>
      </c>
      <c r="D68" s="448">
        <f>LN_IB21-LN_IB22</f>
        <v>27581161</v>
      </c>
      <c r="E68" s="448">
        <f>D68-C68</f>
        <v>-243533</v>
      </c>
      <c r="F68" s="449">
        <f>IF(C68=0,0,E68/C68)</f>
        <v>-8.7524053274404389E-3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666</v>
      </c>
      <c r="C70" s="441">
        <f>C50+C63</f>
        <v>-1182189.2937737864</v>
      </c>
      <c r="D70" s="441">
        <f>LN_IB9+LN_IB20</f>
        <v>-5649162.7878518878</v>
      </c>
      <c r="E70" s="448">
        <f>D70-C70</f>
        <v>-4466973.4940781016</v>
      </c>
      <c r="F70" s="449">
        <f>IF(C70=0,0,E70/C70)</f>
        <v>3.778560267466661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667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668</v>
      </c>
      <c r="C73" s="488">
        <v>58588470</v>
      </c>
      <c r="D73" s="488">
        <v>56461997</v>
      </c>
      <c r="E73" s="488">
        <f>D73-C73</f>
        <v>-2126473</v>
      </c>
      <c r="F73" s="489">
        <f>IF(C73=0,0,E73/C73)</f>
        <v>-3.6295076488599205E-2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669</v>
      </c>
      <c r="C74" s="488">
        <v>30763776</v>
      </c>
      <c r="D74" s="488">
        <v>29684854</v>
      </c>
      <c r="E74" s="488">
        <f>D74-C74</f>
        <v>-1078922</v>
      </c>
      <c r="F74" s="489">
        <f>IF(C74=0,0,E74/C74)</f>
        <v>-3.5071182419219277E-2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670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671</v>
      </c>
      <c r="C76" s="441">
        <f>C73-C74</f>
        <v>27824694</v>
      </c>
      <c r="D76" s="441">
        <f>LN_IB32-LN_IB33</f>
        <v>26777143</v>
      </c>
      <c r="E76" s="488">
        <f>D76-C76</f>
        <v>-1047551</v>
      </c>
      <c r="F76" s="489">
        <f>IF(E76=0,0,E76/C76)</f>
        <v>-3.7648248710300279E-2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672</v>
      </c>
      <c r="C77" s="453">
        <f>IF(C73=0,0,C76/C73)</f>
        <v>0.47491757337237173</v>
      </c>
      <c r="D77" s="453">
        <f>IF(LN_IB32=0,0,LN_IB34/LN_IB32)</f>
        <v>0.47425072478396396</v>
      </c>
      <c r="E77" s="493">
        <f>D77-C77</f>
        <v>-6.6684858840776462E-4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673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674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639</v>
      </c>
      <c r="C83" s="448">
        <v>1122051</v>
      </c>
      <c r="D83" s="448">
        <v>647359</v>
      </c>
      <c r="E83" s="448">
        <f t="shared" ref="E83:E95" si="8">D83-C83</f>
        <v>-474692</v>
      </c>
      <c r="F83" s="449">
        <f t="shared" ref="F83:F95" si="9">IF(C83=0,0,E83/C83)</f>
        <v>-0.42305741895867477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640</v>
      </c>
      <c r="C84" s="448">
        <v>14045</v>
      </c>
      <c r="D84" s="448">
        <v>100</v>
      </c>
      <c r="E84" s="448">
        <f t="shared" si="8"/>
        <v>-13945</v>
      </c>
      <c r="F84" s="449">
        <f t="shared" si="9"/>
        <v>-0.9928800284798861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641</v>
      </c>
      <c r="C85" s="453">
        <f>IF(C83=0,0,C84/C83)</f>
        <v>1.2517256345745425E-2</v>
      </c>
      <c r="D85" s="453">
        <f>IF(LN_IC1=0,0,LN_IC2/LN_IC1)</f>
        <v>1.5447379274869123E-4</v>
      </c>
      <c r="E85" s="454">
        <f t="shared" si="8"/>
        <v>-1.2362782552996733E-2</v>
      </c>
      <c r="F85" s="449">
        <f t="shared" si="9"/>
        <v>-0.9876591332411917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76</v>
      </c>
      <c r="D86" s="456">
        <v>48</v>
      </c>
      <c r="E86" s="456">
        <f t="shared" si="8"/>
        <v>-28</v>
      </c>
      <c r="F86" s="449">
        <f t="shared" si="9"/>
        <v>-0.36842105263157893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642</v>
      </c>
      <c r="C87" s="459">
        <v>0.97609999999999997</v>
      </c>
      <c r="D87" s="459">
        <v>1.0148999999999999</v>
      </c>
      <c r="E87" s="460">
        <f t="shared" si="8"/>
        <v>3.8799999999999946E-2</v>
      </c>
      <c r="F87" s="449">
        <f t="shared" si="9"/>
        <v>3.9750025612129848E-2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643</v>
      </c>
      <c r="C88" s="463">
        <f>C86*C87</f>
        <v>74.183599999999998</v>
      </c>
      <c r="D88" s="463">
        <f>LN_IC4*LN_IC5</f>
        <v>48.715199999999996</v>
      </c>
      <c r="E88" s="463">
        <f t="shared" si="8"/>
        <v>-25.468400000000003</v>
      </c>
      <c r="F88" s="449">
        <f t="shared" si="9"/>
        <v>-0.34331577329760221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644</v>
      </c>
      <c r="C89" s="465">
        <f>IF(C88=0,0,C84/C88)</f>
        <v>189.32756026938569</v>
      </c>
      <c r="D89" s="465">
        <f>IF(LN_IC6=0,0,LN_IC2/LN_IC6)</f>
        <v>2.0527473971163008</v>
      </c>
      <c r="E89" s="465">
        <f t="shared" si="8"/>
        <v>-187.27481287226939</v>
      </c>
      <c r="F89" s="449">
        <f t="shared" si="9"/>
        <v>-0.98915769371244455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675</v>
      </c>
      <c r="C90" s="465">
        <f>C48-C89</f>
        <v>8103.0479123072282</v>
      </c>
      <c r="D90" s="465">
        <f>LN_IB7-LN_IC7</f>
        <v>8193.630239917582</v>
      </c>
      <c r="E90" s="465">
        <f t="shared" si="8"/>
        <v>90.582327610353786</v>
      </c>
      <c r="F90" s="449">
        <f t="shared" si="9"/>
        <v>1.1178796989805994E-2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676</v>
      </c>
      <c r="C91" s="465">
        <f>C21-C89</f>
        <v>6901.1936050230997</v>
      </c>
      <c r="D91" s="465">
        <f>LN_IA7-LN_IC7</f>
        <v>6279.2998228126935</v>
      </c>
      <c r="E91" s="465">
        <f t="shared" si="8"/>
        <v>-621.89378221040624</v>
      </c>
      <c r="F91" s="449">
        <f t="shared" si="9"/>
        <v>-9.0113945181563224E-2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661</v>
      </c>
      <c r="C92" s="441">
        <f>C91*C88</f>
        <v>511955.38591759163</v>
      </c>
      <c r="D92" s="441">
        <f>LN_IC9*LN_IC6</f>
        <v>305897.3467282849</v>
      </c>
      <c r="E92" s="441">
        <f t="shared" si="8"/>
        <v>-206058.03918930673</v>
      </c>
      <c r="F92" s="449">
        <f t="shared" si="9"/>
        <v>-0.40249217970425932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318</v>
      </c>
      <c r="D93" s="456">
        <v>180</v>
      </c>
      <c r="E93" s="456">
        <f t="shared" si="8"/>
        <v>-138</v>
      </c>
      <c r="F93" s="449">
        <f t="shared" si="9"/>
        <v>-0.43396226415094341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645</v>
      </c>
      <c r="C94" s="499">
        <f>IF(C93=0,0,C84/C93)</f>
        <v>44.166666666666664</v>
      </c>
      <c r="D94" s="499">
        <f>IF(LN_IC11=0,0,LN_IC2/LN_IC11)</f>
        <v>0.55555555555555558</v>
      </c>
      <c r="E94" s="499">
        <f t="shared" si="8"/>
        <v>-43.611111111111107</v>
      </c>
      <c r="F94" s="449">
        <f t="shared" si="9"/>
        <v>-0.98742138364779874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646</v>
      </c>
      <c r="C95" s="466">
        <f>IF(C86=0,0,C93/C86)</f>
        <v>4.1842105263157894</v>
      </c>
      <c r="D95" s="466">
        <f>IF(LN_IC4=0,0,LN_IC11/LN_IC4)</f>
        <v>3.75</v>
      </c>
      <c r="E95" s="466">
        <f t="shared" si="8"/>
        <v>-0.43421052631578938</v>
      </c>
      <c r="F95" s="449">
        <f t="shared" si="9"/>
        <v>-0.10377358490566035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677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648</v>
      </c>
      <c r="C98" s="448">
        <v>2070919</v>
      </c>
      <c r="D98" s="448">
        <v>1890367</v>
      </c>
      <c r="E98" s="448">
        <f t="shared" ref="E98:E106" si="10">D98-C98</f>
        <v>-180552</v>
      </c>
      <c r="F98" s="449">
        <f t="shared" ref="F98:F106" si="11">IF(C98=0,0,E98/C98)</f>
        <v>-8.7184481865297481E-2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649</v>
      </c>
      <c r="C99" s="448">
        <v>108242</v>
      </c>
      <c r="D99" s="448">
        <v>95389</v>
      </c>
      <c r="E99" s="448">
        <f t="shared" si="10"/>
        <v>-12853</v>
      </c>
      <c r="F99" s="449">
        <f t="shared" si="11"/>
        <v>-0.11874318656344118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650</v>
      </c>
      <c r="C100" s="453">
        <f>IF(C98=0,0,C99/C98)</f>
        <v>5.2267616454337425E-2</v>
      </c>
      <c r="D100" s="453">
        <f>IF(LN_IC14=0,0,LN_IC15/LN_IC14)</f>
        <v>5.0460571941850448E-2</v>
      </c>
      <c r="E100" s="454">
        <f t="shared" si="10"/>
        <v>-1.8070445124869772E-3</v>
      </c>
      <c r="F100" s="449">
        <f t="shared" si="11"/>
        <v>-3.4572927465817499E-2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651</v>
      </c>
      <c r="C101" s="453">
        <f>IF(C83=0,0,C98/C83)</f>
        <v>1.8456549657725005</v>
      </c>
      <c r="D101" s="453">
        <f>IF(LN_IC1=0,0,LN_IC14/LN_IC1)</f>
        <v>2.9201216017696519</v>
      </c>
      <c r="E101" s="454">
        <f t="shared" si="10"/>
        <v>1.0744666359971513</v>
      </c>
      <c r="F101" s="449">
        <f t="shared" si="11"/>
        <v>0.58216007646230472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652</v>
      </c>
      <c r="C102" s="463">
        <f>C101*C86</f>
        <v>140.26977739871003</v>
      </c>
      <c r="D102" s="463">
        <f>LN_IC17*LN_IC4</f>
        <v>140.1658368849433</v>
      </c>
      <c r="E102" s="463">
        <f t="shared" si="10"/>
        <v>-0.10394051376673019</v>
      </c>
      <c r="F102" s="449">
        <f t="shared" si="11"/>
        <v>-7.4100433959686362E-4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653</v>
      </c>
      <c r="C103" s="465">
        <f>IF(C102=0,0,C99/C102)</f>
        <v>771.67014881849684</v>
      </c>
      <c r="D103" s="465">
        <f>IF(LN_IC18=0,0,LN_IC15/LN_IC18)</f>
        <v>680.54386232717411</v>
      </c>
      <c r="E103" s="465">
        <f t="shared" si="10"/>
        <v>-91.12628649132273</v>
      </c>
      <c r="F103" s="449">
        <f t="shared" si="11"/>
        <v>-0.11808968719451707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678</v>
      </c>
      <c r="C104" s="465">
        <f>C61-C103</f>
        <v>7404.9890999615945</v>
      </c>
      <c r="D104" s="465">
        <f>LN_IB18-LN_IC19</f>
        <v>6767.2351896737273</v>
      </c>
      <c r="E104" s="465">
        <f t="shared" si="10"/>
        <v>-637.75391028786726</v>
      </c>
      <c r="F104" s="449">
        <f t="shared" si="11"/>
        <v>-8.6124895213036151E-2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679</v>
      </c>
      <c r="C105" s="465">
        <f>C32-C103</f>
        <v>7422.7212483885305</v>
      </c>
      <c r="D105" s="465">
        <f>LN_IA16-LN_IC19</f>
        <v>5402.8345167174321</v>
      </c>
      <c r="E105" s="465">
        <f t="shared" si="10"/>
        <v>-2019.8867316710985</v>
      </c>
      <c r="F105" s="449">
        <f t="shared" si="11"/>
        <v>-0.27212213204282931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664</v>
      </c>
      <c r="C106" s="448">
        <f>C105*C102</f>
        <v>1041183.4572041342</v>
      </c>
      <c r="D106" s="448">
        <f>LN_IC21*LN_IC18</f>
        <v>757292.82158655708</v>
      </c>
      <c r="E106" s="448">
        <f t="shared" si="10"/>
        <v>-283890.63561757712</v>
      </c>
      <c r="F106" s="449">
        <f t="shared" si="11"/>
        <v>-0.27266149270168205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680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655</v>
      </c>
      <c r="C109" s="448">
        <f>C83+C98</f>
        <v>3192970</v>
      </c>
      <c r="D109" s="448">
        <f>LN_IC1+LN_IC14</f>
        <v>2537726</v>
      </c>
      <c r="E109" s="448">
        <f>D109-C109</f>
        <v>-655244</v>
      </c>
      <c r="F109" s="449">
        <f>IF(C109=0,0,E109/C109)</f>
        <v>-0.20521458078215579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656</v>
      </c>
      <c r="C110" s="448">
        <f>C84+C99</f>
        <v>122287</v>
      </c>
      <c r="D110" s="448">
        <f>LN_IC2+LN_IC15</f>
        <v>95489</v>
      </c>
      <c r="E110" s="448">
        <f>D110-C110</f>
        <v>-26798</v>
      </c>
      <c r="F110" s="449">
        <f>IF(C110=0,0,E110/C110)</f>
        <v>-0.21914021932012398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657</v>
      </c>
      <c r="C111" s="448">
        <f>C109-C110</f>
        <v>3070683</v>
      </c>
      <c r="D111" s="448">
        <f>LN_IC23-LN_IC24</f>
        <v>2442237</v>
      </c>
      <c r="E111" s="448">
        <f>D111-C111</f>
        <v>-628446</v>
      </c>
      <c r="F111" s="449">
        <f>IF(C111=0,0,E111/C111)</f>
        <v>-0.2046600056078729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666</v>
      </c>
      <c r="C113" s="448">
        <f>C92+C106</f>
        <v>1553138.8431217258</v>
      </c>
      <c r="D113" s="448">
        <f>LN_IC10+LN_IC22</f>
        <v>1063190.168314842</v>
      </c>
      <c r="E113" s="448">
        <f>D113-C113</f>
        <v>-489948.67480688379</v>
      </c>
      <c r="F113" s="449">
        <f>IF(C113=0,0,E113/C113)</f>
        <v>-0.31545709965125412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681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682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639</v>
      </c>
      <c r="C118" s="448">
        <v>9988388</v>
      </c>
      <c r="D118" s="448">
        <v>8611611</v>
      </c>
      <c r="E118" s="448">
        <f t="shared" ref="E118:E130" si="12">D118-C118</f>
        <v>-1376777</v>
      </c>
      <c r="F118" s="449">
        <f t="shared" ref="F118:F130" si="13">IF(C118=0,0,E118/C118)</f>
        <v>-0.1378377572036649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640</v>
      </c>
      <c r="C119" s="448">
        <v>3385438</v>
      </c>
      <c r="D119" s="448">
        <v>1929397</v>
      </c>
      <c r="E119" s="448">
        <f t="shared" si="12"/>
        <v>-1456041</v>
      </c>
      <c r="F119" s="449">
        <f t="shared" si="13"/>
        <v>-0.43008940054433131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641</v>
      </c>
      <c r="C120" s="453">
        <f>IF(C118=0,0,C119/C118)</f>
        <v>0.33893737407878027</v>
      </c>
      <c r="D120" s="453">
        <f>IF(LN_ID1=0,0,LN_1D2/LN_ID1)</f>
        <v>0.22404600021993562</v>
      </c>
      <c r="E120" s="454">
        <f t="shared" si="12"/>
        <v>-0.11489137385884465</v>
      </c>
      <c r="F120" s="449">
        <f t="shared" si="13"/>
        <v>-0.33897522859824863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646</v>
      </c>
      <c r="D121" s="456">
        <v>581</v>
      </c>
      <c r="E121" s="456">
        <f t="shared" si="12"/>
        <v>-65</v>
      </c>
      <c r="F121" s="449">
        <f t="shared" si="13"/>
        <v>-0.10061919504643962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642</v>
      </c>
      <c r="C122" s="459">
        <v>0.97484999999999999</v>
      </c>
      <c r="D122" s="459">
        <v>0.94340000000000002</v>
      </c>
      <c r="E122" s="460">
        <f t="shared" si="12"/>
        <v>-3.1449999999999978E-2</v>
      </c>
      <c r="F122" s="449">
        <f t="shared" si="13"/>
        <v>-3.2261373544647871E-2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643</v>
      </c>
      <c r="C123" s="463">
        <f>C121*C122</f>
        <v>629.75310000000002</v>
      </c>
      <c r="D123" s="463">
        <f>LN_ID4*LN_ID5</f>
        <v>548.11540000000002</v>
      </c>
      <c r="E123" s="463">
        <f t="shared" si="12"/>
        <v>-81.637699999999995</v>
      </c>
      <c r="F123" s="449">
        <f t="shared" si="13"/>
        <v>-0.12963445515393254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644</v>
      </c>
      <c r="C124" s="465">
        <f>IF(C123=0,0,C119/C123)</f>
        <v>5375.8179197529953</v>
      </c>
      <c r="D124" s="465">
        <f>IF(LN_ID6=0,0,LN_1D2/LN_ID6)</f>
        <v>3520.0561779508475</v>
      </c>
      <c r="E124" s="465">
        <f t="shared" si="12"/>
        <v>-1855.7617418021478</v>
      </c>
      <c r="F124" s="449">
        <f t="shared" si="13"/>
        <v>-0.34520546817318826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683</v>
      </c>
      <c r="C125" s="465">
        <f>C48-C124</f>
        <v>2916.5575528236186</v>
      </c>
      <c r="D125" s="465">
        <f>LN_IB7-LN_ID7</f>
        <v>4675.62680936385</v>
      </c>
      <c r="E125" s="465">
        <f t="shared" si="12"/>
        <v>1759.0692565402314</v>
      </c>
      <c r="F125" s="449">
        <f t="shared" si="13"/>
        <v>0.60313202283192269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684</v>
      </c>
      <c r="C126" s="465">
        <f>C21-C124</f>
        <v>1714.7032455394901</v>
      </c>
      <c r="D126" s="465">
        <f>LN_IA7-LN_ID7</f>
        <v>2761.296392258962</v>
      </c>
      <c r="E126" s="465">
        <f t="shared" si="12"/>
        <v>1046.5931467194719</v>
      </c>
      <c r="F126" s="449">
        <f t="shared" si="13"/>
        <v>0.61036400872396235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661</v>
      </c>
      <c r="C127" s="479">
        <f>C126*C123</f>
        <v>1079839.6844585552</v>
      </c>
      <c r="D127" s="479">
        <f>LN_ID9*LN_ID6</f>
        <v>1513509.0765615779</v>
      </c>
      <c r="E127" s="479">
        <f t="shared" si="12"/>
        <v>433669.39210302266</v>
      </c>
      <c r="F127" s="449">
        <f t="shared" si="13"/>
        <v>0.40160534785352864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2904</v>
      </c>
      <c r="D128" s="456">
        <v>2623</v>
      </c>
      <c r="E128" s="456">
        <f t="shared" si="12"/>
        <v>-281</v>
      </c>
      <c r="F128" s="449">
        <f t="shared" si="13"/>
        <v>-9.6763085399449042E-2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645</v>
      </c>
      <c r="C129" s="465">
        <f>IF(C128=0,0,C119/C128)</f>
        <v>1165.784435261708</v>
      </c>
      <c r="D129" s="465">
        <f>IF(LN_ID11=0,0,LN_1D2/LN_ID11)</f>
        <v>735.5688143347312</v>
      </c>
      <c r="E129" s="465">
        <f t="shared" si="12"/>
        <v>-430.21562092697684</v>
      </c>
      <c r="F129" s="449">
        <f t="shared" si="13"/>
        <v>-0.36903531040058646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646</v>
      </c>
      <c r="C130" s="466">
        <f>IF(C121=0,0,C128/C121)</f>
        <v>4.4953560371517032</v>
      </c>
      <c r="D130" s="466">
        <f>IF(LN_ID4=0,0,LN_ID11/LN_ID4)</f>
        <v>4.5146299483648882</v>
      </c>
      <c r="E130" s="466">
        <f t="shared" si="12"/>
        <v>1.9273911213185002E-2</v>
      </c>
      <c r="F130" s="449">
        <f t="shared" si="13"/>
        <v>4.2875160618861948E-3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685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648</v>
      </c>
      <c r="C133" s="448">
        <v>14252955</v>
      </c>
      <c r="D133" s="448">
        <v>17040706</v>
      </c>
      <c r="E133" s="448">
        <f t="shared" ref="E133:E141" si="14">D133-C133</f>
        <v>2787751</v>
      </c>
      <c r="F133" s="449">
        <f t="shared" ref="F133:F141" si="15">IF(C133=0,0,E133/C133)</f>
        <v>0.19559108970736244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649</v>
      </c>
      <c r="C134" s="448">
        <v>3710813</v>
      </c>
      <c r="D134" s="448">
        <v>4033829</v>
      </c>
      <c r="E134" s="448">
        <f t="shared" si="14"/>
        <v>323016</v>
      </c>
      <c r="F134" s="449">
        <f t="shared" si="15"/>
        <v>8.7047231967765551E-2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650</v>
      </c>
      <c r="C135" s="453">
        <f>IF(C133=0,0,C134/C133)</f>
        <v>0.26035394063897627</v>
      </c>
      <c r="D135" s="453">
        <f>IF(LN_ID14=0,0,LN_ID15/LN_ID14)</f>
        <v>0.23671724633944158</v>
      </c>
      <c r="E135" s="454">
        <f t="shared" si="14"/>
        <v>-2.3636694299534688E-2</v>
      </c>
      <c r="F135" s="449">
        <f t="shared" si="15"/>
        <v>-9.0786773733956536E-2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651</v>
      </c>
      <c r="C136" s="453">
        <f>IF(C118=0,0,C133/C118)</f>
        <v>1.4269524772165438</v>
      </c>
      <c r="D136" s="453">
        <f>IF(LN_ID1=0,0,LN_ID14/LN_ID1)</f>
        <v>1.9788058239044937</v>
      </c>
      <c r="E136" s="454">
        <f t="shared" si="14"/>
        <v>0.55185334668794983</v>
      </c>
      <c r="F136" s="449">
        <f t="shared" si="15"/>
        <v>0.38673561698733755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652</v>
      </c>
      <c r="C137" s="463">
        <f>C136*C121</f>
        <v>921.81130028188727</v>
      </c>
      <c r="D137" s="463">
        <f>LN_ID17*LN_ID4</f>
        <v>1149.6861836885107</v>
      </c>
      <c r="E137" s="463">
        <f t="shared" si="14"/>
        <v>227.87488340662344</v>
      </c>
      <c r="F137" s="449">
        <f t="shared" si="15"/>
        <v>0.24720339546384379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653</v>
      </c>
      <c r="C138" s="465">
        <f>IF(C137=0,0,C134/C137)</f>
        <v>4025.5668365805932</v>
      </c>
      <c r="D138" s="465">
        <f>IF(LN_ID18=0,0,LN_ID15/LN_ID18)</f>
        <v>3508.6348407339842</v>
      </c>
      <c r="E138" s="465">
        <f t="shared" si="14"/>
        <v>-516.93199584660897</v>
      </c>
      <c r="F138" s="449">
        <f t="shared" si="15"/>
        <v>-0.12841222536642879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686</v>
      </c>
      <c r="C139" s="465">
        <f>C61-C138</f>
        <v>4151.0924121994985</v>
      </c>
      <c r="D139" s="465">
        <f>LN_IB18-LN_ID19</f>
        <v>3939.144211266917</v>
      </c>
      <c r="E139" s="465">
        <f t="shared" si="14"/>
        <v>-211.94820093258159</v>
      </c>
      <c r="F139" s="449">
        <f t="shared" si="15"/>
        <v>-5.1058415444978897E-2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687</v>
      </c>
      <c r="C140" s="465">
        <f>C32-C138</f>
        <v>4168.8245606264345</v>
      </c>
      <c r="D140" s="465">
        <f>LN_IA16-LN_ID19</f>
        <v>2574.7435383106217</v>
      </c>
      <c r="E140" s="465">
        <f t="shared" si="14"/>
        <v>-1594.0810223158128</v>
      </c>
      <c r="F140" s="449">
        <f t="shared" si="15"/>
        <v>-0.38238141210631227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664</v>
      </c>
      <c r="C141" s="441">
        <f>C140*C137</f>
        <v>3842869.5888781208</v>
      </c>
      <c r="D141" s="441">
        <f>LN_ID21*LN_ID18</f>
        <v>2960147.0725369914</v>
      </c>
      <c r="E141" s="441">
        <f t="shared" si="14"/>
        <v>-882722.51634112932</v>
      </c>
      <c r="F141" s="449">
        <f t="shared" si="15"/>
        <v>-0.22970400007740815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688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655</v>
      </c>
      <c r="C144" s="448">
        <f>C118+C133</f>
        <v>24241343</v>
      </c>
      <c r="D144" s="448">
        <f>LN_ID1+LN_ID14</f>
        <v>25652317</v>
      </c>
      <c r="E144" s="448">
        <f>D144-C144</f>
        <v>1410974</v>
      </c>
      <c r="F144" s="449">
        <f>IF(C144=0,0,E144/C144)</f>
        <v>5.8205273527955938E-2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656</v>
      </c>
      <c r="C145" s="448">
        <f>C119+C134</f>
        <v>7096251</v>
      </c>
      <c r="D145" s="448">
        <f>LN_1D2+LN_ID15</f>
        <v>5963226</v>
      </c>
      <c r="E145" s="448">
        <f>D145-C145</f>
        <v>-1133025</v>
      </c>
      <c r="F145" s="449">
        <f>IF(C145=0,0,E145/C145)</f>
        <v>-0.15966529368817423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657</v>
      </c>
      <c r="C146" s="448">
        <f>C144-C145</f>
        <v>17145092</v>
      </c>
      <c r="D146" s="448">
        <f>LN_ID23-LN_ID24</f>
        <v>19689091</v>
      </c>
      <c r="E146" s="448">
        <f>D146-C146</f>
        <v>2543999</v>
      </c>
      <c r="F146" s="449">
        <f>IF(C146=0,0,E146/C146)</f>
        <v>0.14838059778273571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666</v>
      </c>
      <c r="C148" s="448">
        <f>C127+C141</f>
        <v>4922709.2733366759</v>
      </c>
      <c r="D148" s="448">
        <f>LN_ID10+LN_ID22</f>
        <v>4473656.1490985695</v>
      </c>
      <c r="E148" s="448">
        <f>D148-C148</f>
        <v>-449053.12423810642</v>
      </c>
      <c r="F148" s="503">
        <f>IF(C148=0,0,E148/C148)</f>
        <v>-9.1220728120255695E-2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689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690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639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640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641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642</v>
      </c>
      <c r="C157" s="459">
        <v>0</v>
      </c>
      <c r="D157" s="459">
        <v>0.85</v>
      </c>
      <c r="E157" s="460">
        <f t="shared" si="16"/>
        <v>0.85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643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644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691</v>
      </c>
      <c r="C160" s="465">
        <f>C48-C159</f>
        <v>8292.3754725766139</v>
      </c>
      <c r="D160" s="465">
        <f>LN_IB7-LN_IE7</f>
        <v>8195.682987314698</v>
      </c>
      <c r="E160" s="465">
        <f t="shared" si="16"/>
        <v>-96.692485261915863</v>
      </c>
      <c r="F160" s="449">
        <f t="shared" si="17"/>
        <v>-1.1660408477846156E-2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692</v>
      </c>
      <c r="C161" s="465">
        <f>C21-C159</f>
        <v>7090.5211652924854</v>
      </c>
      <c r="D161" s="465">
        <f>LN_IA7-LN_IE7</f>
        <v>6281.3525702098095</v>
      </c>
      <c r="E161" s="465">
        <f t="shared" si="16"/>
        <v>-809.16859508267589</v>
      </c>
      <c r="F161" s="449">
        <f t="shared" si="17"/>
        <v>-0.11411976302158003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661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645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646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693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648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649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650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651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652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653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694</v>
      </c>
      <c r="C174" s="465">
        <f>C61-C173</f>
        <v>8176.6592487800917</v>
      </c>
      <c r="D174" s="465">
        <f>LN_IB18-LN_IE19</f>
        <v>7447.7790520009012</v>
      </c>
      <c r="E174" s="465">
        <f t="shared" si="18"/>
        <v>-728.88019677919056</v>
      </c>
      <c r="F174" s="449">
        <f t="shared" si="19"/>
        <v>-8.9141564372752238E-2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695</v>
      </c>
      <c r="C175" s="465">
        <f>C32-C173</f>
        <v>8194.3913972070277</v>
      </c>
      <c r="D175" s="465">
        <f>LN_IA16-LN_IE19</f>
        <v>6083.3783790446059</v>
      </c>
      <c r="E175" s="465">
        <f t="shared" si="18"/>
        <v>-2111.0130181624218</v>
      </c>
      <c r="F175" s="449">
        <f t="shared" si="19"/>
        <v>-0.25761681567735933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664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696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655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656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657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697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698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699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639</v>
      </c>
      <c r="C188" s="448">
        <f>C118+C153</f>
        <v>9988388</v>
      </c>
      <c r="D188" s="448">
        <f>LN_ID1+LN_IE1</f>
        <v>8611611</v>
      </c>
      <c r="E188" s="448">
        <f t="shared" ref="E188:E200" si="20">D188-C188</f>
        <v>-1376777</v>
      </c>
      <c r="F188" s="449">
        <f t="shared" ref="F188:F200" si="21">IF(C188=0,0,E188/C188)</f>
        <v>-0.1378377572036649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640</v>
      </c>
      <c r="C189" s="448">
        <f>C119+C154</f>
        <v>3385438</v>
      </c>
      <c r="D189" s="448">
        <f>LN_1D2+LN_IE2</f>
        <v>1929397</v>
      </c>
      <c r="E189" s="448">
        <f t="shared" si="20"/>
        <v>-1456041</v>
      </c>
      <c r="F189" s="449">
        <f t="shared" si="21"/>
        <v>-0.43008940054433131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641</v>
      </c>
      <c r="C190" s="453">
        <f>IF(C188=0,0,C189/C188)</f>
        <v>0.33893737407878027</v>
      </c>
      <c r="D190" s="453">
        <f>IF(LN_IF1=0,0,LN_IF2/LN_IF1)</f>
        <v>0.22404600021993562</v>
      </c>
      <c r="E190" s="454">
        <f t="shared" si="20"/>
        <v>-0.11489137385884465</v>
      </c>
      <c r="F190" s="449">
        <f t="shared" si="21"/>
        <v>-0.33897522859824863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646</v>
      </c>
      <c r="D191" s="456">
        <f>LN_ID4+LN_IE4</f>
        <v>581</v>
      </c>
      <c r="E191" s="456">
        <f t="shared" si="20"/>
        <v>-65</v>
      </c>
      <c r="F191" s="449">
        <f t="shared" si="21"/>
        <v>-0.10061919504643962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642</v>
      </c>
      <c r="C192" s="459">
        <f>IF((C121+C156)=0,0,(C123+C158)/(C121+C156))</f>
        <v>0.97484999999999999</v>
      </c>
      <c r="D192" s="459">
        <f>IF((LN_ID4+LN_IE4)=0,0,(LN_ID6+LN_IE6)/(LN_ID4+LN_IE4))</f>
        <v>0.94340000000000002</v>
      </c>
      <c r="E192" s="460">
        <f t="shared" si="20"/>
        <v>-3.1449999999999978E-2</v>
      </c>
      <c r="F192" s="449">
        <f t="shared" si="21"/>
        <v>-3.2261373544647871E-2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643</v>
      </c>
      <c r="C193" s="463">
        <f>C123+C158</f>
        <v>629.75310000000002</v>
      </c>
      <c r="D193" s="463">
        <f>LN_IF4*LN_IF5</f>
        <v>548.11540000000002</v>
      </c>
      <c r="E193" s="463">
        <f t="shared" si="20"/>
        <v>-81.637699999999995</v>
      </c>
      <c r="F193" s="449">
        <f t="shared" si="21"/>
        <v>-0.12963445515393254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644</v>
      </c>
      <c r="C194" s="465">
        <f>IF(C193=0,0,C189/C193)</f>
        <v>5375.8179197529953</v>
      </c>
      <c r="D194" s="465">
        <f>IF(LN_IF6=0,0,LN_IF2/LN_IF6)</f>
        <v>3520.0561779508475</v>
      </c>
      <c r="E194" s="465">
        <f t="shared" si="20"/>
        <v>-1855.7617418021478</v>
      </c>
      <c r="F194" s="449">
        <f t="shared" si="21"/>
        <v>-0.34520546817318826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700</v>
      </c>
      <c r="C195" s="465">
        <f>C48-C194</f>
        <v>2916.5575528236186</v>
      </c>
      <c r="D195" s="465">
        <f>LN_IB7-LN_IF7</f>
        <v>4675.62680936385</v>
      </c>
      <c r="E195" s="465">
        <f t="shared" si="20"/>
        <v>1759.0692565402314</v>
      </c>
      <c r="F195" s="449">
        <f t="shared" si="21"/>
        <v>0.60313202283192269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701</v>
      </c>
      <c r="C196" s="465">
        <f>C21-C194</f>
        <v>1714.7032455394901</v>
      </c>
      <c r="D196" s="465">
        <f>LN_IA7-LN_IF7</f>
        <v>2761.296392258962</v>
      </c>
      <c r="E196" s="465">
        <f t="shared" si="20"/>
        <v>1046.5931467194719</v>
      </c>
      <c r="F196" s="449">
        <f t="shared" si="21"/>
        <v>0.61036400872396235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661</v>
      </c>
      <c r="C197" s="479">
        <f>C127+C162</f>
        <v>1079839.6844585552</v>
      </c>
      <c r="D197" s="479">
        <f>LN_IF9*LN_IF6</f>
        <v>1513509.0765615779</v>
      </c>
      <c r="E197" s="479">
        <f t="shared" si="20"/>
        <v>433669.39210302266</v>
      </c>
      <c r="F197" s="449">
        <f t="shared" si="21"/>
        <v>0.40160534785352864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2904</v>
      </c>
      <c r="D198" s="456">
        <f>LN_ID11+LN_IE11</f>
        <v>2623</v>
      </c>
      <c r="E198" s="456">
        <f t="shared" si="20"/>
        <v>-281</v>
      </c>
      <c r="F198" s="449">
        <f t="shared" si="21"/>
        <v>-9.6763085399449042E-2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645</v>
      </c>
      <c r="C199" s="519">
        <f>IF(C198=0,0,C189/C198)</f>
        <v>1165.784435261708</v>
      </c>
      <c r="D199" s="519">
        <f>IF(LN_IF11=0,0,LN_IF2/LN_IF11)</f>
        <v>735.5688143347312</v>
      </c>
      <c r="E199" s="519">
        <f t="shared" si="20"/>
        <v>-430.21562092697684</v>
      </c>
      <c r="F199" s="449">
        <f t="shared" si="21"/>
        <v>-0.36903531040058646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646</v>
      </c>
      <c r="C200" s="466">
        <f>IF(C191=0,0,C198/C191)</f>
        <v>4.4953560371517032</v>
      </c>
      <c r="D200" s="466">
        <f>IF(LN_IF4=0,0,LN_IF11/LN_IF4)</f>
        <v>4.5146299483648882</v>
      </c>
      <c r="E200" s="466">
        <f t="shared" si="20"/>
        <v>1.9273911213185002E-2</v>
      </c>
      <c r="F200" s="449">
        <f t="shared" si="21"/>
        <v>4.2875160618861948E-3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702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648</v>
      </c>
      <c r="C203" s="448">
        <f>C133+C168</f>
        <v>14252955</v>
      </c>
      <c r="D203" s="448">
        <f>LN_ID14+LN_IE14</f>
        <v>17040706</v>
      </c>
      <c r="E203" s="448">
        <f t="shared" ref="E203:E211" si="22">D203-C203</f>
        <v>2787751</v>
      </c>
      <c r="F203" s="449">
        <f t="shared" ref="F203:F211" si="23">IF(C203=0,0,E203/C203)</f>
        <v>0.19559108970736244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649</v>
      </c>
      <c r="C204" s="448">
        <f>C134+C169</f>
        <v>3710813</v>
      </c>
      <c r="D204" s="448">
        <f>LN_ID15+LN_IE15</f>
        <v>4033829</v>
      </c>
      <c r="E204" s="448">
        <f t="shared" si="22"/>
        <v>323016</v>
      </c>
      <c r="F204" s="449">
        <f t="shared" si="23"/>
        <v>8.7047231967765551E-2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650</v>
      </c>
      <c r="C205" s="453">
        <f>IF(C203=0,0,C204/C203)</f>
        <v>0.26035394063897627</v>
      </c>
      <c r="D205" s="453">
        <f>IF(LN_IF14=0,0,LN_IF15/LN_IF14)</f>
        <v>0.23671724633944158</v>
      </c>
      <c r="E205" s="454">
        <f t="shared" si="22"/>
        <v>-2.3636694299534688E-2</v>
      </c>
      <c r="F205" s="449">
        <f t="shared" si="23"/>
        <v>-9.0786773733956536E-2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651</v>
      </c>
      <c r="C206" s="453">
        <f>IF(C188=0,0,C203/C188)</f>
        <v>1.4269524772165438</v>
      </c>
      <c r="D206" s="453">
        <f>IF(LN_IF1=0,0,LN_IF14/LN_IF1)</f>
        <v>1.9788058239044937</v>
      </c>
      <c r="E206" s="454">
        <f t="shared" si="22"/>
        <v>0.55185334668794983</v>
      </c>
      <c r="F206" s="449">
        <f t="shared" si="23"/>
        <v>0.38673561698733755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652</v>
      </c>
      <c r="C207" s="463">
        <f>C137+C172</f>
        <v>921.81130028188727</v>
      </c>
      <c r="D207" s="463">
        <f>LN_ID18+LN_IE18</f>
        <v>1149.6861836885107</v>
      </c>
      <c r="E207" s="463">
        <f t="shared" si="22"/>
        <v>227.87488340662344</v>
      </c>
      <c r="F207" s="449">
        <f t="shared" si="23"/>
        <v>0.24720339546384379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653</v>
      </c>
      <c r="C208" s="465">
        <f>IF(C207=0,0,C204/C207)</f>
        <v>4025.5668365805932</v>
      </c>
      <c r="D208" s="465">
        <f>IF(LN_IF18=0,0,LN_IF15/LN_IF18)</f>
        <v>3508.6348407339842</v>
      </c>
      <c r="E208" s="465">
        <f t="shared" si="22"/>
        <v>-516.93199584660897</v>
      </c>
      <c r="F208" s="449">
        <f t="shared" si="23"/>
        <v>-0.12841222536642879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703</v>
      </c>
      <c r="C209" s="465">
        <f>C61-C208</f>
        <v>4151.0924121994985</v>
      </c>
      <c r="D209" s="465">
        <f>LN_IB18-LN_IF19</f>
        <v>3939.144211266917</v>
      </c>
      <c r="E209" s="465">
        <f t="shared" si="22"/>
        <v>-211.94820093258159</v>
      </c>
      <c r="F209" s="449">
        <f t="shared" si="23"/>
        <v>-5.1058415444978897E-2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704</v>
      </c>
      <c r="C210" s="465">
        <f>C32-C208</f>
        <v>4168.8245606264345</v>
      </c>
      <c r="D210" s="465">
        <f>LN_IA16-LN_IF19</f>
        <v>2574.7435383106217</v>
      </c>
      <c r="E210" s="465">
        <f t="shared" si="22"/>
        <v>-1594.0810223158128</v>
      </c>
      <c r="F210" s="449">
        <f t="shared" si="23"/>
        <v>-0.38238141210631227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664</v>
      </c>
      <c r="C211" s="479">
        <f>C141+C176</f>
        <v>3842869.5888781208</v>
      </c>
      <c r="D211" s="441">
        <f>LN_IF21*LN_IF18</f>
        <v>2960147.0725369914</v>
      </c>
      <c r="E211" s="441">
        <f t="shared" si="22"/>
        <v>-882722.51634112932</v>
      </c>
      <c r="F211" s="449">
        <f t="shared" si="23"/>
        <v>-0.22970400007740815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705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655</v>
      </c>
      <c r="C214" s="448">
        <f>C188+C203</f>
        <v>24241343</v>
      </c>
      <c r="D214" s="448">
        <f>LN_IF1+LN_IF14</f>
        <v>25652317</v>
      </c>
      <c r="E214" s="448">
        <f>D214-C214</f>
        <v>1410974</v>
      </c>
      <c r="F214" s="449">
        <f>IF(C214=0,0,E214/C214)</f>
        <v>5.8205273527955938E-2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656</v>
      </c>
      <c r="C215" s="448">
        <f>C189+C204</f>
        <v>7096251</v>
      </c>
      <c r="D215" s="448">
        <f>LN_IF2+LN_IF15</f>
        <v>5963226</v>
      </c>
      <c r="E215" s="448">
        <f>D215-C215</f>
        <v>-1133025</v>
      </c>
      <c r="F215" s="449">
        <f>IF(C215=0,0,E215/C215)</f>
        <v>-0.15966529368817423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657</v>
      </c>
      <c r="C216" s="448">
        <f>C214-C215</f>
        <v>17145092</v>
      </c>
      <c r="D216" s="448">
        <f>LN_IF23-LN_IF24</f>
        <v>19689091</v>
      </c>
      <c r="E216" s="448">
        <f>D216-C216</f>
        <v>2543999</v>
      </c>
      <c r="F216" s="449">
        <f>IF(C216=0,0,E216/C216)</f>
        <v>0.14838059778273571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706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707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639</v>
      </c>
      <c r="C221" s="448">
        <v>342847</v>
      </c>
      <c r="D221" s="448">
        <v>411547</v>
      </c>
      <c r="E221" s="448">
        <f t="shared" ref="E221:E230" si="24">D221-C221</f>
        <v>68700</v>
      </c>
      <c r="F221" s="449">
        <f t="shared" ref="F221:F230" si="25">IF(C221=0,0,E221/C221)</f>
        <v>0.20038092793578477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640</v>
      </c>
      <c r="C222" s="448">
        <v>152368</v>
      </c>
      <c r="D222" s="448">
        <v>159823</v>
      </c>
      <c r="E222" s="448">
        <f t="shared" si="24"/>
        <v>7455</v>
      </c>
      <c r="F222" s="449">
        <f t="shared" si="25"/>
        <v>4.8927596345689384E-2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641</v>
      </c>
      <c r="C223" s="453">
        <f>IF(C221=0,0,C222/C221)</f>
        <v>0.44441981408616671</v>
      </c>
      <c r="D223" s="453">
        <f>IF(LN_IG1=0,0,LN_IG2/LN_IG1)</f>
        <v>0.38834689598028899</v>
      </c>
      <c r="E223" s="454">
        <f t="shared" si="24"/>
        <v>-5.6072918105877723E-2</v>
      </c>
      <c r="F223" s="449">
        <f t="shared" si="25"/>
        <v>-0.12617105792453703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19</v>
      </c>
      <c r="D224" s="456">
        <v>29</v>
      </c>
      <c r="E224" s="456">
        <f t="shared" si="24"/>
        <v>10</v>
      </c>
      <c r="F224" s="449">
        <f t="shared" si="25"/>
        <v>0.52631578947368418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642</v>
      </c>
      <c r="C225" s="459">
        <v>1.1223000000000001</v>
      </c>
      <c r="D225" s="459">
        <v>1.0887</v>
      </c>
      <c r="E225" s="460">
        <f t="shared" si="24"/>
        <v>-3.3600000000000074E-2</v>
      </c>
      <c r="F225" s="449">
        <f t="shared" si="25"/>
        <v>-2.993851911253682E-2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643</v>
      </c>
      <c r="C226" s="463">
        <f>C224*C225</f>
        <v>21.323700000000002</v>
      </c>
      <c r="D226" s="463">
        <f>LN_IG3*LN_IG4</f>
        <v>31.572299999999998</v>
      </c>
      <c r="E226" s="463">
        <f t="shared" si="24"/>
        <v>10.248599999999996</v>
      </c>
      <c r="F226" s="449">
        <f t="shared" si="25"/>
        <v>0.48062015503875943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644</v>
      </c>
      <c r="C227" s="465">
        <f>IF(C226=0,0,C222/C226)</f>
        <v>7145.4766292904133</v>
      </c>
      <c r="D227" s="465">
        <f>IF(LN_IG5=0,0,LN_IG2/LN_IG5)</f>
        <v>5062.1272444516244</v>
      </c>
      <c r="E227" s="465">
        <f t="shared" si="24"/>
        <v>-2083.3493848387889</v>
      </c>
      <c r="F227" s="449">
        <f t="shared" si="25"/>
        <v>-0.29156198990264942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92</v>
      </c>
      <c r="D228" s="456">
        <v>112</v>
      </c>
      <c r="E228" s="456">
        <f t="shared" si="24"/>
        <v>20</v>
      </c>
      <c r="F228" s="449">
        <f t="shared" si="25"/>
        <v>0.21739130434782608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645</v>
      </c>
      <c r="C229" s="465">
        <f>IF(C228=0,0,C222/C228)</f>
        <v>1656.1739130434783</v>
      </c>
      <c r="D229" s="465">
        <f>IF(LN_IG6=0,0,LN_IG2/LN_IG6)</f>
        <v>1426.9910714285713</v>
      </c>
      <c r="E229" s="465">
        <f t="shared" si="24"/>
        <v>-229.18284161490692</v>
      </c>
      <c r="F229" s="449">
        <f t="shared" si="25"/>
        <v>-0.13838090300175521</v>
      </c>
      <c r="Q229" s="421"/>
      <c r="U229" s="462"/>
    </row>
    <row r="230" spans="1:21" ht="15.75" customHeight="1" x14ac:dyDescent="0.2">
      <c r="A230" s="451">
        <v>10</v>
      </c>
      <c r="B230" s="447" t="s">
        <v>646</v>
      </c>
      <c r="C230" s="466">
        <f>IF(C224=0,0,C228/C224)</f>
        <v>4.8421052631578947</v>
      </c>
      <c r="D230" s="466">
        <f>IF(LN_IG3=0,0,LN_IG6/LN_IG3)</f>
        <v>3.8620689655172415</v>
      </c>
      <c r="E230" s="466">
        <f t="shared" si="24"/>
        <v>-0.98003629764065314</v>
      </c>
      <c r="F230" s="449">
        <f t="shared" si="25"/>
        <v>-0.20239880059970011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708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648</v>
      </c>
      <c r="C233" s="448">
        <v>542027</v>
      </c>
      <c r="D233" s="448">
        <v>562072</v>
      </c>
      <c r="E233" s="448">
        <f>D233-C233</f>
        <v>20045</v>
      </c>
      <c r="F233" s="449">
        <f>IF(C233=0,0,E233/C233)</f>
        <v>3.6981552579484045E-2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649</v>
      </c>
      <c r="C234" s="448">
        <v>157690</v>
      </c>
      <c r="D234" s="448">
        <v>171552</v>
      </c>
      <c r="E234" s="448">
        <f>D234-C234</f>
        <v>13862</v>
      </c>
      <c r="F234" s="449">
        <f>IF(C234=0,0,E234/C234)</f>
        <v>8.7906652292472576E-2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709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655</v>
      </c>
      <c r="C237" s="448">
        <f>C221+C233</f>
        <v>884874</v>
      </c>
      <c r="D237" s="448">
        <f>LN_IG1+LN_IG9</f>
        <v>973619</v>
      </c>
      <c r="E237" s="448">
        <f>D237-C237</f>
        <v>88745</v>
      </c>
      <c r="F237" s="449">
        <f>IF(C237=0,0,E237/C237)</f>
        <v>0.10029111489319384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656</v>
      </c>
      <c r="C238" s="448">
        <f>C222+C234</f>
        <v>310058</v>
      </c>
      <c r="D238" s="448">
        <f>LN_IG2+LN_IG10</f>
        <v>331375</v>
      </c>
      <c r="E238" s="448">
        <f>D238-C238</f>
        <v>21317</v>
      </c>
      <c r="F238" s="449">
        <f>IF(C238=0,0,E238/C238)</f>
        <v>6.8751652916551095E-2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657</v>
      </c>
      <c r="C239" s="448">
        <f>C237-C238</f>
        <v>574816</v>
      </c>
      <c r="D239" s="448">
        <f>LN_IG13-LN_IG14</f>
        <v>642244</v>
      </c>
      <c r="E239" s="448">
        <f>D239-C239</f>
        <v>67428</v>
      </c>
      <c r="F239" s="449">
        <f>IF(C239=0,0,E239/C239)</f>
        <v>0.11730362411623893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710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711</v>
      </c>
      <c r="C243" s="448">
        <v>282934</v>
      </c>
      <c r="D243" s="448">
        <v>275135</v>
      </c>
      <c r="E243" s="441">
        <f>D243-C243</f>
        <v>-7799</v>
      </c>
      <c r="F243" s="503">
        <f>IF(C243=0,0,E243/C243)</f>
        <v>-2.7564732411092339E-2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712</v>
      </c>
      <c r="C244" s="448">
        <v>65981058</v>
      </c>
      <c r="D244" s="448">
        <v>63578052</v>
      </c>
      <c r="E244" s="441">
        <f>D244-C244</f>
        <v>-2403006</v>
      </c>
      <c r="F244" s="503">
        <f>IF(C244=0,0,E244/C244)</f>
        <v>-3.6419634253212492E-2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713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714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715</v>
      </c>
      <c r="C248" s="441">
        <v>193108</v>
      </c>
      <c r="D248" s="441">
        <v>310398</v>
      </c>
      <c r="E248" s="441">
        <f>D248-C248</f>
        <v>117290</v>
      </c>
      <c r="F248" s="449">
        <f>IF(C248=0,0,E248/C248)</f>
        <v>0.607380326035172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716</v>
      </c>
      <c r="C249" s="441">
        <v>3564251</v>
      </c>
      <c r="D249" s="441">
        <v>4455452</v>
      </c>
      <c r="E249" s="441">
        <f>D249-C249</f>
        <v>891201</v>
      </c>
      <c r="F249" s="449">
        <f>IF(C249=0,0,E249/C249)</f>
        <v>0.25003878795292478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717</v>
      </c>
      <c r="C250" s="441">
        <f>C248+C249</f>
        <v>3757359</v>
      </c>
      <c r="D250" s="441">
        <f>LN_IH4+LN_IH5</f>
        <v>4765850</v>
      </c>
      <c r="E250" s="441">
        <f>D250-C250</f>
        <v>1008491</v>
      </c>
      <c r="F250" s="449">
        <f>IF(C250=0,0,E250/C250)</f>
        <v>0.26840421689809252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718</v>
      </c>
      <c r="C251" s="441">
        <f>C250*C313</f>
        <v>1453985.6726527584</v>
      </c>
      <c r="D251" s="441">
        <f>LN_IH6*LN_III10</f>
        <v>1607247.5033248169</v>
      </c>
      <c r="E251" s="441">
        <f>D251-C251</f>
        <v>153261.83067205851</v>
      </c>
      <c r="F251" s="449">
        <f>IF(C251=0,0,E251/C251)</f>
        <v>0.10540807489006157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719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655</v>
      </c>
      <c r="C254" s="441">
        <f>C188+C203</f>
        <v>24241343</v>
      </c>
      <c r="D254" s="441">
        <f>LN_IF23</f>
        <v>25652317</v>
      </c>
      <c r="E254" s="441">
        <f>D254-C254</f>
        <v>1410974</v>
      </c>
      <c r="F254" s="449">
        <f>IF(C254=0,0,E254/C254)</f>
        <v>5.8205273527955938E-2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656</v>
      </c>
      <c r="C255" s="441">
        <f>C189+C204</f>
        <v>7096251</v>
      </c>
      <c r="D255" s="441">
        <f>LN_IF24</f>
        <v>5963226</v>
      </c>
      <c r="E255" s="441">
        <f>D255-C255</f>
        <v>-1133025</v>
      </c>
      <c r="F255" s="449">
        <f>IF(C255=0,0,E255/C255)</f>
        <v>-0.15966529368817423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720</v>
      </c>
      <c r="C256" s="441">
        <f>C254*C313</f>
        <v>9380675.4712182786</v>
      </c>
      <c r="D256" s="441">
        <f>LN_IH8*LN_III10</f>
        <v>8651053.31740335</v>
      </c>
      <c r="E256" s="441">
        <f>D256-C256</f>
        <v>-729622.15381492861</v>
      </c>
      <c r="F256" s="449">
        <f>IF(C256=0,0,E256/C256)</f>
        <v>-7.7779276775275949E-2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721</v>
      </c>
      <c r="C257" s="441">
        <f>C256-C255</f>
        <v>2284424.4712182786</v>
      </c>
      <c r="D257" s="441">
        <f>LN_IH10-LN_IH9</f>
        <v>2687827.31740335</v>
      </c>
      <c r="E257" s="441">
        <f>D257-C257</f>
        <v>403402.84618507139</v>
      </c>
      <c r="F257" s="449">
        <f>IF(C257=0,0,E257/C257)</f>
        <v>0.1765883929486789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722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723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65614784</v>
      </c>
      <c r="D261" s="448">
        <f>LN_IA1+LN_IB1+LN_IF1+LN_IG1</f>
        <v>62288196</v>
      </c>
      <c r="E261" s="448">
        <f t="shared" ref="E261:E274" si="26">D261-C261</f>
        <v>-3326588</v>
      </c>
      <c r="F261" s="503">
        <f t="shared" ref="F261:F274" si="27">IF(C261=0,0,E261/C261)</f>
        <v>-5.0698757158142899E-2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27040698</v>
      </c>
      <c r="D262" s="448">
        <f>+LN_IA2+LN_IB2+LN_IF2+LN_IG2</f>
        <v>22710297</v>
      </c>
      <c r="E262" s="448">
        <f t="shared" si="26"/>
        <v>-4330401</v>
      </c>
      <c r="F262" s="503">
        <f t="shared" si="27"/>
        <v>-0.16014383208599128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724</v>
      </c>
      <c r="C263" s="453">
        <f>IF(C261=0,0,C262/C261)</f>
        <v>0.41211288602275975</v>
      </c>
      <c r="D263" s="453">
        <f>IF(LN_IIA1=0,0,LN_IIA2/LN_IIA1)</f>
        <v>0.3646003329426975</v>
      </c>
      <c r="E263" s="454">
        <f t="shared" si="26"/>
        <v>-4.7512553080062248E-2</v>
      </c>
      <c r="F263" s="458">
        <f t="shared" si="27"/>
        <v>-0.11529014183128036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3251</v>
      </c>
      <c r="D264" s="456">
        <f>LN_IA4+LN_IB4+LN_IF4+LN_IG3</f>
        <v>3139</v>
      </c>
      <c r="E264" s="456">
        <f t="shared" si="26"/>
        <v>-112</v>
      </c>
      <c r="F264" s="503">
        <f t="shared" si="27"/>
        <v>-3.4450938172869885E-2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725</v>
      </c>
      <c r="C265" s="525">
        <f>IF(C264=0,0,C266/C264)</f>
        <v>1.1664804675484466</v>
      </c>
      <c r="D265" s="525">
        <f>IF(LN_IIA4=0,0,LN_IIA6/LN_IIA4)</f>
        <v>1.1462646384198789</v>
      </c>
      <c r="E265" s="525">
        <f t="shared" si="26"/>
        <v>-2.0215829128567675E-2</v>
      </c>
      <c r="F265" s="503">
        <f t="shared" si="27"/>
        <v>-1.7330619492544625E-2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726</v>
      </c>
      <c r="C266" s="463">
        <f>C20+C47+C193+C226</f>
        <v>3792.2280000000001</v>
      </c>
      <c r="D266" s="463">
        <f>LN_IA6+LN_IB6+LN_IF6+LN_IG5</f>
        <v>3598.1246999999998</v>
      </c>
      <c r="E266" s="463">
        <f t="shared" si="26"/>
        <v>-194.10330000000022</v>
      </c>
      <c r="F266" s="503">
        <f t="shared" si="27"/>
        <v>-5.118450156477939E-2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87064856</v>
      </c>
      <c r="D267" s="448">
        <f>LN_IA11+LN_IB13+LN_IF14+LN_IG9</f>
        <v>96843117</v>
      </c>
      <c r="E267" s="448">
        <f t="shared" si="26"/>
        <v>9778261</v>
      </c>
      <c r="F267" s="503">
        <f t="shared" si="27"/>
        <v>0.11231008065987039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651</v>
      </c>
      <c r="C268" s="453">
        <f>IF(C261=0,0,C267/C261)</f>
        <v>1.3269091307227348</v>
      </c>
      <c r="D268" s="453">
        <f>IF(LN_IIA1=0,0,LN_IIA7/LN_IIA1)</f>
        <v>1.5547587379156076</v>
      </c>
      <c r="E268" s="454">
        <f t="shared" si="26"/>
        <v>0.22784960719287284</v>
      </c>
      <c r="F268" s="458">
        <f t="shared" si="27"/>
        <v>0.17171455220054802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35799120</v>
      </c>
      <c r="D269" s="448">
        <f>LN_IA12+LN_IB14+LN_IF15+LN_IG10</f>
        <v>34917388</v>
      </c>
      <c r="E269" s="448">
        <f t="shared" si="26"/>
        <v>-881732</v>
      </c>
      <c r="F269" s="503">
        <f t="shared" si="27"/>
        <v>-2.4629990904804364E-2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650</v>
      </c>
      <c r="C270" s="453">
        <f>IF(C267=0,0,C269/C267)</f>
        <v>0.41117761683313414</v>
      </c>
      <c r="D270" s="453">
        <f>IF(LN_IIA7=0,0,LN_IIA9/LN_IIA7)</f>
        <v>0.36055621794990345</v>
      </c>
      <c r="E270" s="454">
        <f t="shared" si="26"/>
        <v>-5.0621398883230695E-2</v>
      </c>
      <c r="F270" s="458">
        <f t="shared" si="27"/>
        <v>-0.12311321631054174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727</v>
      </c>
      <c r="C271" s="441">
        <f>C261+C267</f>
        <v>152679640</v>
      </c>
      <c r="D271" s="441">
        <f>LN_IIA1+LN_IIA7</f>
        <v>159131313</v>
      </c>
      <c r="E271" s="441">
        <f t="shared" si="26"/>
        <v>6451673</v>
      </c>
      <c r="F271" s="503">
        <f t="shared" si="27"/>
        <v>4.2256275951397318E-2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728</v>
      </c>
      <c r="C272" s="441">
        <f>C262+C269</f>
        <v>62839818</v>
      </c>
      <c r="D272" s="441">
        <f>LN_IIA2+LN_IIA9</f>
        <v>57627685</v>
      </c>
      <c r="E272" s="441">
        <f t="shared" si="26"/>
        <v>-5212133</v>
      </c>
      <c r="F272" s="503">
        <f t="shared" si="27"/>
        <v>-8.294315874689516E-2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729</v>
      </c>
      <c r="C273" s="453">
        <f>IF(C271=0,0,C272/C271)</f>
        <v>0.41157955310871835</v>
      </c>
      <c r="D273" s="453">
        <f>IF(LN_IIA11=0,0,LN_IIA12/LN_IIA11)</f>
        <v>0.36213919129794397</v>
      </c>
      <c r="E273" s="454">
        <f t="shared" si="26"/>
        <v>-4.944036181077438E-2</v>
      </c>
      <c r="F273" s="458">
        <f t="shared" si="27"/>
        <v>-0.12012346443681267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16189</v>
      </c>
      <c r="D274" s="508">
        <f>LN_IA8+LN_IB10+LN_IF11+LN_IG6</f>
        <v>16130</v>
      </c>
      <c r="E274" s="528">
        <f t="shared" si="26"/>
        <v>-59</v>
      </c>
      <c r="F274" s="458">
        <f t="shared" si="27"/>
        <v>-3.6444499351411452E-3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730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731</v>
      </c>
      <c r="C277" s="448">
        <f>C15+C188+C221</f>
        <v>50055730</v>
      </c>
      <c r="D277" s="448">
        <f>LN_IA1+LN_IF1+LN_IG1</f>
        <v>49040802</v>
      </c>
      <c r="E277" s="448">
        <f t="shared" ref="E277:E291" si="28">D277-C277</f>
        <v>-1014928</v>
      </c>
      <c r="F277" s="503">
        <f t="shared" ref="F277:F291" si="29">IF(C277=0,0,E277/C277)</f>
        <v>-2.0275960414521975E-2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732</v>
      </c>
      <c r="C278" s="448">
        <f>C16+C189+C222</f>
        <v>18550726</v>
      </c>
      <c r="D278" s="448">
        <f>LN_IA2+LN_IF2+LN_IG2</f>
        <v>15598280</v>
      </c>
      <c r="E278" s="448">
        <f t="shared" si="28"/>
        <v>-2952446</v>
      </c>
      <c r="F278" s="503">
        <f t="shared" si="29"/>
        <v>-0.15915528049953409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733</v>
      </c>
      <c r="C279" s="453">
        <f>IF(C277=0,0,C278/C277)</f>
        <v>0.37060144762647551</v>
      </c>
      <c r="D279" s="453">
        <f>IF(D277=0,0,LN_IIB2/D277)</f>
        <v>0.31806739212788565</v>
      </c>
      <c r="E279" s="454">
        <f t="shared" si="28"/>
        <v>-5.253405549858986E-2</v>
      </c>
      <c r="F279" s="458">
        <f t="shared" si="29"/>
        <v>-0.14175350861429517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734</v>
      </c>
      <c r="C280" s="456">
        <f>C18+C191+C224</f>
        <v>2266</v>
      </c>
      <c r="D280" s="456">
        <f>LN_IA4+LN_IF4+LN_IG3</f>
        <v>2243</v>
      </c>
      <c r="E280" s="456">
        <f t="shared" si="28"/>
        <v>-23</v>
      </c>
      <c r="F280" s="503">
        <f t="shared" si="29"/>
        <v>-1.0150044130626656E-2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735</v>
      </c>
      <c r="C281" s="525">
        <f>IF(C280=0,0,C282/C280)</f>
        <v>1.2217119593998236</v>
      </c>
      <c r="D281" s="525">
        <f>IF(LN_IIB4=0,0,LN_IIB6/LN_IIB4)</f>
        <v>1.2172753901025413</v>
      </c>
      <c r="E281" s="525">
        <f t="shared" si="28"/>
        <v>-4.4365692972823112E-3</v>
      </c>
      <c r="F281" s="503">
        <f t="shared" si="29"/>
        <v>-3.6314364144080357E-3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736</v>
      </c>
      <c r="C282" s="463">
        <f>C20+C193+C226</f>
        <v>2768.3993</v>
      </c>
      <c r="D282" s="463">
        <f>LN_IA6+LN_IF6+LN_IG5</f>
        <v>2730.3487</v>
      </c>
      <c r="E282" s="463">
        <f t="shared" si="28"/>
        <v>-38.050600000000031</v>
      </c>
      <c r="F282" s="503">
        <f t="shared" si="29"/>
        <v>-1.3744621305170837E-2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737</v>
      </c>
      <c r="C283" s="448">
        <f>C27+C203+C233</f>
        <v>44035440</v>
      </c>
      <c r="D283" s="448">
        <f>LN_IA11+LN_IF14+LN_IG9</f>
        <v>53628514</v>
      </c>
      <c r="E283" s="448">
        <f t="shared" si="28"/>
        <v>9593074</v>
      </c>
      <c r="F283" s="503">
        <f t="shared" si="29"/>
        <v>0.21784894167061802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738</v>
      </c>
      <c r="C284" s="453">
        <f>IF(C277=0,0,C283/C277)</f>
        <v>0.87972825488710282</v>
      </c>
      <c r="D284" s="453">
        <f>IF(D277=0,0,LN_IIB7/D277)</f>
        <v>1.0935488779322982</v>
      </c>
      <c r="E284" s="454">
        <f t="shared" si="28"/>
        <v>0.21382062304519533</v>
      </c>
      <c r="F284" s="458">
        <f t="shared" si="29"/>
        <v>0.24305303581801557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739</v>
      </c>
      <c r="C285" s="448">
        <f>C28+C204+C234</f>
        <v>13525316</v>
      </c>
      <c r="D285" s="448">
        <f>LN_IA12+LN_IF15+LN_IG10</f>
        <v>13148569</v>
      </c>
      <c r="E285" s="448">
        <f t="shared" si="28"/>
        <v>-376747</v>
      </c>
      <c r="F285" s="503">
        <f t="shared" si="29"/>
        <v>-2.7854949932408234E-2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740</v>
      </c>
      <c r="C286" s="453">
        <f>IF(C283=0,0,C285/C283)</f>
        <v>0.30714615318934024</v>
      </c>
      <c r="D286" s="453">
        <f>IF(LN_IIB7=0,0,LN_IIB9/LN_IIB7)</f>
        <v>0.2451786935584305</v>
      </c>
      <c r="E286" s="454">
        <f t="shared" si="28"/>
        <v>-6.1967459630909744E-2</v>
      </c>
      <c r="F286" s="458">
        <f t="shared" si="29"/>
        <v>-0.20175235466064881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741</v>
      </c>
      <c r="C287" s="441">
        <f>C277+C283</f>
        <v>94091170</v>
      </c>
      <c r="D287" s="441">
        <f>D277+LN_IIB7</f>
        <v>102669316</v>
      </c>
      <c r="E287" s="441">
        <f t="shared" si="28"/>
        <v>8578146</v>
      </c>
      <c r="F287" s="503">
        <f t="shared" si="29"/>
        <v>9.1168448644011968E-2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742</v>
      </c>
      <c r="C288" s="441">
        <f>C278+C285</f>
        <v>32076042</v>
      </c>
      <c r="D288" s="441">
        <f>LN_IIB2+LN_IIB9</f>
        <v>28746849</v>
      </c>
      <c r="E288" s="441">
        <f t="shared" si="28"/>
        <v>-3329193</v>
      </c>
      <c r="F288" s="503">
        <f t="shared" si="29"/>
        <v>-0.10379064224943962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743</v>
      </c>
      <c r="C289" s="453">
        <f>IF(C287=0,0,C288/C287)</f>
        <v>0.3409038488946412</v>
      </c>
      <c r="D289" s="453">
        <f>IF(LN_IIB11=0,0,LN_IIB12/LN_IIB11)</f>
        <v>0.27999455066010182</v>
      </c>
      <c r="E289" s="454">
        <f t="shared" si="28"/>
        <v>-6.0909298234539389E-2</v>
      </c>
      <c r="F289" s="458">
        <f t="shared" si="29"/>
        <v>-0.17867002215443994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12238</v>
      </c>
      <c r="D290" s="508">
        <f>LN_IA8+LN_IF11+LN_IG6</f>
        <v>12480</v>
      </c>
      <c r="E290" s="528">
        <f t="shared" si="28"/>
        <v>242</v>
      </c>
      <c r="F290" s="458">
        <f t="shared" si="29"/>
        <v>1.9774472953096912E-2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744</v>
      </c>
      <c r="C291" s="448">
        <f>C287-C288</f>
        <v>62015128</v>
      </c>
      <c r="D291" s="516">
        <f>LN_IIB11-LN_IIB12</f>
        <v>73922467</v>
      </c>
      <c r="E291" s="441">
        <f t="shared" si="28"/>
        <v>11907339</v>
      </c>
      <c r="F291" s="503">
        <f t="shared" si="29"/>
        <v>0.19200700512945809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646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637</v>
      </c>
      <c r="C294" s="466">
        <f>IF(C18=0,0,C22/C18)</f>
        <v>5.77264209868832</v>
      </c>
      <c r="D294" s="466">
        <f>IF(LN_IA4=0,0,LN_IA8/LN_IA4)</f>
        <v>5.9675443968156765</v>
      </c>
      <c r="E294" s="466">
        <f t="shared" ref="E294:E300" si="30">D294-C294</f>
        <v>0.19490229812735649</v>
      </c>
      <c r="F294" s="503">
        <f t="shared" ref="F294:F300" si="31">IF(C294=0,0,E294/C294)</f>
        <v>3.3763100984840699E-2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658</v>
      </c>
      <c r="C295" s="466">
        <f>IF(C45=0,0,C51/C45)</f>
        <v>4.0111675126903554</v>
      </c>
      <c r="D295" s="466">
        <f>IF(LN_IB4=0,0,(LN_IB10)/(LN_IB4))</f>
        <v>4.0736607142857144</v>
      </c>
      <c r="E295" s="466">
        <f t="shared" si="30"/>
        <v>6.2493201595358983E-2</v>
      </c>
      <c r="F295" s="503">
        <f t="shared" si="31"/>
        <v>1.55798034855552E-2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673</v>
      </c>
      <c r="C296" s="466">
        <f>IF(C86=0,0,C93/C86)</f>
        <v>4.1842105263157894</v>
      </c>
      <c r="D296" s="466">
        <f>IF(LN_IC4=0,0,LN_IC11/LN_IC4)</f>
        <v>3.75</v>
      </c>
      <c r="E296" s="466">
        <f t="shared" si="30"/>
        <v>-0.43421052631578938</v>
      </c>
      <c r="F296" s="503">
        <f t="shared" si="31"/>
        <v>-0.10377358490566035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4.4953560371517032</v>
      </c>
      <c r="D297" s="466">
        <f>IF(LN_ID4=0,0,LN_ID11/LN_ID4)</f>
        <v>4.5146299483648882</v>
      </c>
      <c r="E297" s="466">
        <f t="shared" si="30"/>
        <v>1.9273911213185002E-2</v>
      </c>
      <c r="F297" s="503">
        <f t="shared" si="31"/>
        <v>4.2875160618861948E-3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745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4.8421052631578947</v>
      </c>
      <c r="D299" s="466">
        <f>IF(LN_IG3=0,0,LN_IG6/LN_IG3)</f>
        <v>3.8620689655172415</v>
      </c>
      <c r="E299" s="466">
        <f t="shared" si="30"/>
        <v>-0.98003629764065314</v>
      </c>
      <c r="F299" s="503">
        <f t="shared" si="31"/>
        <v>-0.20239880059970011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746</v>
      </c>
      <c r="C300" s="466">
        <f>IF(C264=0,0,C274/C264)</f>
        <v>4.9796985542909873</v>
      </c>
      <c r="D300" s="466">
        <f>IF(LN_IIA4=0,0,LN_IIA14/LN_IIA4)</f>
        <v>5.1385791653392801</v>
      </c>
      <c r="E300" s="466">
        <f t="shared" si="30"/>
        <v>0.15888061104829276</v>
      </c>
      <c r="F300" s="503">
        <f t="shared" si="31"/>
        <v>3.1905668448823261E-2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747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741</v>
      </c>
      <c r="C304" s="441">
        <f>C35+C66+C214+C221+C233</f>
        <v>152679640</v>
      </c>
      <c r="D304" s="441">
        <f>LN_IIA11</f>
        <v>159131313</v>
      </c>
      <c r="E304" s="441">
        <f t="shared" ref="E304:E316" si="32">D304-C304</f>
        <v>6451673</v>
      </c>
      <c r="F304" s="449">
        <f>IF(C304=0,0,E304/C304)</f>
        <v>4.2256275951397318E-2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744</v>
      </c>
      <c r="C305" s="441">
        <f>C291</f>
        <v>62015128</v>
      </c>
      <c r="D305" s="441">
        <f>LN_IIB14</f>
        <v>73922467</v>
      </c>
      <c r="E305" s="441">
        <f t="shared" si="32"/>
        <v>11907339</v>
      </c>
      <c r="F305" s="449">
        <f>IF(C305=0,0,E305/C305)</f>
        <v>0.19200700512945809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748</v>
      </c>
      <c r="C306" s="441">
        <f>C250</f>
        <v>3757359</v>
      </c>
      <c r="D306" s="441">
        <f>LN_IH6</f>
        <v>4765850</v>
      </c>
      <c r="E306" s="441">
        <f t="shared" si="32"/>
        <v>1008491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749</v>
      </c>
      <c r="C307" s="441">
        <f>C73-C74</f>
        <v>27824694</v>
      </c>
      <c r="D307" s="441">
        <f>LN_IB32-LN_IB33</f>
        <v>26777143</v>
      </c>
      <c r="E307" s="441">
        <f t="shared" si="32"/>
        <v>-1047551</v>
      </c>
      <c r="F307" s="449">
        <f t="shared" ref="F307:F316" si="33">IF(C307=0,0,E307/C307)</f>
        <v>-3.7648248710300279E-2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750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751</v>
      </c>
      <c r="C309" s="441">
        <f>C305+C307+C308+C306</f>
        <v>93597181</v>
      </c>
      <c r="D309" s="441">
        <f>LN_III2+LN_III3+LN_III4+LN_III5</f>
        <v>105465460</v>
      </c>
      <c r="E309" s="441">
        <f t="shared" si="32"/>
        <v>11868279</v>
      </c>
      <c r="F309" s="449">
        <f t="shared" si="33"/>
        <v>0.1268016715161539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752</v>
      </c>
      <c r="C310" s="441">
        <f>C304-C309</f>
        <v>59082459</v>
      </c>
      <c r="D310" s="441">
        <f>LN_III1-LN_III6</f>
        <v>53665853</v>
      </c>
      <c r="E310" s="441">
        <f t="shared" si="32"/>
        <v>-5416606</v>
      </c>
      <c r="F310" s="449">
        <f t="shared" si="33"/>
        <v>-9.1678750202323162E-2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753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754</v>
      </c>
      <c r="C312" s="441">
        <f>C310+C311</f>
        <v>59082459</v>
      </c>
      <c r="D312" s="441">
        <f>LN_III7+LN_III8</f>
        <v>53665853</v>
      </c>
      <c r="E312" s="441">
        <f t="shared" si="32"/>
        <v>-5416606</v>
      </c>
      <c r="F312" s="449">
        <f t="shared" si="33"/>
        <v>-9.1678750202323162E-2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755</v>
      </c>
      <c r="C313" s="532">
        <f>IF(C304=0,0,C312/C304)</f>
        <v>0.38697012253893187</v>
      </c>
      <c r="D313" s="532">
        <f>IF(LN_III1=0,0,LN_III9/LN_III1)</f>
        <v>0.33724257022877702</v>
      </c>
      <c r="E313" s="532">
        <f t="shared" si="32"/>
        <v>-4.9727552310154854E-2</v>
      </c>
      <c r="F313" s="449">
        <f t="shared" si="33"/>
        <v>-0.12850488813939873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718</v>
      </c>
      <c r="C314" s="441">
        <f>C306*C313</f>
        <v>1453985.6726527584</v>
      </c>
      <c r="D314" s="441">
        <f>D313*LN_III5</f>
        <v>1607247.5033248169</v>
      </c>
      <c r="E314" s="441">
        <f t="shared" si="32"/>
        <v>153261.83067205851</v>
      </c>
      <c r="F314" s="449">
        <f t="shared" si="33"/>
        <v>0.10540807489006157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721</v>
      </c>
      <c r="C315" s="441">
        <f>(C214*C313)-C215</f>
        <v>2284424.4712182786</v>
      </c>
      <c r="D315" s="441">
        <f>D313*LN_IH8-LN_IH9</f>
        <v>2687827.31740335</v>
      </c>
      <c r="E315" s="441">
        <f t="shared" si="32"/>
        <v>403402.84618507139</v>
      </c>
      <c r="F315" s="449">
        <f t="shared" si="33"/>
        <v>0.1765883929486789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756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757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758</v>
      </c>
      <c r="C318" s="441">
        <f>C314+C315+C316</f>
        <v>3738410.1438710373</v>
      </c>
      <c r="D318" s="441">
        <f>D314+D315+D316</f>
        <v>4295074.820728167</v>
      </c>
      <c r="E318" s="441">
        <f>D318-C318</f>
        <v>556664.67685712967</v>
      </c>
      <c r="F318" s="449">
        <f>IF(C318=0,0,E318/C318)</f>
        <v>0.14890412111944365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759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3842869.5888781208</v>
      </c>
      <c r="D322" s="441">
        <f>LN_ID22</f>
        <v>2960147.0725369914</v>
      </c>
      <c r="E322" s="441">
        <f>LN_IV2-C322</f>
        <v>-882722.51634112932</v>
      </c>
      <c r="F322" s="449">
        <f>IF(C322=0,0,E322/C322)</f>
        <v>-0.22970400007740815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745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760</v>
      </c>
      <c r="C324" s="441">
        <f>C92+C106</f>
        <v>1553138.8431217258</v>
      </c>
      <c r="D324" s="441">
        <f>LN_IC10+LN_IC22</f>
        <v>1063190.168314842</v>
      </c>
      <c r="E324" s="441">
        <f>LN_IV1-C324</f>
        <v>-489948.67480688379</v>
      </c>
      <c r="F324" s="449">
        <f>IF(C324=0,0,E324/C324)</f>
        <v>-0.31545709965125412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761</v>
      </c>
      <c r="C325" s="516">
        <f>C324+C322+C323</f>
        <v>5396008.4319998464</v>
      </c>
      <c r="D325" s="516">
        <f>LN_IV1+LN_IV2+LN_IV3</f>
        <v>4023337.2408518335</v>
      </c>
      <c r="E325" s="441">
        <f>LN_IV4-C325</f>
        <v>-1372671.1911480129</v>
      </c>
      <c r="F325" s="449">
        <f>IF(C325=0,0,E325/C325)</f>
        <v>-0.25438640588618933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762</v>
      </c>
      <c r="B327" s="530" t="s">
        <v>763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764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765</v>
      </c>
      <c r="C330" s="516">
        <v>2478602</v>
      </c>
      <c r="D330" s="516">
        <v>2005899</v>
      </c>
      <c r="E330" s="518">
        <f t="shared" si="34"/>
        <v>-472703</v>
      </c>
      <c r="F330" s="543">
        <f t="shared" si="35"/>
        <v>-0.19071355546392685</v>
      </c>
    </row>
    <row r="331" spans="1:22" s="420" customFormat="1" ht="15.75" customHeight="1" x14ac:dyDescent="0.2">
      <c r="A331" s="427">
        <v>3</v>
      </c>
      <c r="B331" s="447" t="s">
        <v>766</v>
      </c>
      <c r="C331" s="516">
        <v>65318418</v>
      </c>
      <c r="D331" s="516">
        <v>59633584</v>
      </c>
      <c r="E331" s="518">
        <f t="shared" si="34"/>
        <v>-5684834</v>
      </c>
      <c r="F331" s="542">
        <f t="shared" si="35"/>
        <v>-8.7032634501343867E-2</v>
      </c>
    </row>
    <row r="332" spans="1:22" s="420" customFormat="1" ht="27" customHeight="1" x14ac:dyDescent="0.2">
      <c r="A332" s="451">
        <v>4</v>
      </c>
      <c r="B332" s="447" t="s">
        <v>767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768</v>
      </c>
      <c r="C333" s="516">
        <v>152679640</v>
      </c>
      <c r="D333" s="516">
        <v>159131313</v>
      </c>
      <c r="E333" s="518">
        <f t="shared" si="34"/>
        <v>6451673</v>
      </c>
      <c r="F333" s="542">
        <f t="shared" si="35"/>
        <v>4.2256275951397318E-2</v>
      </c>
    </row>
    <row r="334" spans="1:22" s="420" customFormat="1" ht="15.75" customHeight="1" x14ac:dyDescent="0.2">
      <c r="A334" s="427">
        <v>6</v>
      </c>
      <c r="B334" s="447" t="s">
        <v>769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770</v>
      </c>
      <c r="C335" s="516">
        <v>3757359</v>
      </c>
      <c r="D335" s="516">
        <v>4765850</v>
      </c>
      <c r="E335" s="516">
        <f t="shared" si="34"/>
        <v>1008491</v>
      </c>
      <c r="F335" s="542">
        <f t="shared" si="35"/>
        <v>0.26840421689809252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E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631</v>
      </c>
      <c r="B3" s="820"/>
      <c r="C3" s="820"/>
      <c r="D3" s="820"/>
      <c r="E3" s="820"/>
    </row>
    <row r="4" spans="1:5" s="428" customFormat="1" ht="15.75" customHeight="1" x14ac:dyDescent="0.25">
      <c r="A4" s="820" t="s">
        <v>771</v>
      </c>
      <c r="B4" s="820"/>
      <c r="C4" s="820"/>
      <c r="D4" s="820"/>
      <c r="E4" s="820"/>
    </row>
    <row r="5" spans="1:5" s="428" customFormat="1" ht="15.75" customHeight="1" x14ac:dyDescent="0.25">
      <c r="A5" s="820" t="s">
        <v>772</v>
      </c>
      <c r="B5" s="820"/>
      <c r="C5" s="820"/>
      <c r="D5" s="820"/>
      <c r="E5" s="820"/>
    </row>
    <row r="6" spans="1:5" s="428" customFormat="1" ht="15.75" customHeight="1" x14ac:dyDescent="0.25">
      <c r="A6" s="820" t="s">
        <v>773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774</v>
      </c>
      <c r="D9" s="573" t="s">
        <v>775</v>
      </c>
      <c r="E9" s="573" t="s">
        <v>776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777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778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658</v>
      </c>
      <c r="C14" s="589">
        <v>15559054</v>
      </c>
      <c r="D14" s="589">
        <v>13247394</v>
      </c>
      <c r="E14" s="590">
        <f t="shared" ref="E14:E22" si="0">D14-C14</f>
        <v>-2311660</v>
      </c>
    </row>
    <row r="15" spans="1:5" s="421" customFormat="1" x14ac:dyDescent="0.2">
      <c r="A15" s="588">
        <v>2</v>
      </c>
      <c r="B15" s="587" t="s">
        <v>637</v>
      </c>
      <c r="C15" s="589">
        <v>39724495</v>
      </c>
      <c r="D15" s="591">
        <v>40017644</v>
      </c>
      <c r="E15" s="590">
        <f t="shared" si="0"/>
        <v>293149</v>
      </c>
    </row>
    <row r="16" spans="1:5" s="421" customFormat="1" x14ac:dyDescent="0.2">
      <c r="A16" s="588">
        <v>3</v>
      </c>
      <c r="B16" s="587" t="s">
        <v>779</v>
      </c>
      <c r="C16" s="589">
        <v>9988388</v>
      </c>
      <c r="D16" s="591">
        <v>8611611</v>
      </c>
      <c r="E16" s="590">
        <f t="shared" si="0"/>
        <v>-1376777</v>
      </c>
    </row>
    <row r="17" spans="1:5" s="421" customFormat="1" x14ac:dyDescent="0.2">
      <c r="A17" s="588">
        <v>4</v>
      </c>
      <c r="B17" s="587" t="s">
        <v>115</v>
      </c>
      <c r="C17" s="589">
        <v>9988388</v>
      </c>
      <c r="D17" s="591">
        <v>8611611</v>
      </c>
      <c r="E17" s="590">
        <f t="shared" si="0"/>
        <v>-1376777</v>
      </c>
    </row>
    <row r="18" spans="1:5" s="421" customFormat="1" x14ac:dyDescent="0.2">
      <c r="A18" s="588">
        <v>5</v>
      </c>
      <c r="B18" s="587" t="s">
        <v>745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342847</v>
      </c>
      <c r="D19" s="591">
        <v>411547</v>
      </c>
      <c r="E19" s="590">
        <f t="shared" si="0"/>
        <v>68700</v>
      </c>
    </row>
    <row r="20" spans="1:5" s="421" customFormat="1" x14ac:dyDescent="0.2">
      <c r="A20" s="588">
        <v>7</v>
      </c>
      <c r="B20" s="587" t="s">
        <v>760</v>
      </c>
      <c r="C20" s="589">
        <v>1122051</v>
      </c>
      <c r="D20" s="591">
        <v>647359</v>
      </c>
      <c r="E20" s="590">
        <f t="shared" si="0"/>
        <v>-474692</v>
      </c>
    </row>
    <row r="21" spans="1:5" s="421" customFormat="1" x14ac:dyDescent="0.2">
      <c r="A21" s="588"/>
      <c r="B21" s="592" t="s">
        <v>780</v>
      </c>
      <c r="C21" s="593">
        <f>SUM(C15+C16+C19)</f>
        <v>50055730</v>
      </c>
      <c r="D21" s="593">
        <f>SUM(D15+D16+D19)</f>
        <v>49040802</v>
      </c>
      <c r="E21" s="593">
        <f t="shared" si="0"/>
        <v>-1014928</v>
      </c>
    </row>
    <row r="22" spans="1:5" s="421" customFormat="1" x14ac:dyDescent="0.2">
      <c r="A22" s="588"/>
      <c r="B22" s="592" t="s">
        <v>465</v>
      </c>
      <c r="C22" s="593">
        <f>SUM(C14+C21)</f>
        <v>65614784</v>
      </c>
      <c r="D22" s="593">
        <f>SUM(D14+D21)</f>
        <v>62288196</v>
      </c>
      <c r="E22" s="593">
        <f t="shared" si="0"/>
        <v>-3326588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781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658</v>
      </c>
      <c r="C25" s="589">
        <v>43029416</v>
      </c>
      <c r="D25" s="589">
        <v>43214603</v>
      </c>
      <c r="E25" s="590">
        <f t="shared" ref="E25:E33" si="1">D25-C25</f>
        <v>185187</v>
      </c>
    </row>
    <row r="26" spans="1:5" s="421" customFormat="1" x14ac:dyDescent="0.2">
      <c r="A26" s="588">
        <v>2</v>
      </c>
      <c r="B26" s="587" t="s">
        <v>637</v>
      </c>
      <c r="C26" s="589">
        <v>29240458</v>
      </c>
      <c r="D26" s="591">
        <v>36025736</v>
      </c>
      <c r="E26" s="590">
        <f t="shared" si="1"/>
        <v>6785278</v>
      </c>
    </row>
    <row r="27" spans="1:5" s="421" customFormat="1" x14ac:dyDescent="0.2">
      <c r="A27" s="588">
        <v>3</v>
      </c>
      <c r="B27" s="587" t="s">
        <v>779</v>
      </c>
      <c r="C27" s="589">
        <v>14252955</v>
      </c>
      <c r="D27" s="591">
        <v>17040706</v>
      </c>
      <c r="E27" s="590">
        <f t="shared" si="1"/>
        <v>2787751</v>
      </c>
    </row>
    <row r="28" spans="1:5" s="421" customFormat="1" x14ac:dyDescent="0.2">
      <c r="A28" s="588">
        <v>4</v>
      </c>
      <c r="B28" s="587" t="s">
        <v>115</v>
      </c>
      <c r="C28" s="589">
        <v>14252955</v>
      </c>
      <c r="D28" s="591">
        <v>17040706</v>
      </c>
      <c r="E28" s="590">
        <f t="shared" si="1"/>
        <v>2787751</v>
      </c>
    </row>
    <row r="29" spans="1:5" s="421" customFormat="1" x14ac:dyDescent="0.2">
      <c r="A29" s="588">
        <v>5</v>
      </c>
      <c r="B29" s="587" t="s">
        <v>745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542027</v>
      </c>
      <c r="D30" s="591">
        <v>562072</v>
      </c>
      <c r="E30" s="590">
        <f t="shared" si="1"/>
        <v>20045</v>
      </c>
    </row>
    <row r="31" spans="1:5" s="421" customFormat="1" x14ac:dyDescent="0.2">
      <c r="A31" s="588">
        <v>7</v>
      </c>
      <c r="B31" s="587" t="s">
        <v>760</v>
      </c>
      <c r="C31" s="590">
        <v>2070919</v>
      </c>
      <c r="D31" s="594">
        <v>1890367</v>
      </c>
      <c r="E31" s="590">
        <f t="shared" si="1"/>
        <v>-180552</v>
      </c>
    </row>
    <row r="32" spans="1:5" s="421" customFormat="1" x14ac:dyDescent="0.2">
      <c r="A32" s="588"/>
      <c r="B32" s="592" t="s">
        <v>782</v>
      </c>
      <c r="C32" s="593">
        <f>SUM(C26+C27+C30)</f>
        <v>44035440</v>
      </c>
      <c r="D32" s="593">
        <f>SUM(D26+D27+D30)</f>
        <v>53628514</v>
      </c>
      <c r="E32" s="593">
        <f t="shared" si="1"/>
        <v>9593074</v>
      </c>
    </row>
    <row r="33" spans="1:5" s="421" customFormat="1" x14ac:dyDescent="0.2">
      <c r="A33" s="588"/>
      <c r="B33" s="592" t="s">
        <v>467</v>
      </c>
      <c r="C33" s="593">
        <f>SUM(C25+C32)</f>
        <v>87064856</v>
      </c>
      <c r="D33" s="593">
        <f>SUM(D25+D32)</f>
        <v>96843117</v>
      </c>
      <c r="E33" s="593">
        <f t="shared" si="1"/>
        <v>9778261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655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783</v>
      </c>
      <c r="C36" s="590">
        <f t="shared" ref="C36:D42" si="2">C14+C25</f>
        <v>58588470</v>
      </c>
      <c r="D36" s="590">
        <f t="shared" si="2"/>
        <v>56461997</v>
      </c>
      <c r="E36" s="590">
        <f t="shared" ref="E36:E44" si="3">D36-C36</f>
        <v>-2126473</v>
      </c>
    </row>
    <row r="37" spans="1:5" s="421" customFormat="1" x14ac:dyDescent="0.2">
      <c r="A37" s="588">
        <v>2</v>
      </c>
      <c r="B37" s="587" t="s">
        <v>784</v>
      </c>
      <c r="C37" s="590">
        <f t="shared" si="2"/>
        <v>68964953</v>
      </c>
      <c r="D37" s="590">
        <f t="shared" si="2"/>
        <v>76043380</v>
      </c>
      <c r="E37" s="590">
        <f t="shared" si="3"/>
        <v>7078427</v>
      </c>
    </row>
    <row r="38" spans="1:5" s="421" customFormat="1" x14ac:dyDescent="0.2">
      <c r="A38" s="588">
        <v>3</v>
      </c>
      <c r="B38" s="587" t="s">
        <v>785</v>
      </c>
      <c r="C38" s="590">
        <f t="shared" si="2"/>
        <v>24241343</v>
      </c>
      <c r="D38" s="590">
        <f t="shared" si="2"/>
        <v>25652317</v>
      </c>
      <c r="E38" s="590">
        <f t="shared" si="3"/>
        <v>1410974</v>
      </c>
    </row>
    <row r="39" spans="1:5" s="421" customFormat="1" x14ac:dyDescent="0.2">
      <c r="A39" s="588">
        <v>4</v>
      </c>
      <c r="B39" s="587" t="s">
        <v>786</v>
      </c>
      <c r="C39" s="590">
        <f t="shared" si="2"/>
        <v>24241343</v>
      </c>
      <c r="D39" s="590">
        <f t="shared" si="2"/>
        <v>25652317</v>
      </c>
      <c r="E39" s="590">
        <f t="shared" si="3"/>
        <v>1410974</v>
      </c>
    </row>
    <row r="40" spans="1:5" s="421" customFormat="1" x14ac:dyDescent="0.2">
      <c r="A40" s="588">
        <v>5</v>
      </c>
      <c r="B40" s="587" t="s">
        <v>787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788</v>
      </c>
      <c r="C41" s="590">
        <f t="shared" si="2"/>
        <v>884874</v>
      </c>
      <c r="D41" s="590">
        <f t="shared" si="2"/>
        <v>973619</v>
      </c>
      <c r="E41" s="590">
        <f t="shared" si="3"/>
        <v>88745</v>
      </c>
    </row>
    <row r="42" spans="1:5" s="421" customFormat="1" x14ac:dyDescent="0.2">
      <c r="A42" s="588">
        <v>7</v>
      </c>
      <c r="B42" s="587" t="s">
        <v>789</v>
      </c>
      <c r="C42" s="590">
        <f t="shared" si="2"/>
        <v>3192970</v>
      </c>
      <c r="D42" s="590">
        <f t="shared" si="2"/>
        <v>2537726</v>
      </c>
      <c r="E42" s="590">
        <f t="shared" si="3"/>
        <v>-655244</v>
      </c>
    </row>
    <row r="43" spans="1:5" s="421" customFormat="1" x14ac:dyDescent="0.2">
      <c r="A43" s="588"/>
      <c r="B43" s="592" t="s">
        <v>790</v>
      </c>
      <c r="C43" s="593">
        <f>SUM(C37+C38+C41)</f>
        <v>94091170</v>
      </c>
      <c r="D43" s="593">
        <f>SUM(D37+D38+D41)</f>
        <v>102669316</v>
      </c>
      <c r="E43" s="593">
        <f t="shared" si="3"/>
        <v>8578146</v>
      </c>
    </row>
    <row r="44" spans="1:5" s="421" customFormat="1" x14ac:dyDescent="0.2">
      <c r="A44" s="588"/>
      <c r="B44" s="592" t="s">
        <v>727</v>
      </c>
      <c r="C44" s="593">
        <f>SUM(C36+C43)</f>
        <v>152679640</v>
      </c>
      <c r="D44" s="593">
        <f>SUM(D36+D43)</f>
        <v>159131313</v>
      </c>
      <c r="E44" s="593">
        <f t="shared" si="3"/>
        <v>6451673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791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658</v>
      </c>
      <c r="C47" s="589">
        <v>8489972</v>
      </c>
      <c r="D47" s="589">
        <v>7112017</v>
      </c>
      <c r="E47" s="590">
        <f t="shared" ref="E47:E55" si="4">D47-C47</f>
        <v>-1377955</v>
      </c>
    </row>
    <row r="48" spans="1:5" s="421" customFormat="1" x14ac:dyDescent="0.2">
      <c r="A48" s="588">
        <v>2</v>
      </c>
      <c r="B48" s="587" t="s">
        <v>637</v>
      </c>
      <c r="C48" s="589">
        <v>15012920</v>
      </c>
      <c r="D48" s="591">
        <v>13509060</v>
      </c>
      <c r="E48" s="590">
        <f t="shared" si="4"/>
        <v>-1503860</v>
      </c>
    </row>
    <row r="49" spans="1:5" s="421" customFormat="1" x14ac:dyDescent="0.2">
      <c r="A49" s="588">
        <v>3</v>
      </c>
      <c r="B49" s="587" t="s">
        <v>779</v>
      </c>
      <c r="C49" s="589">
        <v>3385438</v>
      </c>
      <c r="D49" s="591">
        <v>1929397</v>
      </c>
      <c r="E49" s="590">
        <f t="shared" si="4"/>
        <v>-1456041</v>
      </c>
    </row>
    <row r="50" spans="1:5" s="421" customFormat="1" x14ac:dyDescent="0.2">
      <c r="A50" s="588">
        <v>4</v>
      </c>
      <c r="B50" s="587" t="s">
        <v>115</v>
      </c>
      <c r="C50" s="589">
        <v>3385438</v>
      </c>
      <c r="D50" s="591">
        <v>1929397</v>
      </c>
      <c r="E50" s="590">
        <f t="shared" si="4"/>
        <v>-1456041</v>
      </c>
    </row>
    <row r="51" spans="1:5" s="421" customFormat="1" x14ac:dyDescent="0.2">
      <c r="A51" s="588">
        <v>5</v>
      </c>
      <c r="B51" s="587" t="s">
        <v>745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152368</v>
      </c>
      <c r="D52" s="591">
        <v>159823</v>
      </c>
      <c r="E52" s="590">
        <f t="shared" si="4"/>
        <v>7455</v>
      </c>
    </row>
    <row r="53" spans="1:5" s="421" customFormat="1" x14ac:dyDescent="0.2">
      <c r="A53" s="588">
        <v>7</v>
      </c>
      <c r="B53" s="587" t="s">
        <v>760</v>
      </c>
      <c r="C53" s="589">
        <v>14045</v>
      </c>
      <c r="D53" s="591">
        <v>100</v>
      </c>
      <c r="E53" s="590">
        <f t="shared" si="4"/>
        <v>-13945</v>
      </c>
    </row>
    <row r="54" spans="1:5" s="421" customFormat="1" x14ac:dyDescent="0.2">
      <c r="A54" s="588"/>
      <c r="B54" s="592" t="s">
        <v>792</v>
      </c>
      <c r="C54" s="593">
        <f>SUM(C48+C49+C52)</f>
        <v>18550726</v>
      </c>
      <c r="D54" s="593">
        <f>SUM(D48+D49+D52)</f>
        <v>15598280</v>
      </c>
      <c r="E54" s="593">
        <f t="shared" si="4"/>
        <v>-2952446</v>
      </c>
    </row>
    <row r="55" spans="1:5" s="421" customFormat="1" x14ac:dyDescent="0.2">
      <c r="A55" s="588"/>
      <c r="B55" s="592" t="s">
        <v>466</v>
      </c>
      <c r="C55" s="593">
        <f>SUM(C47+C54)</f>
        <v>27040698</v>
      </c>
      <c r="D55" s="593">
        <f>SUM(D47+D54)</f>
        <v>22710297</v>
      </c>
      <c r="E55" s="593">
        <f t="shared" si="4"/>
        <v>-4330401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793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658</v>
      </c>
      <c r="C58" s="589">
        <v>22273804</v>
      </c>
      <c r="D58" s="589">
        <v>21768819</v>
      </c>
      <c r="E58" s="590">
        <f t="shared" ref="E58:E66" si="5">D58-C58</f>
        <v>-504985</v>
      </c>
    </row>
    <row r="59" spans="1:5" s="421" customFormat="1" x14ac:dyDescent="0.2">
      <c r="A59" s="588">
        <v>2</v>
      </c>
      <c r="B59" s="587" t="s">
        <v>637</v>
      </c>
      <c r="C59" s="589">
        <v>9656813</v>
      </c>
      <c r="D59" s="591">
        <v>8943188</v>
      </c>
      <c r="E59" s="590">
        <f t="shared" si="5"/>
        <v>-713625</v>
      </c>
    </row>
    <row r="60" spans="1:5" s="421" customFormat="1" x14ac:dyDescent="0.2">
      <c r="A60" s="588">
        <v>3</v>
      </c>
      <c r="B60" s="587" t="s">
        <v>779</v>
      </c>
      <c r="C60" s="589">
        <f>C61+C62</f>
        <v>3710813</v>
      </c>
      <c r="D60" s="591">
        <f>D61+D62</f>
        <v>4033829</v>
      </c>
      <c r="E60" s="590">
        <f t="shared" si="5"/>
        <v>323016</v>
      </c>
    </row>
    <row r="61" spans="1:5" s="421" customFormat="1" x14ac:dyDescent="0.2">
      <c r="A61" s="588">
        <v>4</v>
      </c>
      <c r="B61" s="587" t="s">
        <v>115</v>
      </c>
      <c r="C61" s="589">
        <v>3710813</v>
      </c>
      <c r="D61" s="591">
        <v>4033829</v>
      </c>
      <c r="E61" s="590">
        <f t="shared" si="5"/>
        <v>323016</v>
      </c>
    </row>
    <row r="62" spans="1:5" s="421" customFormat="1" x14ac:dyDescent="0.2">
      <c r="A62" s="588">
        <v>5</v>
      </c>
      <c r="B62" s="587" t="s">
        <v>745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157690</v>
      </c>
      <c r="D63" s="591">
        <v>171552</v>
      </c>
      <c r="E63" s="590">
        <f t="shared" si="5"/>
        <v>13862</v>
      </c>
    </row>
    <row r="64" spans="1:5" s="421" customFormat="1" x14ac:dyDescent="0.2">
      <c r="A64" s="588">
        <v>7</v>
      </c>
      <c r="B64" s="587" t="s">
        <v>760</v>
      </c>
      <c r="C64" s="589">
        <v>108242</v>
      </c>
      <c r="D64" s="591">
        <v>95389</v>
      </c>
      <c r="E64" s="590">
        <f t="shared" si="5"/>
        <v>-12853</v>
      </c>
    </row>
    <row r="65" spans="1:5" s="421" customFormat="1" x14ac:dyDescent="0.2">
      <c r="A65" s="588"/>
      <c r="B65" s="592" t="s">
        <v>794</v>
      </c>
      <c r="C65" s="593">
        <f>SUM(C59+C60+C63)</f>
        <v>13525316</v>
      </c>
      <c r="D65" s="593">
        <f>SUM(D59+D60+D63)</f>
        <v>13148569</v>
      </c>
      <c r="E65" s="593">
        <f t="shared" si="5"/>
        <v>-376747</v>
      </c>
    </row>
    <row r="66" spans="1:5" s="421" customFormat="1" x14ac:dyDescent="0.2">
      <c r="A66" s="588"/>
      <c r="B66" s="592" t="s">
        <v>468</v>
      </c>
      <c r="C66" s="593">
        <f>SUM(C58+C65)</f>
        <v>35799120</v>
      </c>
      <c r="D66" s="593">
        <f>SUM(D58+D65)</f>
        <v>34917388</v>
      </c>
      <c r="E66" s="593">
        <f t="shared" si="5"/>
        <v>-881732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656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783</v>
      </c>
      <c r="C69" s="590">
        <f t="shared" ref="C69:D75" si="6">C47+C58</f>
        <v>30763776</v>
      </c>
      <c r="D69" s="590">
        <f t="shared" si="6"/>
        <v>28880836</v>
      </c>
      <c r="E69" s="590">
        <f t="shared" ref="E69:E77" si="7">D69-C69</f>
        <v>-1882940</v>
      </c>
    </row>
    <row r="70" spans="1:5" s="421" customFormat="1" x14ac:dyDescent="0.2">
      <c r="A70" s="588">
        <v>2</v>
      </c>
      <c r="B70" s="587" t="s">
        <v>784</v>
      </c>
      <c r="C70" s="590">
        <f t="shared" si="6"/>
        <v>24669733</v>
      </c>
      <c r="D70" s="590">
        <f t="shared" si="6"/>
        <v>22452248</v>
      </c>
      <c r="E70" s="590">
        <f t="shared" si="7"/>
        <v>-2217485</v>
      </c>
    </row>
    <row r="71" spans="1:5" s="421" customFormat="1" x14ac:dyDescent="0.2">
      <c r="A71" s="588">
        <v>3</v>
      </c>
      <c r="B71" s="587" t="s">
        <v>785</v>
      </c>
      <c r="C71" s="590">
        <f t="shared" si="6"/>
        <v>7096251</v>
      </c>
      <c r="D71" s="590">
        <f t="shared" si="6"/>
        <v>5963226</v>
      </c>
      <c r="E71" s="590">
        <f t="shared" si="7"/>
        <v>-1133025</v>
      </c>
    </row>
    <row r="72" spans="1:5" s="421" customFormat="1" x14ac:dyDescent="0.2">
      <c r="A72" s="588">
        <v>4</v>
      </c>
      <c r="B72" s="587" t="s">
        <v>786</v>
      </c>
      <c r="C72" s="590">
        <f t="shared" si="6"/>
        <v>7096251</v>
      </c>
      <c r="D72" s="590">
        <f t="shared" si="6"/>
        <v>5963226</v>
      </c>
      <c r="E72" s="590">
        <f t="shared" si="7"/>
        <v>-1133025</v>
      </c>
    </row>
    <row r="73" spans="1:5" s="421" customFormat="1" x14ac:dyDescent="0.2">
      <c r="A73" s="588">
        <v>5</v>
      </c>
      <c r="B73" s="587" t="s">
        <v>787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788</v>
      </c>
      <c r="C74" s="590">
        <f t="shared" si="6"/>
        <v>310058</v>
      </c>
      <c r="D74" s="590">
        <f t="shared" si="6"/>
        <v>331375</v>
      </c>
      <c r="E74" s="590">
        <f t="shared" si="7"/>
        <v>21317</v>
      </c>
    </row>
    <row r="75" spans="1:5" s="421" customFormat="1" x14ac:dyDescent="0.2">
      <c r="A75" s="588">
        <v>7</v>
      </c>
      <c r="B75" s="587" t="s">
        <v>789</v>
      </c>
      <c r="C75" s="590">
        <f t="shared" si="6"/>
        <v>122287</v>
      </c>
      <c r="D75" s="590">
        <f t="shared" si="6"/>
        <v>95489</v>
      </c>
      <c r="E75" s="590">
        <f t="shared" si="7"/>
        <v>-26798</v>
      </c>
    </row>
    <row r="76" spans="1:5" s="421" customFormat="1" x14ac:dyDescent="0.2">
      <c r="A76" s="588"/>
      <c r="B76" s="592" t="s">
        <v>795</v>
      </c>
      <c r="C76" s="593">
        <f>SUM(C70+C71+C74)</f>
        <v>32076042</v>
      </c>
      <c r="D76" s="593">
        <f>SUM(D70+D71+D74)</f>
        <v>28746849</v>
      </c>
      <c r="E76" s="593">
        <f t="shared" si="7"/>
        <v>-3329193</v>
      </c>
    </row>
    <row r="77" spans="1:5" s="421" customFormat="1" x14ac:dyDescent="0.2">
      <c r="A77" s="588"/>
      <c r="B77" s="592" t="s">
        <v>728</v>
      </c>
      <c r="C77" s="593">
        <f>SUM(C69+C76)</f>
        <v>62839818</v>
      </c>
      <c r="D77" s="593">
        <f>SUM(D69+D76)</f>
        <v>57627685</v>
      </c>
      <c r="E77" s="593">
        <f t="shared" si="7"/>
        <v>-5212133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796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797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658</v>
      </c>
      <c r="C83" s="599">
        <f t="shared" ref="C83:D89" si="8">IF(C$44=0,0,C14/C$44)</f>
        <v>0.10190654104240748</v>
      </c>
      <c r="D83" s="599">
        <f t="shared" si="8"/>
        <v>8.3248191385186396E-2</v>
      </c>
      <c r="E83" s="599">
        <f t="shared" ref="E83:E91" si="9">D83-C83</f>
        <v>-1.8658349657221088E-2</v>
      </c>
    </row>
    <row r="84" spans="1:5" s="421" customFormat="1" x14ac:dyDescent="0.2">
      <c r="A84" s="588">
        <v>2</v>
      </c>
      <c r="B84" s="587" t="s">
        <v>637</v>
      </c>
      <c r="C84" s="599">
        <f t="shared" si="8"/>
        <v>0.26018200593084972</v>
      </c>
      <c r="D84" s="599">
        <f t="shared" si="8"/>
        <v>0.25147560995741924</v>
      </c>
      <c r="E84" s="599">
        <f t="shared" si="9"/>
        <v>-8.7063959734304808E-3</v>
      </c>
    </row>
    <row r="85" spans="1:5" s="421" customFormat="1" x14ac:dyDescent="0.2">
      <c r="A85" s="588">
        <v>3</v>
      </c>
      <c r="B85" s="587" t="s">
        <v>779</v>
      </c>
      <c r="C85" s="599">
        <f t="shared" si="8"/>
        <v>6.5420562951288064E-2</v>
      </c>
      <c r="D85" s="599">
        <f t="shared" si="8"/>
        <v>5.4116382487210422E-2</v>
      </c>
      <c r="E85" s="599">
        <f t="shared" si="9"/>
        <v>-1.1304180464077641E-2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6.5420562951288064E-2</v>
      </c>
      <c r="D86" s="599">
        <f t="shared" si="8"/>
        <v>5.4116382487210422E-2</v>
      </c>
      <c r="E86" s="599">
        <f t="shared" si="9"/>
        <v>-1.1304180464077641E-2</v>
      </c>
    </row>
    <row r="87" spans="1:5" s="421" customFormat="1" x14ac:dyDescent="0.2">
      <c r="A87" s="588">
        <v>5</v>
      </c>
      <c r="B87" s="587" t="s">
        <v>745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2.2455318862423307E-3</v>
      </c>
      <c r="D88" s="599">
        <f t="shared" si="8"/>
        <v>2.5862100440282297E-3</v>
      </c>
      <c r="E88" s="599">
        <f t="shared" si="9"/>
        <v>3.40678157785899E-4</v>
      </c>
    </row>
    <row r="89" spans="1:5" s="421" customFormat="1" x14ac:dyDescent="0.2">
      <c r="A89" s="588">
        <v>7</v>
      </c>
      <c r="B89" s="587" t="s">
        <v>760</v>
      </c>
      <c r="C89" s="599">
        <f t="shared" si="8"/>
        <v>7.3490545301259551E-3</v>
      </c>
      <c r="D89" s="599">
        <f t="shared" si="8"/>
        <v>4.0680805543281103E-3</v>
      </c>
      <c r="E89" s="599">
        <f t="shared" si="9"/>
        <v>-3.2809739757978448E-3</v>
      </c>
    </row>
    <row r="90" spans="1:5" s="421" customFormat="1" x14ac:dyDescent="0.2">
      <c r="A90" s="588"/>
      <c r="B90" s="592" t="s">
        <v>798</v>
      </c>
      <c r="C90" s="600">
        <f>SUM(C84+C85+C88)</f>
        <v>0.32784810076838011</v>
      </c>
      <c r="D90" s="600">
        <f>SUM(D84+D85+D88)</f>
        <v>0.30817820248865785</v>
      </c>
      <c r="E90" s="601">
        <f t="shared" si="9"/>
        <v>-1.9669898279722264E-2</v>
      </c>
    </row>
    <row r="91" spans="1:5" s="421" customFormat="1" x14ac:dyDescent="0.2">
      <c r="A91" s="588"/>
      <c r="B91" s="592" t="s">
        <v>799</v>
      </c>
      <c r="C91" s="600">
        <f>SUM(C83+C90)</f>
        <v>0.4297546418107876</v>
      </c>
      <c r="D91" s="600">
        <f>SUM(D83+D90)</f>
        <v>0.39142639387384426</v>
      </c>
      <c r="E91" s="601">
        <f t="shared" si="9"/>
        <v>-3.8328247936943338E-2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800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658</v>
      </c>
      <c r="C95" s="599">
        <f t="shared" ref="C95:D101" si="10">IF(C$44=0,0,C25/C$44)</f>
        <v>0.28182812063219431</v>
      </c>
      <c r="D95" s="599">
        <f t="shared" si="10"/>
        <v>0.27156567859149128</v>
      </c>
      <c r="E95" s="599">
        <f t="shared" ref="E95:E103" si="11">D95-C95</f>
        <v>-1.0262442040703035E-2</v>
      </c>
    </row>
    <row r="96" spans="1:5" s="421" customFormat="1" x14ac:dyDescent="0.2">
      <c r="A96" s="588">
        <v>2</v>
      </c>
      <c r="B96" s="587" t="s">
        <v>637</v>
      </c>
      <c r="C96" s="599">
        <f t="shared" si="10"/>
        <v>0.19151510967670607</v>
      </c>
      <c r="D96" s="599">
        <f t="shared" si="10"/>
        <v>0.22638998774552938</v>
      </c>
      <c r="E96" s="599">
        <f t="shared" si="11"/>
        <v>3.4874878068823306E-2</v>
      </c>
    </row>
    <row r="97" spans="1:5" s="421" customFormat="1" x14ac:dyDescent="0.2">
      <c r="A97" s="588">
        <v>3</v>
      </c>
      <c r="B97" s="587" t="s">
        <v>779</v>
      </c>
      <c r="C97" s="599">
        <f t="shared" si="10"/>
        <v>9.335203436424136E-2</v>
      </c>
      <c r="D97" s="599">
        <f t="shared" si="10"/>
        <v>0.10708581283433513</v>
      </c>
      <c r="E97" s="599">
        <f t="shared" si="11"/>
        <v>1.3733778470093772E-2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9.335203436424136E-2</v>
      </c>
      <c r="D98" s="599">
        <f t="shared" si="10"/>
        <v>0.10708581283433513</v>
      </c>
      <c r="E98" s="599">
        <f t="shared" si="11"/>
        <v>1.3733778470093772E-2</v>
      </c>
    </row>
    <row r="99" spans="1:5" s="421" customFormat="1" x14ac:dyDescent="0.2">
      <c r="A99" s="588">
        <v>5</v>
      </c>
      <c r="B99" s="587" t="s">
        <v>745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3.5500935160706431E-3</v>
      </c>
      <c r="D100" s="599">
        <f t="shared" si="10"/>
        <v>3.5321269547999015E-3</v>
      </c>
      <c r="E100" s="599">
        <f t="shared" si="11"/>
        <v>-1.7966561270741591E-5</v>
      </c>
    </row>
    <row r="101" spans="1:5" s="421" customFormat="1" x14ac:dyDescent="0.2">
      <c r="A101" s="588">
        <v>7</v>
      </c>
      <c r="B101" s="587" t="s">
        <v>760</v>
      </c>
      <c r="C101" s="599">
        <f t="shared" si="10"/>
        <v>1.3563818987259861E-2</v>
      </c>
      <c r="D101" s="599">
        <f t="shared" si="10"/>
        <v>1.1879289904432573E-2</v>
      </c>
      <c r="E101" s="599">
        <f t="shared" si="11"/>
        <v>-1.6845290828272873E-3</v>
      </c>
    </row>
    <row r="102" spans="1:5" s="421" customFormat="1" x14ac:dyDescent="0.2">
      <c r="A102" s="588"/>
      <c r="B102" s="592" t="s">
        <v>801</v>
      </c>
      <c r="C102" s="600">
        <f>SUM(C96+C97+C100)</f>
        <v>0.28841723755701809</v>
      </c>
      <c r="D102" s="600">
        <f>SUM(D96+D97+D100)</f>
        <v>0.33700792753466435</v>
      </c>
      <c r="E102" s="601">
        <f t="shared" si="11"/>
        <v>4.8590689977646262E-2</v>
      </c>
    </row>
    <row r="103" spans="1:5" s="421" customFormat="1" x14ac:dyDescent="0.2">
      <c r="A103" s="588"/>
      <c r="B103" s="592" t="s">
        <v>802</v>
      </c>
      <c r="C103" s="600">
        <f>SUM(C95+C102)</f>
        <v>0.5702453581892124</v>
      </c>
      <c r="D103" s="600">
        <f>SUM(D95+D102)</f>
        <v>0.60857360612615563</v>
      </c>
      <c r="E103" s="601">
        <f t="shared" si="11"/>
        <v>3.8328247936943227E-2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803</v>
      </c>
      <c r="C105" s="601">
        <f>C91+C103</f>
        <v>1</v>
      </c>
      <c r="D105" s="601">
        <f>D91+D103</f>
        <v>0.99999999999999989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804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658</v>
      </c>
      <c r="C109" s="599">
        <f t="shared" ref="C109:D115" si="12">IF(C$77=0,0,C47/C$77)</f>
        <v>0.13510497436513899</v>
      </c>
      <c r="D109" s="599">
        <f t="shared" si="12"/>
        <v>0.12341319974939129</v>
      </c>
      <c r="E109" s="599">
        <f t="shared" ref="E109:E117" si="13">D109-C109</f>
        <v>-1.1691774615747705E-2</v>
      </c>
    </row>
    <row r="110" spans="1:5" s="421" customFormat="1" x14ac:dyDescent="0.2">
      <c r="A110" s="588">
        <v>2</v>
      </c>
      <c r="B110" s="587" t="s">
        <v>637</v>
      </c>
      <c r="C110" s="599">
        <f t="shared" si="12"/>
        <v>0.23890775749859747</v>
      </c>
      <c r="D110" s="599">
        <f t="shared" si="12"/>
        <v>0.23441961966717906</v>
      </c>
      <c r="E110" s="599">
        <f t="shared" si="13"/>
        <v>-4.4881378314184095E-3</v>
      </c>
    </row>
    <row r="111" spans="1:5" s="421" customFormat="1" x14ac:dyDescent="0.2">
      <c r="A111" s="588">
        <v>3</v>
      </c>
      <c r="B111" s="587" t="s">
        <v>779</v>
      </c>
      <c r="C111" s="599">
        <f t="shared" si="12"/>
        <v>5.387408983265992E-2</v>
      </c>
      <c r="D111" s="599">
        <f t="shared" si="12"/>
        <v>3.3480383603818199E-2</v>
      </c>
      <c r="E111" s="599">
        <f t="shared" si="13"/>
        <v>-2.0393706228841721E-2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5.387408983265992E-2</v>
      </c>
      <c r="D112" s="599">
        <f t="shared" si="12"/>
        <v>3.3480383603818199E-2</v>
      </c>
      <c r="E112" s="599">
        <f t="shared" si="13"/>
        <v>-2.0393706228841721E-2</v>
      </c>
    </row>
    <row r="113" spans="1:5" s="421" customFormat="1" x14ac:dyDescent="0.2">
      <c r="A113" s="588">
        <v>5</v>
      </c>
      <c r="B113" s="587" t="s">
        <v>745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2.4247046673496093E-3</v>
      </c>
      <c r="D114" s="599">
        <f t="shared" si="12"/>
        <v>2.7733718611115473E-3</v>
      </c>
      <c r="E114" s="599">
        <f t="shared" si="13"/>
        <v>3.4866719376193791E-4</v>
      </c>
    </row>
    <row r="115" spans="1:5" s="421" customFormat="1" x14ac:dyDescent="0.2">
      <c r="A115" s="588">
        <v>7</v>
      </c>
      <c r="B115" s="587" t="s">
        <v>760</v>
      </c>
      <c r="C115" s="599">
        <f t="shared" si="12"/>
        <v>2.2350478481653144E-4</v>
      </c>
      <c r="D115" s="599">
        <f t="shared" si="12"/>
        <v>1.7352770634461543E-6</v>
      </c>
      <c r="E115" s="599">
        <f t="shared" si="13"/>
        <v>-2.2176950775308529E-4</v>
      </c>
    </row>
    <row r="116" spans="1:5" s="421" customFormat="1" x14ac:dyDescent="0.2">
      <c r="A116" s="588"/>
      <c r="B116" s="592" t="s">
        <v>798</v>
      </c>
      <c r="C116" s="600">
        <f>SUM(C110+C111+C114)</f>
        <v>0.29520655199860701</v>
      </c>
      <c r="D116" s="600">
        <f>SUM(D110+D111+D114)</f>
        <v>0.27067337513210882</v>
      </c>
      <c r="E116" s="601">
        <f t="shared" si="13"/>
        <v>-2.4533176866498196E-2</v>
      </c>
    </row>
    <row r="117" spans="1:5" s="421" customFormat="1" x14ac:dyDescent="0.2">
      <c r="A117" s="588"/>
      <c r="B117" s="592" t="s">
        <v>799</v>
      </c>
      <c r="C117" s="600">
        <f>SUM(C109+C116)</f>
        <v>0.43031152636374603</v>
      </c>
      <c r="D117" s="600">
        <f>SUM(D109+D116)</f>
        <v>0.39408657488150012</v>
      </c>
      <c r="E117" s="601">
        <f t="shared" si="13"/>
        <v>-3.6224951482245915E-2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805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658</v>
      </c>
      <c r="C121" s="599">
        <f t="shared" ref="C121:D127" si="14">IF(C$77=0,0,C58/C$77)</f>
        <v>0.35445366821399771</v>
      </c>
      <c r="D121" s="599">
        <f t="shared" si="14"/>
        <v>0.3777493230901085</v>
      </c>
      <c r="E121" s="599">
        <f t="shared" ref="E121:E129" si="15">D121-C121</f>
        <v>2.3295654876110794E-2</v>
      </c>
    </row>
    <row r="122" spans="1:5" s="421" customFormat="1" x14ac:dyDescent="0.2">
      <c r="A122" s="588">
        <v>2</v>
      </c>
      <c r="B122" s="587" t="s">
        <v>637</v>
      </c>
      <c r="C122" s="599">
        <f t="shared" si="14"/>
        <v>0.15367347181050078</v>
      </c>
      <c r="D122" s="599">
        <f t="shared" si="14"/>
        <v>0.15518909010486887</v>
      </c>
      <c r="E122" s="599">
        <f t="shared" si="15"/>
        <v>1.5156182943680818E-3</v>
      </c>
    </row>
    <row r="123" spans="1:5" s="421" customFormat="1" x14ac:dyDescent="0.2">
      <c r="A123" s="588">
        <v>3</v>
      </c>
      <c r="B123" s="587" t="s">
        <v>779</v>
      </c>
      <c r="C123" s="599">
        <f t="shared" si="14"/>
        <v>5.9051937419678714E-2</v>
      </c>
      <c r="D123" s="599">
        <f t="shared" si="14"/>
        <v>6.9998109415639373E-2</v>
      </c>
      <c r="E123" s="599">
        <f t="shared" si="15"/>
        <v>1.0946171995960659E-2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5.9051937419678714E-2</v>
      </c>
      <c r="D124" s="599">
        <f t="shared" si="14"/>
        <v>6.9998109415639373E-2</v>
      </c>
      <c r="E124" s="599">
        <f t="shared" si="15"/>
        <v>1.0946171995960659E-2</v>
      </c>
    </row>
    <row r="125" spans="1:5" s="421" customFormat="1" x14ac:dyDescent="0.2">
      <c r="A125" s="588">
        <v>5</v>
      </c>
      <c r="B125" s="587" t="s">
        <v>745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2.5093961920768133E-3</v>
      </c>
      <c r="D126" s="599">
        <f t="shared" si="14"/>
        <v>2.9769025078831466E-3</v>
      </c>
      <c r="E126" s="599">
        <f t="shared" si="15"/>
        <v>4.6750631580633325E-4</v>
      </c>
    </row>
    <row r="127" spans="1:5" s="421" customFormat="1" x14ac:dyDescent="0.2">
      <c r="A127" s="588">
        <v>7</v>
      </c>
      <c r="B127" s="587" t="s">
        <v>760</v>
      </c>
      <c r="C127" s="599">
        <f t="shared" si="14"/>
        <v>1.7225065801431824E-3</v>
      </c>
      <c r="D127" s="599">
        <f t="shared" si="14"/>
        <v>1.6552634380506523E-3</v>
      </c>
      <c r="E127" s="599">
        <f t="shared" si="15"/>
        <v>-6.724314209253005E-5</v>
      </c>
    </row>
    <row r="128" spans="1:5" s="421" customFormat="1" x14ac:dyDescent="0.2">
      <c r="A128" s="588"/>
      <c r="B128" s="592" t="s">
        <v>801</v>
      </c>
      <c r="C128" s="600">
        <f>SUM(C122+C123+C126)</f>
        <v>0.21523480542225631</v>
      </c>
      <c r="D128" s="600">
        <f>SUM(D122+D123+D126)</f>
        <v>0.22816410202839141</v>
      </c>
      <c r="E128" s="601">
        <f t="shared" si="15"/>
        <v>1.2929296606135093E-2</v>
      </c>
    </row>
    <row r="129" spans="1:5" s="421" customFormat="1" x14ac:dyDescent="0.2">
      <c r="A129" s="588"/>
      <c r="B129" s="592" t="s">
        <v>802</v>
      </c>
      <c r="C129" s="600">
        <f>SUM(C121+C128)</f>
        <v>0.56968847363625397</v>
      </c>
      <c r="D129" s="600">
        <f>SUM(D121+D128)</f>
        <v>0.60591342511849988</v>
      </c>
      <c r="E129" s="601">
        <f t="shared" si="15"/>
        <v>3.6224951482245915E-2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806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807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808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658</v>
      </c>
      <c r="C137" s="606">
        <v>985</v>
      </c>
      <c r="D137" s="606">
        <v>896</v>
      </c>
      <c r="E137" s="607">
        <f t="shared" ref="E137:E145" si="16">D137-C137</f>
        <v>-89</v>
      </c>
    </row>
    <row r="138" spans="1:5" s="421" customFormat="1" x14ac:dyDescent="0.2">
      <c r="A138" s="588">
        <v>2</v>
      </c>
      <c r="B138" s="587" t="s">
        <v>637</v>
      </c>
      <c r="C138" s="606">
        <v>1601</v>
      </c>
      <c r="D138" s="606">
        <v>1633</v>
      </c>
      <c r="E138" s="607">
        <f t="shared" si="16"/>
        <v>32</v>
      </c>
    </row>
    <row r="139" spans="1:5" s="421" customFormat="1" x14ac:dyDescent="0.2">
      <c r="A139" s="588">
        <v>3</v>
      </c>
      <c r="B139" s="587" t="s">
        <v>779</v>
      </c>
      <c r="C139" s="606">
        <f>C140+C141</f>
        <v>646</v>
      </c>
      <c r="D139" s="606">
        <f>D140+D141</f>
        <v>581</v>
      </c>
      <c r="E139" s="607">
        <f t="shared" si="16"/>
        <v>-65</v>
      </c>
    </row>
    <row r="140" spans="1:5" s="421" customFormat="1" x14ac:dyDescent="0.2">
      <c r="A140" s="588">
        <v>4</v>
      </c>
      <c r="B140" s="587" t="s">
        <v>115</v>
      </c>
      <c r="C140" s="606">
        <v>646</v>
      </c>
      <c r="D140" s="606">
        <v>581</v>
      </c>
      <c r="E140" s="607">
        <f t="shared" si="16"/>
        <v>-65</v>
      </c>
    </row>
    <row r="141" spans="1:5" s="421" customFormat="1" x14ac:dyDescent="0.2">
      <c r="A141" s="588">
        <v>5</v>
      </c>
      <c r="B141" s="587" t="s">
        <v>745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19</v>
      </c>
      <c r="D142" s="606">
        <v>29</v>
      </c>
      <c r="E142" s="607">
        <f t="shared" si="16"/>
        <v>10</v>
      </c>
    </row>
    <row r="143" spans="1:5" s="421" customFormat="1" x14ac:dyDescent="0.2">
      <c r="A143" s="588">
        <v>7</v>
      </c>
      <c r="B143" s="587" t="s">
        <v>760</v>
      </c>
      <c r="C143" s="606">
        <v>76</v>
      </c>
      <c r="D143" s="606">
        <v>48</v>
      </c>
      <c r="E143" s="607">
        <f t="shared" si="16"/>
        <v>-28</v>
      </c>
    </row>
    <row r="144" spans="1:5" s="421" customFormat="1" x14ac:dyDescent="0.2">
      <c r="A144" s="588"/>
      <c r="B144" s="592" t="s">
        <v>809</v>
      </c>
      <c r="C144" s="608">
        <f>SUM(C138+C139+C142)</f>
        <v>2266</v>
      </c>
      <c r="D144" s="608">
        <f>SUM(D138+D139+D142)</f>
        <v>2243</v>
      </c>
      <c r="E144" s="609">
        <f t="shared" si="16"/>
        <v>-23</v>
      </c>
    </row>
    <row r="145" spans="1:5" s="421" customFormat="1" x14ac:dyDescent="0.2">
      <c r="A145" s="588"/>
      <c r="B145" s="592" t="s">
        <v>138</v>
      </c>
      <c r="C145" s="608">
        <f>SUM(C137+C144)</f>
        <v>3251</v>
      </c>
      <c r="D145" s="608">
        <f>SUM(D137+D144)</f>
        <v>3139</v>
      </c>
      <c r="E145" s="609">
        <f t="shared" si="16"/>
        <v>-112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658</v>
      </c>
      <c r="C149" s="610">
        <v>3951</v>
      </c>
      <c r="D149" s="610">
        <v>3650</v>
      </c>
      <c r="E149" s="607">
        <f t="shared" ref="E149:E157" si="17">D149-C149</f>
        <v>-301</v>
      </c>
    </row>
    <row r="150" spans="1:5" s="421" customFormat="1" x14ac:dyDescent="0.2">
      <c r="A150" s="588">
        <v>2</v>
      </c>
      <c r="B150" s="587" t="s">
        <v>637</v>
      </c>
      <c r="C150" s="610">
        <v>9242</v>
      </c>
      <c r="D150" s="610">
        <v>9745</v>
      </c>
      <c r="E150" s="607">
        <f t="shared" si="17"/>
        <v>503</v>
      </c>
    </row>
    <row r="151" spans="1:5" s="421" customFormat="1" x14ac:dyDescent="0.2">
      <c r="A151" s="588">
        <v>3</v>
      </c>
      <c r="B151" s="587" t="s">
        <v>779</v>
      </c>
      <c r="C151" s="610">
        <f>C152+C153</f>
        <v>2904</v>
      </c>
      <c r="D151" s="610">
        <f>D152+D153</f>
        <v>2623</v>
      </c>
      <c r="E151" s="607">
        <f t="shared" si="17"/>
        <v>-281</v>
      </c>
    </row>
    <row r="152" spans="1:5" s="421" customFormat="1" x14ac:dyDescent="0.2">
      <c r="A152" s="588">
        <v>4</v>
      </c>
      <c r="B152" s="587" t="s">
        <v>115</v>
      </c>
      <c r="C152" s="610">
        <v>2904</v>
      </c>
      <c r="D152" s="610">
        <v>2623</v>
      </c>
      <c r="E152" s="607">
        <f t="shared" si="17"/>
        <v>-281</v>
      </c>
    </row>
    <row r="153" spans="1:5" s="421" customFormat="1" x14ac:dyDescent="0.2">
      <c r="A153" s="588">
        <v>5</v>
      </c>
      <c r="B153" s="587" t="s">
        <v>745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92</v>
      </c>
      <c r="D154" s="610">
        <v>112</v>
      </c>
      <c r="E154" s="607">
        <f t="shared" si="17"/>
        <v>20</v>
      </c>
    </row>
    <row r="155" spans="1:5" s="421" customFormat="1" x14ac:dyDescent="0.2">
      <c r="A155" s="588">
        <v>7</v>
      </c>
      <c r="B155" s="587" t="s">
        <v>760</v>
      </c>
      <c r="C155" s="610">
        <v>318</v>
      </c>
      <c r="D155" s="610">
        <v>180</v>
      </c>
      <c r="E155" s="607">
        <f t="shared" si="17"/>
        <v>-138</v>
      </c>
    </row>
    <row r="156" spans="1:5" s="421" customFormat="1" x14ac:dyDescent="0.2">
      <c r="A156" s="588"/>
      <c r="B156" s="592" t="s">
        <v>810</v>
      </c>
      <c r="C156" s="608">
        <f>SUM(C150+C151+C154)</f>
        <v>12238</v>
      </c>
      <c r="D156" s="608">
        <f>SUM(D150+D151+D154)</f>
        <v>12480</v>
      </c>
      <c r="E156" s="609">
        <f t="shared" si="17"/>
        <v>242</v>
      </c>
    </row>
    <row r="157" spans="1:5" s="421" customFormat="1" x14ac:dyDescent="0.2">
      <c r="A157" s="588"/>
      <c r="B157" s="592" t="s">
        <v>140</v>
      </c>
      <c r="C157" s="608">
        <f>SUM(C149+C156)</f>
        <v>16189</v>
      </c>
      <c r="D157" s="608">
        <f>SUM(D149+D156)</f>
        <v>16130</v>
      </c>
      <c r="E157" s="609">
        <f t="shared" si="17"/>
        <v>-59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811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658</v>
      </c>
      <c r="C161" s="612">
        <f t="shared" ref="C161:D169" si="18">IF(C137=0,0,C149/C137)</f>
        <v>4.0111675126903554</v>
      </c>
      <c r="D161" s="612">
        <f t="shared" si="18"/>
        <v>4.0736607142857144</v>
      </c>
      <c r="E161" s="613">
        <f t="shared" ref="E161:E169" si="19">D161-C161</f>
        <v>6.2493201595358983E-2</v>
      </c>
    </row>
    <row r="162" spans="1:5" s="421" customFormat="1" x14ac:dyDescent="0.2">
      <c r="A162" s="588">
        <v>2</v>
      </c>
      <c r="B162" s="587" t="s">
        <v>637</v>
      </c>
      <c r="C162" s="612">
        <f t="shared" si="18"/>
        <v>5.77264209868832</v>
      </c>
      <c r="D162" s="612">
        <f t="shared" si="18"/>
        <v>5.9675443968156765</v>
      </c>
      <c r="E162" s="613">
        <f t="shared" si="19"/>
        <v>0.19490229812735649</v>
      </c>
    </row>
    <row r="163" spans="1:5" s="421" customFormat="1" x14ac:dyDescent="0.2">
      <c r="A163" s="588">
        <v>3</v>
      </c>
      <c r="B163" s="587" t="s">
        <v>779</v>
      </c>
      <c r="C163" s="612">
        <f t="shared" si="18"/>
        <v>4.4953560371517032</v>
      </c>
      <c r="D163" s="612">
        <f t="shared" si="18"/>
        <v>4.5146299483648882</v>
      </c>
      <c r="E163" s="613">
        <f t="shared" si="19"/>
        <v>1.9273911213185002E-2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4.4953560371517032</v>
      </c>
      <c r="D164" s="612">
        <f t="shared" si="18"/>
        <v>4.5146299483648882</v>
      </c>
      <c r="E164" s="613">
        <f t="shared" si="19"/>
        <v>1.9273911213185002E-2</v>
      </c>
    </row>
    <row r="165" spans="1:5" s="421" customFormat="1" x14ac:dyDescent="0.2">
      <c r="A165" s="588">
        <v>5</v>
      </c>
      <c r="B165" s="587" t="s">
        <v>745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4.8421052631578947</v>
      </c>
      <c r="D166" s="612">
        <f t="shared" si="18"/>
        <v>3.8620689655172415</v>
      </c>
      <c r="E166" s="613">
        <f t="shared" si="19"/>
        <v>-0.98003629764065314</v>
      </c>
    </row>
    <row r="167" spans="1:5" s="421" customFormat="1" x14ac:dyDescent="0.2">
      <c r="A167" s="588">
        <v>7</v>
      </c>
      <c r="B167" s="587" t="s">
        <v>760</v>
      </c>
      <c r="C167" s="612">
        <f t="shared" si="18"/>
        <v>4.1842105263157894</v>
      </c>
      <c r="D167" s="612">
        <f t="shared" si="18"/>
        <v>3.75</v>
      </c>
      <c r="E167" s="613">
        <f t="shared" si="19"/>
        <v>-0.43421052631578938</v>
      </c>
    </row>
    <row r="168" spans="1:5" s="421" customFormat="1" x14ac:dyDescent="0.2">
      <c r="A168" s="588"/>
      <c r="B168" s="592" t="s">
        <v>812</v>
      </c>
      <c r="C168" s="614">
        <f t="shared" si="18"/>
        <v>5.4007060900264783</v>
      </c>
      <c r="D168" s="614">
        <f t="shared" si="18"/>
        <v>5.5639768167632635</v>
      </c>
      <c r="E168" s="615">
        <f t="shared" si="19"/>
        <v>0.16327072673678522</v>
      </c>
    </row>
    <row r="169" spans="1:5" s="421" customFormat="1" x14ac:dyDescent="0.2">
      <c r="A169" s="588"/>
      <c r="B169" s="592" t="s">
        <v>746</v>
      </c>
      <c r="C169" s="614">
        <f t="shared" si="18"/>
        <v>4.9796985542909873</v>
      </c>
      <c r="D169" s="614">
        <f t="shared" si="18"/>
        <v>5.1385791653392801</v>
      </c>
      <c r="E169" s="615">
        <f t="shared" si="19"/>
        <v>0.15888061104829276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813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658</v>
      </c>
      <c r="C173" s="617">
        <f t="shared" ref="C173:D181" si="20">IF(C137=0,0,C203/C137)</f>
        <v>1.03942</v>
      </c>
      <c r="D173" s="617">
        <f t="shared" si="20"/>
        <v>0.96850000000000003</v>
      </c>
      <c r="E173" s="618">
        <f t="shared" ref="E173:E181" si="21">D173-C173</f>
        <v>-7.0919999999999983E-2</v>
      </c>
    </row>
    <row r="174" spans="1:5" s="421" customFormat="1" x14ac:dyDescent="0.2">
      <c r="A174" s="588">
        <v>2</v>
      </c>
      <c r="B174" s="587" t="s">
        <v>637</v>
      </c>
      <c r="C174" s="617">
        <f t="shared" si="20"/>
        <v>1.3225000000000002</v>
      </c>
      <c r="D174" s="617">
        <f t="shared" si="20"/>
        <v>1.3169999999999999</v>
      </c>
      <c r="E174" s="618">
        <f t="shared" si="21"/>
        <v>-5.5000000000002824E-3</v>
      </c>
    </row>
    <row r="175" spans="1:5" s="421" customFormat="1" x14ac:dyDescent="0.2">
      <c r="A175" s="588">
        <v>3</v>
      </c>
      <c r="B175" s="587" t="s">
        <v>779</v>
      </c>
      <c r="C175" s="617">
        <f t="shared" si="20"/>
        <v>0.97484999999999999</v>
      </c>
      <c r="D175" s="617">
        <f t="shared" si="20"/>
        <v>0.94340000000000002</v>
      </c>
      <c r="E175" s="618">
        <f t="shared" si="21"/>
        <v>-3.1449999999999978E-2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0.97484999999999999</v>
      </c>
      <c r="D176" s="617">
        <f t="shared" si="20"/>
        <v>0.94340000000000002</v>
      </c>
      <c r="E176" s="618">
        <f t="shared" si="21"/>
        <v>-3.1449999999999978E-2</v>
      </c>
    </row>
    <row r="177" spans="1:5" s="421" customFormat="1" x14ac:dyDescent="0.2">
      <c r="A177" s="588">
        <v>5</v>
      </c>
      <c r="B177" s="587" t="s">
        <v>745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1.1223000000000001</v>
      </c>
      <c r="D178" s="617">
        <f t="shared" si="20"/>
        <v>1.0887</v>
      </c>
      <c r="E178" s="618">
        <f t="shared" si="21"/>
        <v>-3.3600000000000074E-2</v>
      </c>
    </row>
    <row r="179" spans="1:5" s="421" customFormat="1" x14ac:dyDescent="0.2">
      <c r="A179" s="588">
        <v>7</v>
      </c>
      <c r="B179" s="587" t="s">
        <v>760</v>
      </c>
      <c r="C179" s="617">
        <f t="shared" si="20"/>
        <v>0.97609999999999997</v>
      </c>
      <c r="D179" s="617">
        <f t="shared" si="20"/>
        <v>1.0148999999999999</v>
      </c>
      <c r="E179" s="618">
        <f t="shared" si="21"/>
        <v>3.8799999999999946E-2</v>
      </c>
    </row>
    <row r="180" spans="1:5" s="421" customFormat="1" x14ac:dyDescent="0.2">
      <c r="A180" s="588"/>
      <c r="B180" s="592" t="s">
        <v>814</v>
      </c>
      <c r="C180" s="619">
        <f t="shared" si="20"/>
        <v>1.2217119593998236</v>
      </c>
      <c r="D180" s="619">
        <f t="shared" si="20"/>
        <v>1.2172753901025413</v>
      </c>
      <c r="E180" s="620">
        <f t="shared" si="21"/>
        <v>-4.4365692972823112E-3</v>
      </c>
    </row>
    <row r="181" spans="1:5" s="421" customFormat="1" x14ac:dyDescent="0.2">
      <c r="A181" s="588"/>
      <c r="B181" s="592" t="s">
        <v>725</v>
      </c>
      <c r="C181" s="619">
        <f t="shared" si="20"/>
        <v>1.1664804675484466</v>
      </c>
      <c r="D181" s="619">
        <f t="shared" si="20"/>
        <v>1.1462646384198791</v>
      </c>
      <c r="E181" s="620">
        <f t="shared" si="21"/>
        <v>-2.0215829128567453E-2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815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816</v>
      </c>
      <c r="C185" s="589">
        <v>58588470</v>
      </c>
      <c r="D185" s="589">
        <v>56461997</v>
      </c>
      <c r="E185" s="590">
        <f>D185-C185</f>
        <v>-2126473</v>
      </c>
    </row>
    <row r="186" spans="1:5" s="421" customFormat="1" ht="25.5" x14ac:dyDescent="0.2">
      <c r="A186" s="588">
        <v>2</v>
      </c>
      <c r="B186" s="587" t="s">
        <v>817</v>
      </c>
      <c r="C186" s="589">
        <v>30763776</v>
      </c>
      <c r="D186" s="589">
        <v>29684854</v>
      </c>
      <c r="E186" s="590">
        <f>D186-C186</f>
        <v>-1078922</v>
      </c>
    </row>
    <row r="187" spans="1:5" s="421" customFormat="1" x14ac:dyDescent="0.2">
      <c r="A187" s="588"/>
      <c r="B187" s="587" t="s">
        <v>670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749</v>
      </c>
      <c r="C188" s="622">
        <f>+C185-C186</f>
        <v>27824694</v>
      </c>
      <c r="D188" s="622">
        <f>+D185-D186</f>
        <v>26777143</v>
      </c>
      <c r="E188" s="590">
        <f t="shared" ref="E188:E197" si="22">D188-C188</f>
        <v>-1047551</v>
      </c>
    </row>
    <row r="189" spans="1:5" s="421" customFormat="1" x14ac:dyDescent="0.2">
      <c r="A189" s="588">
        <v>4</v>
      </c>
      <c r="B189" s="587" t="s">
        <v>672</v>
      </c>
      <c r="C189" s="623">
        <f>IF(C185=0,0,+C188/C185)</f>
        <v>0.47491757337237173</v>
      </c>
      <c r="D189" s="623">
        <f>IF(D185=0,0,+D188/D185)</f>
        <v>0.47425072478396396</v>
      </c>
      <c r="E189" s="599">
        <f t="shared" si="22"/>
        <v>-6.6684858840776462E-4</v>
      </c>
    </row>
    <row r="190" spans="1:5" s="421" customFormat="1" x14ac:dyDescent="0.2">
      <c r="A190" s="588">
        <v>5</v>
      </c>
      <c r="B190" s="587" t="s">
        <v>764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750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818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819</v>
      </c>
      <c r="C193" s="589">
        <v>193108</v>
      </c>
      <c r="D193" s="589">
        <v>310398</v>
      </c>
      <c r="E193" s="622">
        <f t="shared" si="22"/>
        <v>117290</v>
      </c>
    </row>
    <row r="194" spans="1:5" s="421" customFormat="1" x14ac:dyDescent="0.2">
      <c r="A194" s="588">
        <v>9</v>
      </c>
      <c r="B194" s="587" t="s">
        <v>820</v>
      </c>
      <c r="C194" s="589">
        <v>3564251</v>
      </c>
      <c r="D194" s="589">
        <v>4455452</v>
      </c>
      <c r="E194" s="622">
        <f t="shared" si="22"/>
        <v>891201</v>
      </c>
    </row>
    <row r="195" spans="1:5" s="421" customFormat="1" x14ac:dyDescent="0.2">
      <c r="A195" s="588">
        <v>10</v>
      </c>
      <c r="B195" s="587" t="s">
        <v>821</v>
      </c>
      <c r="C195" s="589">
        <f>+C193+C194</f>
        <v>3757359</v>
      </c>
      <c r="D195" s="589">
        <f>+D193+D194</f>
        <v>4765850</v>
      </c>
      <c r="E195" s="625">
        <f t="shared" si="22"/>
        <v>1008491</v>
      </c>
    </row>
    <row r="196" spans="1:5" s="421" customFormat="1" x14ac:dyDescent="0.2">
      <c r="A196" s="588">
        <v>11</v>
      </c>
      <c r="B196" s="587" t="s">
        <v>822</v>
      </c>
      <c r="C196" s="589">
        <v>282934</v>
      </c>
      <c r="D196" s="589">
        <v>275135</v>
      </c>
      <c r="E196" s="622">
        <f t="shared" si="22"/>
        <v>-7799</v>
      </c>
    </row>
    <row r="197" spans="1:5" s="421" customFormat="1" x14ac:dyDescent="0.2">
      <c r="A197" s="588">
        <v>12</v>
      </c>
      <c r="B197" s="587" t="s">
        <v>712</v>
      </c>
      <c r="C197" s="589">
        <v>65981058</v>
      </c>
      <c r="D197" s="589">
        <v>63578052</v>
      </c>
      <c r="E197" s="622">
        <f t="shared" si="22"/>
        <v>-2403006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823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824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658</v>
      </c>
      <c r="C203" s="629">
        <v>1023.8287</v>
      </c>
      <c r="D203" s="629">
        <v>867.77600000000007</v>
      </c>
      <c r="E203" s="630">
        <f t="shared" ref="E203:E211" si="23">D203-C203</f>
        <v>-156.05269999999996</v>
      </c>
    </row>
    <row r="204" spans="1:5" s="421" customFormat="1" x14ac:dyDescent="0.2">
      <c r="A204" s="588">
        <v>2</v>
      </c>
      <c r="B204" s="587" t="s">
        <v>637</v>
      </c>
      <c r="C204" s="629">
        <v>2117.3225000000002</v>
      </c>
      <c r="D204" s="629">
        <v>2150.6610000000001</v>
      </c>
      <c r="E204" s="630">
        <f t="shared" si="23"/>
        <v>33.33849999999984</v>
      </c>
    </row>
    <row r="205" spans="1:5" s="421" customFormat="1" x14ac:dyDescent="0.2">
      <c r="A205" s="588">
        <v>3</v>
      </c>
      <c r="B205" s="587" t="s">
        <v>779</v>
      </c>
      <c r="C205" s="629">
        <f>C206+C207</f>
        <v>629.75310000000002</v>
      </c>
      <c r="D205" s="629">
        <f>D206+D207</f>
        <v>548.11540000000002</v>
      </c>
      <c r="E205" s="630">
        <f t="shared" si="23"/>
        <v>-81.637699999999995</v>
      </c>
    </row>
    <row r="206" spans="1:5" s="421" customFormat="1" x14ac:dyDescent="0.2">
      <c r="A206" s="588">
        <v>4</v>
      </c>
      <c r="B206" s="587" t="s">
        <v>115</v>
      </c>
      <c r="C206" s="629">
        <v>629.75310000000002</v>
      </c>
      <c r="D206" s="629">
        <v>548.11540000000002</v>
      </c>
      <c r="E206" s="630">
        <f t="shared" si="23"/>
        <v>-81.637699999999995</v>
      </c>
    </row>
    <row r="207" spans="1:5" s="421" customFormat="1" x14ac:dyDescent="0.2">
      <c r="A207" s="588">
        <v>5</v>
      </c>
      <c r="B207" s="587" t="s">
        <v>745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21.323700000000002</v>
      </c>
      <c r="D208" s="629">
        <v>31.572299999999998</v>
      </c>
      <c r="E208" s="630">
        <f t="shared" si="23"/>
        <v>10.248599999999996</v>
      </c>
    </row>
    <row r="209" spans="1:5" s="421" customFormat="1" x14ac:dyDescent="0.2">
      <c r="A209" s="588">
        <v>7</v>
      </c>
      <c r="B209" s="587" t="s">
        <v>760</v>
      </c>
      <c r="C209" s="629">
        <v>74.183599999999998</v>
      </c>
      <c r="D209" s="629">
        <v>48.715199999999996</v>
      </c>
      <c r="E209" s="630">
        <f t="shared" si="23"/>
        <v>-25.468400000000003</v>
      </c>
    </row>
    <row r="210" spans="1:5" s="421" customFormat="1" x14ac:dyDescent="0.2">
      <c r="A210" s="588"/>
      <c r="B210" s="592" t="s">
        <v>825</v>
      </c>
      <c r="C210" s="631">
        <f>C204+C205+C208</f>
        <v>2768.3993</v>
      </c>
      <c r="D210" s="631">
        <f>D204+D205+D208</f>
        <v>2730.3487</v>
      </c>
      <c r="E210" s="632">
        <f t="shared" si="23"/>
        <v>-38.050600000000031</v>
      </c>
    </row>
    <row r="211" spans="1:5" s="421" customFormat="1" x14ac:dyDescent="0.2">
      <c r="A211" s="588"/>
      <c r="B211" s="592" t="s">
        <v>726</v>
      </c>
      <c r="C211" s="631">
        <f>C210+C203</f>
        <v>3792.2280000000001</v>
      </c>
      <c r="D211" s="631">
        <f>D210+D203</f>
        <v>3598.1247000000003</v>
      </c>
      <c r="E211" s="632">
        <f t="shared" si="23"/>
        <v>-194.10329999999976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826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658</v>
      </c>
      <c r="C215" s="633">
        <f>IF(C14*C137=0,0,C25/C14*C137)</f>
        <v>2724.0714480456204</v>
      </c>
      <c r="D215" s="633">
        <f>IF(D14*D137=0,0,D25/D14*D137)</f>
        <v>2922.8604726333342</v>
      </c>
      <c r="E215" s="633">
        <f t="shared" ref="E215:E223" si="24">D215-C215</f>
        <v>198.78902458771381</v>
      </c>
    </row>
    <row r="216" spans="1:5" s="421" customFormat="1" x14ac:dyDescent="0.2">
      <c r="A216" s="588">
        <v>2</v>
      </c>
      <c r="B216" s="587" t="s">
        <v>637</v>
      </c>
      <c r="C216" s="633">
        <f>IF(C15*C138=0,0,C26/C15*C138)</f>
        <v>1178.4661644660302</v>
      </c>
      <c r="D216" s="633">
        <f>IF(D15*D138=0,0,D26/D15*D138)</f>
        <v>1470.1022101151182</v>
      </c>
      <c r="E216" s="633">
        <f t="shared" si="24"/>
        <v>291.63604564908792</v>
      </c>
    </row>
    <row r="217" spans="1:5" s="421" customFormat="1" x14ac:dyDescent="0.2">
      <c r="A217" s="588">
        <v>3</v>
      </c>
      <c r="B217" s="587" t="s">
        <v>779</v>
      </c>
      <c r="C217" s="633">
        <f>C218+C219</f>
        <v>921.81130028188727</v>
      </c>
      <c r="D217" s="633">
        <f>D218+D219</f>
        <v>1149.6861836885107</v>
      </c>
      <c r="E217" s="633">
        <f t="shared" si="24"/>
        <v>227.87488340662344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921.81130028188727</v>
      </c>
      <c r="D218" s="633">
        <f t="shared" si="25"/>
        <v>1149.6861836885107</v>
      </c>
      <c r="E218" s="633">
        <f t="shared" si="24"/>
        <v>227.87488340662344</v>
      </c>
    </row>
    <row r="219" spans="1:5" s="421" customFormat="1" x14ac:dyDescent="0.2">
      <c r="A219" s="588">
        <v>5</v>
      </c>
      <c r="B219" s="587" t="s">
        <v>745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30.038218213955496</v>
      </c>
      <c r="D220" s="633">
        <f t="shared" si="25"/>
        <v>39.60686871730325</v>
      </c>
      <c r="E220" s="633">
        <f t="shared" si="24"/>
        <v>9.5686505033477545</v>
      </c>
    </row>
    <row r="221" spans="1:5" s="421" customFormat="1" x14ac:dyDescent="0.2">
      <c r="A221" s="588">
        <v>7</v>
      </c>
      <c r="B221" s="587" t="s">
        <v>760</v>
      </c>
      <c r="C221" s="633">
        <f t="shared" si="25"/>
        <v>140.26977739871003</v>
      </c>
      <c r="D221" s="633">
        <f t="shared" si="25"/>
        <v>140.1658368849433</v>
      </c>
      <c r="E221" s="633">
        <f t="shared" si="24"/>
        <v>-0.10394051376673019</v>
      </c>
    </row>
    <row r="222" spans="1:5" s="421" customFormat="1" x14ac:dyDescent="0.2">
      <c r="A222" s="588"/>
      <c r="B222" s="592" t="s">
        <v>827</v>
      </c>
      <c r="C222" s="634">
        <f>C216+C218+C219+C220</f>
        <v>2130.3156829618729</v>
      </c>
      <c r="D222" s="634">
        <f>D216+D218+D219+D220</f>
        <v>2659.3952625209322</v>
      </c>
      <c r="E222" s="634">
        <f t="shared" si="24"/>
        <v>529.07957955905931</v>
      </c>
    </row>
    <row r="223" spans="1:5" s="421" customFormat="1" x14ac:dyDescent="0.2">
      <c r="A223" s="588"/>
      <c r="B223" s="592" t="s">
        <v>828</v>
      </c>
      <c r="C223" s="634">
        <f>C215+C222</f>
        <v>4854.3871310074937</v>
      </c>
      <c r="D223" s="634">
        <f>D215+D222</f>
        <v>5582.2557351542664</v>
      </c>
      <c r="E223" s="634">
        <f t="shared" si="24"/>
        <v>727.86860414677267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829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658</v>
      </c>
      <c r="C227" s="636">
        <f t="shared" ref="C227:D235" si="26">IF(C203=0,0,C47/C203)</f>
        <v>8292.3754725766139</v>
      </c>
      <c r="D227" s="636">
        <f t="shared" si="26"/>
        <v>8195.682987314698</v>
      </c>
      <c r="E227" s="636">
        <f t="shared" ref="E227:E235" si="27">D227-C227</f>
        <v>-96.692485261915863</v>
      </c>
    </row>
    <row r="228" spans="1:5" s="421" customFormat="1" x14ac:dyDescent="0.2">
      <c r="A228" s="588">
        <v>2</v>
      </c>
      <c r="B228" s="587" t="s">
        <v>637</v>
      </c>
      <c r="C228" s="636">
        <f t="shared" si="26"/>
        <v>7090.5211652924854</v>
      </c>
      <c r="D228" s="636">
        <f t="shared" si="26"/>
        <v>6281.3525702098095</v>
      </c>
      <c r="E228" s="636">
        <f t="shared" si="27"/>
        <v>-809.16859508267589</v>
      </c>
    </row>
    <row r="229" spans="1:5" s="421" customFormat="1" x14ac:dyDescent="0.2">
      <c r="A229" s="588">
        <v>3</v>
      </c>
      <c r="B229" s="587" t="s">
        <v>779</v>
      </c>
      <c r="C229" s="636">
        <f t="shared" si="26"/>
        <v>5375.8179197529953</v>
      </c>
      <c r="D229" s="636">
        <f t="shared" si="26"/>
        <v>3520.0561779508475</v>
      </c>
      <c r="E229" s="636">
        <f t="shared" si="27"/>
        <v>-1855.7617418021478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5375.8179197529953</v>
      </c>
      <c r="D230" s="636">
        <f t="shared" si="26"/>
        <v>3520.0561779508475</v>
      </c>
      <c r="E230" s="636">
        <f t="shared" si="27"/>
        <v>-1855.7617418021478</v>
      </c>
    </row>
    <row r="231" spans="1:5" s="421" customFormat="1" x14ac:dyDescent="0.2">
      <c r="A231" s="588">
        <v>5</v>
      </c>
      <c r="B231" s="587" t="s">
        <v>745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7145.4766292904133</v>
      </c>
      <c r="D232" s="636">
        <f t="shared" si="26"/>
        <v>5062.1272444516244</v>
      </c>
      <c r="E232" s="636">
        <f t="shared" si="27"/>
        <v>-2083.3493848387889</v>
      </c>
    </row>
    <row r="233" spans="1:5" s="421" customFormat="1" x14ac:dyDescent="0.2">
      <c r="A233" s="588">
        <v>7</v>
      </c>
      <c r="B233" s="587" t="s">
        <v>760</v>
      </c>
      <c r="C233" s="636">
        <f t="shared" si="26"/>
        <v>189.32756026938569</v>
      </c>
      <c r="D233" s="636">
        <f t="shared" si="26"/>
        <v>2.0527473971163008</v>
      </c>
      <c r="E233" s="636">
        <f t="shared" si="27"/>
        <v>-187.27481287226939</v>
      </c>
    </row>
    <row r="234" spans="1:5" x14ac:dyDescent="0.2">
      <c r="A234" s="588"/>
      <c r="B234" s="592" t="s">
        <v>830</v>
      </c>
      <c r="C234" s="637">
        <f t="shared" si="26"/>
        <v>6700.885237183812</v>
      </c>
      <c r="D234" s="637">
        <f t="shared" si="26"/>
        <v>5712.9259716899896</v>
      </c>
      <c r="E234" s="637">
        <f t="shared" si="27"/>
        <v>-987.95926549382239</v>
      </c>
    </row>
    <row r="235" spans="1:5" s="421" customFormat="1" x14ac:dyDescent="0.2">
      <c r="A235" s="588"/>
      <c r="B235" s="592" t="s">
        <v>831</v>
      </c>
      <c r="C235" s="637">
        <f t="shared" si="26"/>
        <v>7130.5570234701081</v>
      </c>
      <c r="D235" s="637">
        <f t="shared" si="26"/>
        <v>6311.7037049883229</v>
      </c>
      <c r="E235" s="637">
        <f t="shared" si="27"/>
        <v>-818.85331848178521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832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658</v>
      </c>
      <c r="C239" s="636">
        <f t="shared" ref="C239:D247" si="28">IF(C215=0,0,C58/C215)</f>
        <v>8176.6592487800917</v>
      </c>
      <c r="D239" s="636">
        <f t="shared" si="28"/>
        <v>7447.7790520009012</v>
      </c>
      <c r="E239" s="638">
        <f t="shared" ref="E239:E247" si="29">D239-C239</f>
        <v>-728.88019677919056</v>
      </c>
    </row>
    <row r="240" spans="1:5" s="421" customFormat="1" x14ac:dyDescent="0.2">
      <c r="A240" s="588">
        <v>2</v>
      </c>
      <c r="B240" s="587" t="s">
        <v>637</v>
      </c>
      <c r="C240" s="636">
        <f t="shared" si="28"/>
        <v>8194.3913972070277</v>
      </c>
      <c r="D240" s="636">
        <f t="shared" si="28"/>
        <v>6083.3783790446059</v>
      </c>
      <c r="E240" s="638">
        <f t="shared" si="29"/>
        <v>-2111.0130181624218</v>
      </c>
    </row>
    <row r="241" spans="1:5" x14ac:dyDescent="0.2">
      <c r="A241" s="588">
        <v>3</v>
      </c>
      <c r="B241" s="587" t="s">
        <v>779</v>
      </c>
      <c r="C241" s="636">
        <f t="shared" si="28"/>
        <v>4025.5668365805932</v>
      </c>
      <c r="D241" s="636">
        <f t="shared" si="28"/>
        <v>3508.6348407339842</v>
      </c>
      <c r="E241" s="638">
        <f t="shared" si="29"/>
        <v>-516.93199584660897</v>
      </c>
    </row>
    <row r="242" spans="1:5" x14ac:dyDescent="0.2">
      <c r="A242" s="588">
        <v>4</v>
      </c>
      <c r="B242" s="587" t="s">
        <v>115</v>
      </c>
      <c r="C242" s="636">
        <f t="shared" si="28"/>
        <v>4025.5668365805932</v>
      </c>
      <c r="D242" s="636">
        <f t="shared" si="28"/>
        <v>3508.6348407339842</v>
      </c>
      <c r="E242" s="638">
        <f t="shared" si="29"/>
        <v>-516.93199584660897</v>
      </c>
    </row>
    <row r="243" spans="1:5" x14ac:dyDescent="0.2">
      <c r="A243" s="588">
        <v>5</v>
      </c>
      <c r="B243" s="587" t="s">
        <v>745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5249.6455973789616</v>
      </c>
      <c r="D244" s="636">
        <f t="shared" si="28"/>
        <v>4331.3699253648201</v>
      </c>
      <c r="E244" s="638">
        <f t="shared" si="29"/>
        <v>-918.27567201414149</v>
      </c>
    </row>
    <row r="245" spans="1:5" x14ac:dyDescent="0.2">
      <c r="A245" s="588">
        <v>7</v>
      </c>
      <c r="B245" s="587" t="s">
        <v>760</v>
      </c>
      <c r="C245" s="636">
        <f t="shared" si="28"/>
        <v>771.67014881849684</v>
      </c>
      <c r="D245" s="636">
        <f t="shared" si="28"/>
        <v>680.54386232717411</v>
      </c>
      <c r="E245" s="638">
        <f t="shared" si="29"/>
        <v>-91.12628649132273</v>
      </c>
    </row>
    <row r="246" spans="1:5" ht="25.5" x14ac:dyDescent="0.2">
      <c r="A246" s="588"/>
      <c r="B246" s="592" t="s">
        <v>833</v>
      </c>
      <c r="C246" s="637">
        <f t="shared" si="28"/>
        <v>6348.9726467183254</v>
      </c>
      <c r="D246" s="637">
        <f t="shared" si="28"/>
        <v>4944.1950902537219</v>
      </c>
      <c r="E246" s="639">
        <f t="shared" si="29"/>
        <v>-1404.7775564646035</v>
      </c>
    </row>
    <row r="247" spans="1:5" x14ac:dyDescent="0.2">
      <c r="A247" s="588"/>
      <c r="B247" s="592" t="s">
        <v>834</v>
      </c>
      <c r="C247" s="637">
        <f t="shared" si="28"/>
        <v>7374.5910727499286</v>
      </c>
      <c r="D247" s="637">
        <f t="shared" si="28"/>
        <v>6255.0677820271976</v>
      </c>
      <c r="E247" s="639">
        <f t="shared" si="29"/>
        <v>-1119.523290722731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762</v>
      </c>
      <c r="B249" s="626" t="s">
        <v>759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3842869.5888781208</v>
      </c>
      <c r="D251" s="622">
        <f>((IF((IF(D15=0,0,D26/D15)*D138)=0,0,D59/(IF(D15=0,0,D26/D15)*D138)))-(IF((IF(D17=0,0,D28/D17)*D140)=0,0,D61/(IF(D17=0,0,D28/D17)*D140))))*(IF(D17=0,0,D28/D17)*D140)</f>
        <v>2960147.0725369914</v>
      </c>
      <c r="E251" s="622">
        <f>D251-C251</f>
        <v>-882722.51634112932</v>
      </c>
    </row>
    <row r="252" spans="1:5" x14ac:dyDescent="0.2">
      <c r="A252" s="588">
        <v>2</v>
      </c>
      <c r="B252" s="587" t="s">
        <v>745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760</v>
      </c>
      <c r="C253" s="622">
        <f>IF(C233=0,0,(C228-C233)*C209+IF(C221=0,0,(C240-C245)*C221))</f>
        <v>1553138.8431217258</v>
      </c>
      <c r="D253" s="622">
        <f>IF(D233=0,0,(D228-D233)*D209+IF(D221=0,0,(D240-D245)*D221))</f>
        <v>1063190.168314842</v>
      </c>
      <c r="E253" s="622">
        <f>D253-C253</f>
        <v>-489948.67480688379</v>
      </c>
    </row>
    <row r="254" spans="1:5" ht="15" customHeight="1" x14ac:dyDescent="0.2">
      <c r="A254" s="588"/>
      <c r="B254" s="592" t="s">
        <v>761</v>
      </c>
      <c r="C254" s="640">
        <f>+C251+C252+C253</f>
        <v>5396008.4319998464</v>
      </c>
      <c r="D254" s="640">
        <f>+D251+D252+D253</f>
        <v>4023337.2408518335</v>
      </c>
      <c r="E254" s="640">
        <f>D254-C254</f>
        <v>-1372671.1911480129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835</v>
      </c>
      <c r="B256" s="626" t="s">
        <v>836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727</v>
      </c>
      <c r="C258" s="622">
        <f>+C44</f>
        <v>152679640</v>
      </c>
      <c r="D258" s="625">
        <f>+D44</f>
        <v>159131313</v>
      </c>
      <c r="E258" s="622">
        <f t="shared" ref="E258:E271" si="30">D258-C258</f>
        <v>6451673</v>
      </c>
    </row>
    <row r="259" spans="1:5" x14ac:dyDescent="0.2">
      <c r="A259" s="588">
        <v>2</v>
      </c>
      <c r="B259" s="587" t="s">
        <v>744</v>
      </c>
      <c r="C259" s="622">
        <f>+(C43-C76)</f>
        <v>62015128</v>
      </c>
      <c r="D259" s="625">
        <f>+(D43-D76)</f>
        <v>73922467</v>
      </c>
      <c r="E259" s="622">
        <f t="shared" si="30"/>
        <v>11907339</v>
      </c>
    </row>
    <row r="260" spans="1:5" x14ac:dyDescent="0.2">
      <c r="A260" s="588">
        <v>3</v>
      </c>
      <c r="B260" s="587" t="s">
        <v>748</v>
      </c>
      <c r="C260" s="622">
        <f>C195</f>
        <v>3757359</v>
      </c>
      <c r="D260" s="622">
        <f>D195</f>
        <v>4765850</v>
      </c>
      <c r="E260" s="622">
        <f t="shared" si="30"/>
        <v>1008491</v>
      </c>
    </row>
    <row r="261" spans="1:5" x14ac:dyDescent="0.2">
      <c r="A261" s="588">
        <v>4</v>
      </c>
      <c r="B261" s="587" t="s">
        <v>749</v>
      </c>
      <c r="C261" s="622">
        <f>C188</f>
        <v>27824694</v>
      </c>
      <c r="D261" s="622">
        <f>D188</f>
        <v>26777143</v>
      </c>
      <c r="E261" s="622">
        <f t="shared" si="30"/>
        <v>-1047551</v>
      </c>
    </row>
    <row r="262" spans="1:5" x14ac:dyDescent="0.2">
      <c r="A262" s="588">
        <v>5</v>
      </c>
      <c r="B262" s="587" t="s">
        <v>750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751</v>
      </c>
      <c r="C263" s="622">
        <f>+C259+C260+C261+C262</f>
        <v>93597181</v>
      </c>
      <c r="D263" s="622">
        <f>+D259+D260+D261+D262</f>
        <v>105465460</v>
      </c>
      <c r="E263" s="622">
        <f t="shared" si="30"/>
        <v>11868279</v>
      </c>
    </row>
    <row r="264" spans="1:5" x14ac:dyDescent="0.2">
      <c r="A264" s="588">
        <v>7</v>
      </c>
      <c r="B264" s="587" t="s">
        <v>656</v>
      </c>
      <c r="C264" s="622">
        <f>+C258-C263</f>
        <v>59082459</v>
      </c>
      <c r="D264" s="622">
        <f>+D258-D263</f>
        <v>53665853</v>
      </c>
      <c r="E264" s="622">
        <f t="shared" si="30"/>
        <v>-5416606</v>
      </c>
    </row>
    <row r="265" spans="1:5" x14ac:dyDescent="0.2">
      <c r="A265" s="588">
        <v>8</v>
      </c>
      <c r="B265" s="587" t="s">
        <v>837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838</v>
      </c>
      <c r="C266" s="622">
        <f>+C264+C265</f>
        <v>59082459</v>
      </c>
      <c r="D266" s="622">
        <f>+D264+D265</f>
        <v>53665853</v>
      </c>
      <c r="E266" s="641">
        <f t="shared" si="30"/>
        <v>-5416606</v>
      </c>
    </row>
    <row r="267" spans="1:5" x14ac:dyDescent="0.2">
      <c r="A267" s="588">
        <v>10</v>
      </c>
      <c r="B267" s="587" t="s">
        <v>839</v>
      </c>
      <c r="C267" s="642">
        <f>IF(C258=0,0,C266/C258)</f>
        <v>0.38697012253893187</v>
      </c>
      <c r="D267" s="642">
        <f>IF(D258=0,0,D266/D258)</f>
        <v>0.33724257022877702</v>
      </c>
      <c r="E267" s="643">
        <f t="shared" si="30"/>
        <v>-4.9727552310154854E-2</v>
      </c>
    </row>
    <row r="268" spans="1:5" x14ac:dyDescent="0.2">
      <c r="A268" s="588">
        <v>11</v>
      </c>
      <c r="B268" s="587" t="s">
        <v>718</v>
      </c>
      <c r="C268" s="622">
        <f>+C260*C267</f>
        <v>1453985.6726527584</v>
      </c>
      <c r="D268" s="644">
        <f>+D260*D267</f>
        <v>1607247.5033248169</v>
      </c>
      <c r="E268" s="622">
        <f t="shared" si="30"/>
        <v>153261.83067205851</v>
      </c>
    </row>
    <row r="269" spans="1:5" x14ac:dyDescent="0.2">
      <c r="A269" s="588">
        <v>12</v>
      </c>
      <c r="B269" s="587" t="s">
        <v>840</v>
      </c>
      <c r="C269" s="622">
        <f>((C17+C18+C28+C29)*C267)-(C50+C51+C61+C62)</f>
        <v>2284424.4712182786</v>
      </c>
      <c r="D269" s="644">
        <f>((D17+D18+D28+D29)*D267)-(D50+D51+D61+D62)</f>
        <v>2687827.31740335</v>
      </c>
      <c r="E269" s="622">
        <f t="shared" si="30"/>
        <v>403402.84618507139</v>
      </c>
    </row>
    <row r="270" spans="1:5" s="648" customFormat="1" x14ac:dyDescent="0.2">
      <c r="A270" s="645">
        <v>13</v>
      </c>
      <c r="B270" s="646" t="s">
        <v>841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842</v>
      </c>
      <c r="C271" s="622">
        <f>+C268+C269+C270</f>
        <v>3738410.1438710373</v>
      </c>
      <c r="D271" s="622">
        <f>+D268+D269+D270</f>
        <v>4295074.820728167</v>
      </c>
      <c r="E271" s="625">
        <f t="shared" si="30"/>
        <v>556664.67685712967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843</v>
      </c>
      <c r="B273" s="626" t="s">
        <v>844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845</v>
      </c>
      <c r="C275" s="425"/>
      <c r="D275" s="425"/>
      <c r="E275" s="596"/>
    </row>
    <row r="276" spans="1:5" x14ac:dyDescent="0.2">
      <c r="A276" s="588">
        <v>1</v>
      </c>
      <c r="B276" s="587" t="s">
        <v>658</v>
      </c>
      <c r="C276" s="623">
        <f t="shared" ref="C276:D284" si="31">IF(C14=0,0,+C47/C14)</f>
        <v>0.54566119508294009</v>
      </c>
      <c r="D276" s="623">
        <f t="shared" si="31"/>
        <v>0.5368615895322506</v>
      </c>
      <c r="E276" s="650">
        <f t="shared" ref="E276:E284" si="32">D276-C276</f>
        <v>-8.7996055506894821E-3</v>
      </c>
    </row>
    <row r="277" spans="1:5" x14ac:dyDescent="0.2">
      <c r="A277" s="588">
        <v>2</v>
      </c>
      <c r="B277" s="587" t="s">
        <v>637</v>
      </c>
      <c r="C277" s="623">
        <f t="shared" si="31"/>
        <v>0.37792601265289844</v>
      </c>
      <c r="D277" s="623">
        <f t="shared" si="31"/>
        <v>0.33757759452305586</v>
      </c>
      <c r="E277" s="650">
        <f t="shared" si="32"/>
        <v>-4.0348418129842578E-2</v>
      </c>
    </row>
    <row r="278" spans="1:5" x14ac:dyDescent="0.2">
      <c r="A278" s="588">
        <v>3</v>
      </c>
      <c r="B278" s="587" t="s">
        <v>779</v>
      </c>
      <c r="C278" s="623">
        <f t="shared" si="31"/>
        <v>0.33893737407878027</v>
      </c>
      <c r="D278" s="623">
        <f t="shared" si="31"/>
        <v>0.22404600021993562</v>
      </c>
      <c r="E278" s="650">
        <f t="shared" si="32"/>
        <v>-0.11489137385884465</v>
      </c>
    </row>
    <row r="279" spans="1:5" x14ac:dyDescent="0.2">
      <c r="A279" s="588">
        <v>4</v>
      </c>
      <c r="B279" s="587" t="s">
        <v>115</v>
      </c>
      <c r="C279" s="623">
        <f t="shared" si="31"/>
        <v>0.33893737407878027</v>
      </c>
      <c r="D279" s="623">
        <f t="shared" si="31"/>
        <v>0.22404600021993562</v>
      </c>
      <c r="E279" s="650">
        <f t="shared" si="32"/>
        <v>-0.11489137385884465</v>
      </c>
    </row>
    <row r="280" spans="1:5" x14ac:dyDescent="0.2">
      <c r="A280" s="588">
        <v>5</v>
      </c>
      <c r="B280" s="587" t="s">
        <v>745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0.44441981408616671</v>
      </c>
      <c r="D281" s="623">
        <f t="shared" si="31"/>
        <v>0.38834689598028899</v>
      </c>
      <c r="E281" s="650">
        <f t="shared" si="32"/>
        <v>-5.6072918105877723E-2</v>
      </c>
    </row>
    <row r="282" spans="1:5" x14ac:dyDescent="0.2">
      <c r="A282" s="588">
        <v>7</v>
      </c>
      <c r="B282" s="587" t="s">
        <v>760</v>
      </c>
      <c r="C282" s="623">
        <f t="shared" si="31"/>
        <v>1.2517256345745425E-2</v>
      </c>
      <c r="D282" s="623">
        <f t="shared" si="31"/>
        <v>1.5447379274869123E-4</v>
      </c>
      <c r="E282" s="650">
        <f t="shared" si="32"/>
        <v>-1.2362782552996733E-2</v>
      </c>
    </row>
    <row r="283" spans="1:5" ht="29.25" customHeight="1" x14ac:dyDescent="0.2">
      <c r="A283" s="588"/>
      <c r="B283" s="592" t="s">
        <v>846</v>
      </c>
      <c r="C283" s="651">
        <f t="shared" si="31"/>
        <v>0.37060144762647551</v>
      </c>
      <c r="D283" s="651">
        <f t="shared" si="31"/>
        <v>0.31806739212788565</v>
      </c>
      <c r="E283" s="652">
        <f t="shared" si="32"/>
        <v>-5.253405549858986E-2</v>
      </c>
    </row>
    <row r="284" spans="1:5" x14ac:dyDescent="0.2">
      <c r="A284" s="588"/>
      <c r="B284" s="592" t="s">
        <v>847</v>
      </c>
      <c r="C284" s="651">
        <f t="shared" si="31"/>
        <v>0.41211288602275975</v>
      </c>
      <c r="D284" s="651">
        <f t="shared" si="31"/>
        <v>0.3646003329426975</v>
      </c>
      <c r="E284" s="652">
        <f t="shared" si="32"/>
        <v>-4.7512553080062248E-2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848</v>
      </c>
      <c r="C286" s="596"/>
      <c r="D286" s="596"/>
      <c r="E286" s="596"/>
    </row>
    <row r="287" spans="1:5" x14ac:dyDescent="0.2">
      <c r="A287" s="588">
        <v>1</v>
      </c>
      <c r="B287" s="587" t="s">
        <v>658</v>
      </c>
      <c r="C287" s="623">
        <f t="shared" ref="C287:D295" si="33">IF(C25=0,0,+C58/C25)</f>
        <v>0.51764132704008814</v>
      </c>
      <c r="D287" s="623">
        <f t="shared" si="33"/>
        <v>0.50373756759954502</v>
      </c>
      <c r="E287" s="650">
        <f t="shared" ref="E287:E295" si="34">D287-C287</f>
        <v>-1.3903759440543118E-2</v>
      </c>
    </row>
    <row r="288" spans="1:5" x14ac:dyDescent="0.2">
      <c r="A288" s="588">
        <v>2</v>
      </c>
      <c r="B288" s="587" t="s">
        <v>637</v>
      </c>
      <c r="C288" s="623">
        <f t="shared" si="33"/>
        <v>0.33025518957329603</v>
      </c>
      <c r="D288" s="623">
        <f t="shared" si="33"/>
        <v>0.24824442171007971</v>
      </c>
      <c r="E288" s="650">
        <f t="shared" si="34"/>
        <v>-8.2010767863216316E-2</v>
      </c>
    </row>
    <row r="289" spans="1:5" x14ac:dyDescent="0.2">
      <c r="A289" s="588">
        <v>3</v>
      </c>
      <c r="B289" s="587" t="s">
        <v>779</v>
      </c>
      <c r="C289" s="623">
        <f t="shared" si="33"/>
        <v>0.26035394063897627</v>
      </c>
      <c r="D289" s="623">
        <f t="shared" si="33"/>
        <v>0.23671724633944158</v>
      </c>
      <c r="E289" s="650">
        <f t="shared" si="34"/>
        <v>-2.3636694299534688E-2</v>
      </c>
    </row>
    <row r="290" spans="1:5" x14ac:dyDescent="0.2">
      <c r="A290" s="588">
        <v>4</v>
      </c>
      <c r="B290" s="587" t="s">
        <v>115</v>
      </c>
      <c r="C290" s="623">
        <f t="shared" si="33"/>
        <v>0.26035394063897627</v>
      </c>
      <c r="D290" s="623">
        <f t="shared" si="33"/>
        <v>0.23671724633944158</v>
      </c>
      <c r="E290" s="650">
        <f t="shared" si="34"/>
        <v>-2.3636694299534688E-2</v>
      </c>
    </row>
    <row r="291" spans="1:5" x14ac:dyDescent="0.2">
      <c r="A291" s="588">
        <v>5</v>
      </c>
      <c r="B291" s="587" t="s">
        <v>745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0.29092646676272582</v>
      </c>
      <c r="D292" s="623">
        <f t="shared" si="33"/>
        <v>0.30521356694516005</v>
      </c>
      <c r="E292" s="650">
        <f t="shared" si="34"/>
        <v>1.4287100182434231E-2</v>
      </c>
    </row>
    <row r="293" spans="1:5" x14ac:dyDescent="0.2">
      <c r="A293" s="588">
        <v>7</v>
      </c>
      <c r="B293" s="587" t="s">
        <v>760</v>
      </c>
      <c r="C293" s="623">
        <f t="shared" si="33"/>
        <v>5.2267616454337425E-2</v>
      </c>
      <c r="D293" s="623">
        <f t="shared" si="33"/>
        <v>5.0460571941850448E-2</v>
      </c>
      <c r="E293" s="650">
        <f t="shared" si="34"/>
        <v>-1.8070445124869772E-3</v>
      </c>
    </row>
    <row r="294" spans="1:5" ht="29.25" customHeight="1" x14ac:dyDescent="0.2">
      <c r="A294" s="588"/>
      <c r="B294" s="592" t="s">
        <v>849</v>
      </c>
      <c r="C294" s="651">
        <f t="shared" si="33"/>
        <v>0.30714615318934024</v>
      </c>
      <c r="D294" s="651">
        <f t="shared" si="33"/>
        <v>0.2451786935584305</v>
      </c>
      <c r="E294" s="652">
        <f t="shared" si="34"/>
        <v>-6.1967459630909744E-2</v>
      </c>
    </row>
    <row r="295" spans="1:5" x14ac:dyDescent="0.2">
      <c r="A295" s="588"/>
      <c r="B295" s="592" t="s">
        <v>850</v>
      </c>
      <c r="C295" s="651">
        <f t="shared" si="33"/>
        <v>0.41117761683313414</v>
      </c>
      <c r="D295" s="651">
        <f t="shared" si="33"/>
        <v>0.36055621794990345</v>
      </c>
      <c r="E295" s="652">
        <f t="shared" si="34"/>
        <v>-5.0621398883230695E-2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851</v>
      </c>
      <c r="B297" s="579" t="s">
        <v>852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853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656</v>
      </c>
      <c r="C301" s="590">
        <f>+C48+C47+C50+C51+C52+C59+C58+C61+C62+C63</f>
        <v>62839818</v>
      </c>
      <c r="D301" s="590">
        <f>+D48+D47+D50+D51+D52+D59+D58+D61+D62+D63</f>
        <v>57627685</v>
      </c>
      <c r="E301" s="590">
        <f>D301-C301</f>
        <v>-5212133</v>
      </c>
    </row>
    <row r="302" spans="1:5" ht="25.5" x14ac:dyDescent="0.2">
      <c r="A302" s="588">
        <v>2</v>
      </c>
      <c r="B302" s="587" t="s">
        <v>854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855</v>
      </c>
      <c r="C303" s="593">
        <f>+C301+C302</f>
        <v>62839818</v>
      </c>
      <c r="D303" s="593">
        <f>+D301+D302</f>
        <v>57627685</v>
      </c>
      <c r="E303" s="593">
        <f>D303-C303</f>
        <v>-5212133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856</v>
      </c>
      <c r="C305" s="589">
        <v>2478602</v>
      </c>
      <c r="D305" s="654">
        <v>2005899</v>
      </c>
      <c r="E305" s="655">
        <f>D305-C305</f>
        <v>-472703</v>
      </c>
    </row>
    <row r="306" spans="1:5" x14ac:dyDescent="0.2">
      <c r="A306" s="588">
        <v>4</v>
      </c>
      <c r="B306" s="592" t="s">
        <v>857</v>
      </c>
      <c r="C306" s="593">
        <f>+C303+C305+C194+C190-C191</f>
        <v>68882671</v>
      </c>
      <c r="D306" s="593">
        <f>+D303+D305</f>
        <v>59633584</v>
      </c>
      <c r="E306" s="656">
        <f>D306-C306</f>
        <v>-9249087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858</v>
      </c>
      <c r="C308" s="589">
        <v>65318418</v>
      </c>
      <c r="D308" s="589">
        <v>59633584</v>
      </c>
      <c r="E308" s="590">
        <f>D308-C308</f>
        <v>-5684834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859</v>
      </c>
      <c r="C310" s="657">
        <f>C306-C308</f>
        <v>3564253</v>
      </c>
      <c r="D310" s="658">
        <f>D306-D308</f>
        <v>0</v>
      </c>
      <c r="E310" s="656">
        <f>D310-C310</f>
        <v>-3564253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860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861</v>
      </c>
      <c r="C314" s="590">
        <f>+C14+C15+C16+C19+C25+C26+C27+C30</f>
        <v>152679640</v>
      </c>
      <c r="D314" s="590">
        <f>+D14+D15+D16+D19+D25+D26+D27+D30</f>
        <v>159131313</v>
      </c>
      <c r="E314" s="590">
        <f>D314-C314</f>
        <v>6451673</v>
      </c>
    </row>
    <row r="315" spans="1:5" x14ac:dyDescent="0.2">
      <c r="A315" s="588">
        <v>2</v>
      </c>
      <c r="B315" s="659" t="s">
        <v>862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863</v>
      </c>
      <c r="C316" s="657">
        <f>C314+C315</f>
        <v>152679640</v>
      </c>
      <c r="D316" s="657">
        <f>D314+D315</f>
        <v>159131313</v>
      </c>
      <c r="E316" s="593">
        <f>D316-C316</f>
        <v>6451673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864</v>
      </c>
      <c r="C318" s="589">
        <v>152679640</v>
      </c>
      <c r="D318" s="589">
        <v>159131313</v>
      </c>
      <c r="E318" s="590">
        <f>D318-C318</f>
        <v>6451673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859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865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866</v>
      </c>
      <c r="C324" s="589">
        <f>+C193+C194</f>
        <v>3757359</v>
      </c>
      <c r="D324" s="589">
        <f>+D193+D194</f>
        <v>4765850</v>
      </c>
      <c r="E324" s="590">
        <f>D324-C324</f>
        <v>1008491</v>
      </c>
    </row>
    <row r="325" spans="1:5" x14ac:dyDescent="0.2">
      <c r="A325" s="588">
        <v>2</v>
      </c>
      <c r="B325" s="587" t="s">
        <v>867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868</v>
      </c>
      <c r="C326" s="657">
        <f>C324+C325</f>
        <v>3757359</v>
      </c>
      <c r="D326" s="657">
        <f>D324+D325</f>
        <v>4765850</v>
      </c>
      <c r="E326" s="593">
        <f>D326-C326</f>
        <v>1008491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869</v>
      </c>
      <c r="C328" s="589">
        <v>3757359</v>
      </c>
      <c r="D328" s="589">
        <v>4765850</v>
      </c>
      <c r="E328" s="590">
        <f>D328-C328</f>
        <v>1008491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870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631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871</v>
      </c>
      <c r="B5" s="824"/>
      <c r="C5" s="825"/>
      <c r="D5" s="661"/>
    </row>
    <row r="6" spans="1:58" s="662" customFormat="1" ht="15.75" customHeight="1" x14ac:dyDescent="0.25">
      <c r="A6" s="823" t="s">
        <v>872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873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874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778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658</v>
      </c>
      <c r="C14" s="589">
        <v>13247394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637</v>
      </c>
      <c r="C15" s="591">
        <v>40017644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779</v>
      </c>
      <c r="C16" s="591">
        <v>8611611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8611611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745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411547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760</v>
      </c>
      <c r="C20" s="591">
        <v>647359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780</v>
      </c>
      <c r="C21" s="593">
        <f>SUM(C15+C16+C19)</f>
        <v>49040802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62288196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781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658</v>
      </c>
      <c r="C25" s="589">
        <v>43214603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637</v>
      </c>
      <c r="C26" s="591">
        <v>36025736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779</v>
      </c>
      <c r="C27" s="591">
        <v>17040706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17040706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745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562072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760</v>
      </c>
      <c r="C31" s="594">
        <v>1890367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782</v>
      </c>
      <c r="C32" s="593">
        <f>SUM(C26+C27+C30)</f>
        <v>53628514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96843117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655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875</v>
      </c>
      <c r="C36" s="590">
        <f>SUM(C14+C25)</f>
        <v>56461997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876</v>
      </c>
      <c r="C37" s="594">
        <f>SUM(C21+C32)</f>
        <v>102669316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655</v>
      </c>
      <c r="C38" s="593">
        <f>SUM(+C36+C37)</f>
        <v>159131313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791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658</v>
      </c>
      <c r="C41" s="589">
        <v>7112017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637</v>
      </c>
      <c r="C42" s="591">
        <v>13509060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779</v>
      </c>
      <c r="C43" s="591">
        <v>1929397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1929397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745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159823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760</v>
      </c>
      <c r="C47" s="591">
        <v>100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792</v>
      </c>
      <c r="C48" s="593">
        <f>SUM(C42+C43+C46)</f>
        <v>15598280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22710297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793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658</v>
      </c>
      <c r="C52" s="589">
        <v>21768819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637</v>
      </c>
      <c r="C53" s="591">
        <v>8943188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779</v>
      </c>
      <c r="C54" s="591">
        <v>4033829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4033829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745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171552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760</v>
      </c>
      <c r="C58" s="591">
        <v>95389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794</v>
      </c>
      <c r="C59" s="593">
        <f>SUM(C53+C54+C57)</f>
        <v>13148569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34917388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656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877</v>
      </c>
      <c r="C63" s="590">
        <f>SUM(C41+C52)</f>
        <v>28880836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878</v>
      </c>
      <c r="C64" s="594">
        <f>SUM(C48+C59)</f>
        <v>28746849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656</v>
      </c>
      <c r="C65" s="593">
        <f>SUM(+C63+C64)</f>
        <v>57627685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879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880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658</v>
      </c>
      <c r="C70" s="606">
        <v>896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637</v>
      </c>
      <c r="C71" s="606">
        <v>1633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779</v>
      </c>
      <c r="C72" s="606">
        <v>581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581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745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29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760</v>
      </c>
      <c r="C76" s="621">
        <v>48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809</v>
      </c>
      <c r="C77" s="608">
        <f>SUM(C71+C72+C75)</f>
        <v>2243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3139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813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658</v>
      </c>
      <c r="C81" s="617">
        <v>0.96850000000000003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637</v>
      </c>
      <c r="C82" s="617">
        <v>1.3169999999999999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779</v>
      </c>
      <c r="C83" s="617">
        <f>((C73*C84)+(C74*C85))/(C73+C74)</f>
        <v>0.94340000000000002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0.94340000000000002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745</v>
      </c>
      <c r="C85" s="617">
        <v>0.85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1.0887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760</v>
      </c>
      <c r="C87" s="617">
        <v>1.0148999999999999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814</v>
      </c>
      <c r="C88" s="619">
        <f>((C71*C82)+(C73*C84)+(C74*C85)+(C75*C86))/(C71+C73+C74+C75)</f>
        <v>1.2172753901025413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725</v>
      </c>
      <c r="C89" s="619">
        <f>((C70*C81)+(C71*C82)+(C73*C84)+(C74*C85)+(C75*C86))/(C70+C71+C73+C74+C75)</f>
        <v>1.1462646384198789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815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816</v>
      </c>
      <c r="C92" s="589">
        <v>56461997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817</v>
      </c>
      <c r="C93" s="622">
        <v>29684854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670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749</v>
      </c>
      <c r="C95" s="589">
        <f>+C92-C93</f>
        <v>26777143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672</v>
      </c>
      <c r="C96" s="681">
        <f>(+C92-C93)/C92</f>
        <v>0.47425072478396396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764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750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881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819</v>
      </c>
      <c r="C103" s="589">
        <v>310398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820</v>
      </c>
      <c r="C104" s="589">
        <v>4455452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821</v>
      </c>
      <c r="C105" s="654">
        <f>+C103+C104</f>
        <v>4765850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822</v>
      </c>
      <c r="C107" s="589">
        <v>275135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712</v>
      </c>
      <c r="C108" s="589">
        <v>63578052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852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853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656</v>
      </c>
      <c r="C114" s="590">
        <f>+C65</f>
        <v>57627685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854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855</v>
      </c>
      <c r="C116" s="593">
        <f>+C114+C115</f>
        <v>57627685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856</v>
      </c>
      <c r="C118" s="654">
        <v>2005899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857</v>
      </c>
      <c r="C119" s="656">
        <f>+C116+C118</f>
        <v>59633584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858</v>
      </c>
      <c r="C121" s="589">
        <v>59633584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859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860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861</v>
      </c>
      <c r="C127" s="590">
        <f>C38</f>
        <v>159131313</v>
      </c>
      <c r="D127" s="664"/>
      <c r="AR127" s="485"/>
    </row>
    <row r="128" spans="1:58" s="421" customFormat="1" ht="12.75" x14ac:dyDescent="0.2">
      <c r="A128" s="588">
        <v>2</v>
      </c>
      <c r="B128" s="659" t="s">
        <v>862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863</v>
      </c>
      <c r="C129" s="657">
        <f>C127+C128</f>
        <v>159131313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864</v>
      </c>
      <c r="C131" s="589">
        <v>159131313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859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865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866</v>
      </c>
      <c r="C137" s="589">
        <f>C105</f>
        <v>4765850</v>
      </c>
      <c r="D137" s="664"/>
      <c r="AR137" s="485"/>
    </row>
    <row r="138" spans="1:44" s="421" customFormat="1" ht="12.75" x14ac:dyDescent="0.2">
      <c r="A138" s="588">
        <v>2</v>
      </c>
      <c r="B138" s="669" t="s">
        <v>882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868</v>
      </c>
      <c r="C139" s="657">
        <f>C137+C138</f>
        <v>4765850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883</v>
      </c>
      <c r="C141" s="589">
        <v>4765850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870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631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884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634</v>
      </c>
      <c r="D8" s="177" t="s">
        <v>634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885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886</v>
      </c>
      <c r="C12" s="185">
        <v>322</v>
      </c>
      <c r="D12" s="185">
        <v>168</v>
      </c>
      <c r="E12" s="185">
        <f>+D12-C12</f>
        <v>-154</v>
      </c>
      <c r="F12" s="77">
        <f>IF(C12=0,0,+E12/C12)</f>
        <v>-0.47826086956521741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887</v>
      </c>
      <c r="C13" s="185">
        <v>213</v>
      </c>
      <c r="D13" s="185">
        <v>113</v>
      </c>
      <c r="E13" s="185">
        <f>+D13-C13</f>
        <v>-100</v>
      </c>
      <c r="F13" s="77">
        <f>IF(C13=0,0,+E13/C13)</f>
        <v>-0.46948356807511737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888</v>
      </c>
      <c r="C15" s="76">
        <v>193108</v>
      </c>
      <c r="D15" s="76">
        <v>310398</v>
      </c>
      <c r="E15" s="76">
        <f>+D15-C15</f>
        <v>117290</v>
      </c>
      <c r="F15" s="77">
        <f>IF(C15=0,0,+E15/C15)</f>
        <v>0.607380326035172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889</v>
      </c>
      <c r="C16" s="79">
        <f>IF(C13=0,0,+C15/+C13)</f>
        <v>906.61032863849766</v>
      </c>
      <c r="D16" s="79">
        <f>IF(D13=0,0,+D15/+D13)</f>
        <v>2746.8849557522126</v>
      </c>
      <c r="E16" s="79">
        <f>+D16-C16</f>
        <v>1840.2746271137148</v>
      </c>
      <c r="F16" s="80">
        <f>IF(C16=0,0,+E16/C16)</f>
        <v>2.0298407915530237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890</v>
      </c>
      <c r="C18" s="704">
        <v>0.40872999999999998</v>
      </c>
      <c r="D18" s="704">
        <v>0.43135400000000002</v>
      </c>
      <c r="E18" s="704">
        <f>+D18-C18</f>
        <v>2.2624000000000033E-2</v>
      </c>
      <c r="F18" s="77">
        <f>IF(C18=0,0,+E18/C18)</f>
        <v>5.5351943825997688E-2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891</v>
      </c>
      <c r="C19" s="79">
        <f>+C15*C18</f>
        <v>78929.03284</v>
      </c>
      <c r="D19" s="79">
        <f>+D15*D18</f>
        <v>133891.41889200002</v>
      </c>
      <c r="E19" s="79">
        <f>+D19-C19</f>
        <v>54962.386052000016</v>
      </c>
      <c r="F19" s="80">
        <f>IF(C19=0,0,+E19/C19)</f>
        <v>0.69635195154888474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892</v>
      </c>
      <c r="C20" s="79">
        <f>IF(C13=0,0,+C19/C13)</f>
        <v>370.55883962441317</v>
      </c>
      <c r="D20" s="79">
        <f>IF(D13=0,0,+D19/D13)</f>
        <v>1184.8798132035399</v>
      </c>
      <c r="E20" s="79">
        <f>+D20-C20</f>
        <v>814.32097357912676</v>
      </c>
      <c r="F20" s="80">
        <f>IF(C20=0,0,+E20/C20)</f>
        <v>2.1975483688487825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893</v>
      </c>
      <c r="C22" s="76">
        <v>65413</v>
      </c>
      <c r="D22" s="76">
        <v>147829</v>
      </c>
      <c r="E22" s="76">
        <f>+D22-C22</f>
        <v>82416</v>
      </c>
      <c r="F22" s="77">
        <f>IF(C22=0,0,+E22/C22)</f>
        <v>1.259933040832862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894</v>
      </c>
      <c r="C23" s="185">
        <v>94567</v>
      </c>
      <c r="D23" s="185">
        <v>56756</v>
      </c>
      <c r="E23" s="185">
        <f>+D23-C23</f>
        <v>-37811</v>
      </c>
      <c r="F23" s="77">
        <f>IF(C23=0,0,+E23/C23)</f>
        <v>-0.39983292268973319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895</v>
      </c>
      <c r="C24" s="185">
        <v>33128</v>
      </c>
      <c r="D24" s="185">
        <v>105813</v>
      </c>
      <c r="E24" s="185">
        <f>+D24-C24</f>
        <v>72685</v>
      </c>
      <c r="F24" s="77">
        <f>IF(C24=0,0,+E24/C24)</f>
        <v>2.1940654431296789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896</v>
      </c>
      <c r="C25" s="79">
        <f>+C22+C23+C24</f>
        <v>193108</v>
      </c>
      <c r="D25" s="79">
        <f>+D22+D23+D24</f>
        <v>310398</v>
      </c>
      <c r="E25" s="79">
        <f>+E22+E23+E24</f>
        <v>117290</v>
      </c>
      <c r="F25" s="80">
        <f>IF(C25=0,0,+E25/C25)</f>
        <v>0.607380326035172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897</v>
      </c>
      <c r="C27" s="185">
        <v>35</v>
      </c>
      <c r="D27" s="185">
        <v>36</v>
      </c>
      <c r="E27" s="185">
        <f>+D27-C27</f>
        <v>1</v>
      </c>
      <c r="F27" s="77">
        <f>IF(C27=0,0,+E27/C27)</f>
        <v>2.8571428571428571E-2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898</v>
      </c>
      <c r="C28" s="185">
        <v>25</v>
      </c>
      <c r="D28" s="185">
        <v>19</v>
      </c>
      <c r="E28" s="185">
        <f>+D28-C28</f>
        <v>-6</v>
      </c>
      <c r="F28" s="77">
        <f>IF(C28=0,0,+E28/C28)</f>
        <v>-0.24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899</v>
      </c>
      <c r="C29" s="185">
        <v>124</v>
      </c>
      <c r="D29" s="185">
        <v>129</v>
      </c>
      <c r="E29" s="185">
        <f>+D29-C29</f>
        <v>5</v>
      </c>
      <c r="F29" s="77">
        <f>IF(C29=0,0,+E29/C29)</f>
        <v>4.0322580645161289E-2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900</v>
      </c>
      <c r="C30" s="185">
        <v>119</v>
      </c>
      <c r="D30" s="185">
        <v>185</v>
      </c>
      <c r="E30" s="185">
        <f>+D30-C30</f>
        <v>66</v>
      </c>
      <c r="F30" s="77">
        <f>IF(C30=0,0,+E30/C30)</f>
        <v>0.55462184873949583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901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902</v>
      </c>
      <c r="C33" s="76">
        <v>1531753</v>
      </c>
      <c r="D33" s="76">
        <v>1261784</v>
      </c>
      <c r="E33" s="76">
        <f>+D33-C33</f>
        <v>-269969</v>
      </c>
      <c r="F33" s="77">
        <f>IF(C33=0,0,+E33/C33)</f>
        <v>-0.17624838991665107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903</v>
      </c>
      <c r="C34" s="185">
        <v>1412824</v>
      </c>
      <c r="D34" s="185">
        <v>698615</v>
      </c>
      <c r="E34" s="185">
        <f>+D34-C34</f>
        <v>-714209</v>
      </c>
      <c r="F34" s="77">
        <f>IF(C34=0,0,+E34/C34)</f>
        <v>-0.50551873410983961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904</v>
      </c>
      <c r="C35" s="185">
        <v>619674</v>
      </c>
      <c r="D35" s="185">
        <v>2495053</v>
      </c>
      <c r="E35" s="185">
        <f>+D35-C35</f>
        <v>1875379</v>
      </c>
      <c r="F35" s="77">
        <f>IF(C35=0,0,+E35/C35)</f>
        <v>3.0263961373238186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905</v>
      </c>
      <c r="C36" s="79">
        <f>+C33+C34+C35</f>
        <v>3564251</v>
      </c>
      <c r="D36" s="79">
        <f>+D33+D34+D35</f>
        <v>4455452</v>
      </c>
      <c r="E36" s="79">
        <f>+E33+E34+E35</f>
        <v>891201</v>
      </c>
      <c r="F36" s="80">
        <f>IF(C36=0,0,+E36/C36)</f>
        <v>0.25003878795292478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906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907</v>
      </c>
      <c r="C39" s="76">
        <f>+C25</f>
        <v>193108</v>
      </c>
      <c r="D39" s="76">
        <f>+D25</f>
        <v>310398</v>
      </c>
      <c r="E39" s="76">
        <f>+D39-C39</f>
        <v>117290</v>
      </c>
      <c r="F39" s="77">
        <f>IF(C39=0,0,+E39/C39)</f>
        <v>0.607380326035172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908</v>
      </c>
      <c r="C40" s="185">
        <f>+C36</f>
        <v>3564251</v>
      </c>
      <c r="D40" s="185">
        <f>+D36</f>
        <v>4455452</v>
      </c>
      <c r="E40" s="185">
        <f>+D40-C40</f>
        <v>891201</v>
      </c>
      <c r="F40" s="77">
        <f>IF(C40=0,0,+E40/C40)</f>
        <v>0.25003878795292478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909</v>
      </c>
      <c r="C41" s="79">
        <f>+C39+C40</f>
        <v>3757359</v>
      </c>
      <c r="D41" s="79">
        <f>+D39+D40</f>
        <v>4765850</v>
      </c>
      <c r="E41" s="79">
        <f>+E39+E40</f>
        <v>1008491</v>
      </c>
      <c r="F41" s="80">
        <f>IF(C41=0,0,+E41/C41)</f>
        <v>0.26840421689809252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910</v>
      </c>
      <c r="C43" s="76">
        <f t="shared" ref="C43:D45" si="0">+C22+C33</f>
        <v>1597166</v>
      </c>
      <c r="D43" s="76">
        <f t="shared" si="0"/>
        <v>1409613</v>
      </c>
      <c r="E43" s="76">
        <f>+D43-C43</f>
        <v>-187553</v>
      </c>
      <c r="F43" s="77">
        <f>IF(C43=0,0,+E43/C43)</f>
        <v>-0.11742862044396137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911</v>
      </c>
      <c r="C44" s="185">
        <f t="shared" si="0"/>
        <v>1507391</v>
      </c>
      <c r="D44" s="185">
        <f t="shared" si="0"/>
        <v>755371</v>
      </c>
      <c r="E44" s="185">
        <f>+D44-C44</f>
        <v>-752020</v>
      </c>
      <c r="F44" s="77">
        <f>IF(C44=0,0,+E44/C44)</f>
        <v>-0.49888847684509197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912</v>
      </c>
      <c r="C45" s="185">
        <f t="shared" si="0"/>
        <v>652802</v>
      </c>
      <c r="D45" s="185">
        <f t="shared" si="0"/>
        <v>2600866</v>
      </c>
      <c r="E45" s="185">
        <f>+D45-C45</f>
        <v>1948064</v>
      </c>
      <c r="F45" s="77">
        <f>IF(C45=0,0,+E45/C45)</f>
        <v>2.9841575240271934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909</v>
      </c>
      <c r="C46" s="79">
        <f>+C43+C44+C45</f>
        <v>3757359</v>
      </c>
      <c r="D46" s="79">
        <f>+D43+D44+D45</f>
        <v>4765850</v>
      </c>
      <c r="E46" s="79">
        <f>+E43+E44+E45</f>
        <v>1008491</v>
      </c>
      <c r="F46" s="80">
        <f>IF(C46=0,0,+E46/C46)</f>
        <v>0.26840421689809252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913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/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631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914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915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916</v>
      </c>
      <c r="D10" s="177" t="s">
        <v>916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917</v>
      </c>
      <c r="D11" s="693" t="s">
        <v>917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918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58588470</v>
      </c>
      <c r="D15" s="76">
        <v>56461997</v>
      </c>
      <c r="E15" s="76">
        <f>+D15-C15</f>
        <v>-2126473</v>
      </c>
      <c r="F15" s="77">
        <f>IF(C15=0,0,E15/C15)</f>
        <v>-3.6295076488599205E-2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919</v>
      </c>
      <c r="C17" s="76">
        <v>27824694</v>
      </c>
      <c r="D17" s="76">
        <v>26777143</v>
      </c>
      <c r="E17" s="76">
        <f>+D17-C17</f>
        <v>-1047551</v>
      </c>
      <c r="F17" s="77">
        <f>IF(C17=0,0,E17/C17)</f>
        <v>-3.7648248710300279E-2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920</v>
      </c>
      <c r="C19" s="79">
        <f>+C15-C17</f>
        <v>30763776</v>
      </c>
      <c r="D19" s="79">
        <f>+D15-D17</f>
        <v>29684854</v>
      </c>
      <c r="E19" s="79">
        <f>+D19-C19</f>
        <v>-1078922</v>
      </c>
      <c r="F19" s="80">
        <f>IF(C19=0,0,E19/C19)</f>
        <v>-3.5071182419219277E-2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921</v>
      </c>
      <c r="C21" s="720">
        <f>IF(C15=0,0,C17/C15)</f>
        <v>0.47491757337237173</v>
      </c>
      <c r="D21" s="720">
        <f>IF(D15=0,0,D17/D15)</f>
        <v>0.47425072478396396</v>
      </c>
      <c r="E21" s="720">
        <f>+D21-C21</f>
        <v>-6.6684858840776462E-4</v>
      </c>
      <c r="F21" s="80">
        <f>IF(C21=0,0,E21/C21)</f>
        <v>-1.4041354243274217E-3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922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tabSelected="1" zoomScale="75" workbookViewId="0">
      <selection sqref="A1:E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923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924</v>
      </c>
      <c r="B6" s="734" t="s">
        <v>925</v>
      </c>
      <c r="C6" s="734" t="s">
        <v>926</v>
      </c>
      <c r="D6" s="734" t="s">
        <v>927</v>
      </c>
      <c r="E6" s="734" t="s">
        <v>928</v>
      </c>
    </row>
    <row r="7" spans="1:6" ht="37.5" customHeight="1" x14ac:dyDescent="0.25">
      <c r="A7" s="735" t="s">
        <v>8</v>
      </c>
      <c r="B7" s="736" t="s">
        <v>9</v>
      </c>
      <c r="C7" s="737" t="s">
        <v>929</v>
      </c>
      <c r="D7" s="737" t="s">
        <v>930</v>
      </c>
      <c r="E7" s="737" t="s">
        <v>931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932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933</v>
      </c>
      <c r="C10" s="744">
        <v>63263065</v>
      </c>
      <c r="D10" s="744">
        <v>65614784</v>
      </c>
      <c r="E10" s="744">
        <v>62288196</v>
      </c>
    </row>
    <row r="11" spans="1:6" ht="26.1" customHeight="1" x14ac:dyDescent="0.25">
      <c r="A11" s="742">
        <v>2</v>
      </c>
      <c r="B11" s="743" t="s">
        <v>934</v>
      </c>
      <c r="C11" s="744">
        <v>85519480</v>
      </c>
      <c r="D11" s="744">
        <v>87064856</v>
      </c>
      <c r="E11" s="744">
        <v>96843117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148782545</v>
      </c>
      <c r="D12" s="744">
        <f>+D11+D10</f>
        <v>152679640</v>
      </c>
      <c r="E12" s="744">
        <f>+E11+E10</f>
        <v>159131313</v>
      </c>
    </row>
    <row r="13" spans="1:6" ht="26.1" customHeight="1" x14ac:dyDescent="0.25">
      <c r="A13" s="742">
        <v>4</v>
      </c>
      <c r="B13" s="743" t="s">
        <v>507</v>
      </c>
      <c r="C13" s="744">
        <v>59499426</v>
      </c>
      <c r="D13" s="744">
        <v>65318419</v>
      </c>
      <c r="E13" s="744">
        <v>59633584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935</v>
      </c>
      <c r="C16" s="744">
        <v>61577163</v>
      </c>
      <c r="D16" s="744">
        <v>65981058</v>
      </c>
      <c r="E16" s="744">
        <v>63578052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936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15790</v>
      </c>
      <c r="D19" s="747">
        <v>16189</v>
      </c>
      <c r="E19" s="747">
        <v>16130</v>
      </c>
    </row>
    <row r="20" spans="1:5" ht="26.1" customHeight="1" x14ac:dyDescent="0.25">
      <c r="A20" s="742">
        <v>2</v>
      </c>
      <c r="B20" s="743" t="s">
        <v>381</v>
      </c>
      <c r="C20" s="748">
        <v>3268</v>
      </c>
      <c r="D20" s="748">
        <v>3251</v>
      </c>
      <c r="E20" s="748">
        <v>3139</v>
      </c>
    </row>
    <row r="21" spans="1:5" ht="26.1" customHeight="1" x14ac:dyDescent="0.25">
      <c r="A21" s="742">
        <v>3</v>
      </c>
      <c r="B21" s="743" t="s">
        <v>937</v>
      </c>
      <c r="C21" s="749">
        <f>IF(C20=0,0,+C19/C20)</f>
        <v>4.8317013463892291</v>
      </c>
      <c r="D21" s="749">
        <f>IF(D20=0,0,+D19/D20)</f>
        <v>4.9796985542909873</v>
      </c>
      <c r="E21" s="749">
        <f>IF(E20=0,0,+E19/E20)</f>
        <v>5.1385791653392801</v>
      </c>
    </row>
    <row r="22" spans="1:5" ht="26.1" customHeight="1" x14ac:dyDescent="0.25">
      <c r="A22" s="742">
        <v>4</v>
      </c>
      <c r="B22" s="743" t="s">
        <v>938</v>
      </c>
      <c r="C22" s="748">
        <f>IF(C10=0,0,C19*(C12/C10))</f>
        <v>37135.038992340946</v>
      </c>
      <c r="D22" s="748">
        <f>IF(D10=0,0,D19*(D12/D10))</f>
        <v>37670.331917270349</v>
      </c>
      <c r="E22" s="748">
        <f>IF(E10=0,0,E19*(E12/E10))</f>
        <v>41208.258442578757</v>
      </c>
    </row>
    <row r="23" spans="1:5" ht="26.1" customHeight="1" x14ac:dyDescent="0.25">
      <c r="A23" s="742">
        <v>0</v>
      </c>
      <c r="B23" s="743" t="s">
        <v>939</v>
      </c>
      <c r="C23" s="748">
        <f>IF(C10=0,0,C20*(C12/C10))</f>
        <v>7685.7066134876641</v>
      </c>
      <c r="D23" s="748">
        <f>IF(D10=0,0,D20*(D12/D10))</f>
        <v>7564.7815839796103</v>
      </c>
      <c r="E23" s="748">
        <f>IF(E10=0,0,E20*(E12/E10))</f>
        <v>8019.3876783170927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940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1.1539156334149328</v>
      </c>
      <c r="D26" s="750">
        <v>1.1664804675484466</v>
      </c>
      <c r="E26" s="750">
        <v>1.1462646384198789</v>
      </c>
    </row>
    <row r="27" spans="1:5" ht="26.1" customHeight="1" x14ac:dyDescent="0.25">
      <c r="A27" s="742">
        <v>2</v>
      </c>
      <c r="B27" s="743" t="s">
        <v>941</v>
      </c>
      <c r="C27" s="748">
        <f>C19*C26</f>
        <v>18220.327851621787</v>
      </c>
      <c r="D27" s="748">
        <f>D19*D26</f>
        <v>18884.152289141803</v>
      </c>
      <c r="E27" s="748">
        <f>E19*E26</f>
        <v>18489.248617712648</v>
      </c>
    </row>
    <row r="28" spans="1:5" ht="26.1" customHeight="1" x14ac:dyDescent="0.25">
      <c r="A28" s="742">
        <v>3</v>
      </c>
      <c r="B28" s="743" t="s">
        <v>942</v>
      </c>
      <c r="C28" s="748">
        <f>C20*C26</f>
        <v>3770.99629</v>
      </c>
      <c r="D28" s="748">
        <f>D20*D26</f>
        <v>3792.2280000000001</v>
      </c>
      <c r="E28" s="748">
        <f>E20*E26</f>
        <v>3598.1246999999998</v>
      </c>
    </row>
    <row r="29" spans="1:5" ht="26.1" customHeight="1" x14ac:dyDescent="0.25">
      <c r="A29" s="742">
        <v>4</v>
      </c>
      <c r="B29" s="743" t="s">
        <v>943</v>
      </c>
      <c r="C29" s="748">
        <f>C22*C26</f>
        <v>42850.702040735327</v>
      </c>
      <c r="D29" s="748">
        <f>D22*D26</f>
        <v>43941.706387562685</v>
      </c>
      <c r="E29" s="748">
        <f>E22*E26</f>
        <v>47235.569463595464</v>
      </c>
    </row>
    <row r="30" spans="1:5" ht="26.1" customHeight="1" x14ac:dyDescent="0.25">
      <c r="A30" s="742">
        <v>5</v>
      </c>
      <c r="B30" s="743" t="s">
        <v>944</v>
      </c>
      <c r="C30" s="748">
        <f>C23*C26</f>
        <v>8868.6570151439555</v>
      </c>
      <c r="D30" s="748">
        <f>D23*D26</f>
        <v>8824.1699589824148</v>
      </c>
      <c r="E30" s="748">
        <f>E23*E26</f>
        <v>9192.3405174349737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945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946</v>
      </c>
      <c r="C33" s="744">
        <f>IF(C19=0,0,C12/C19)</f>
        <v>9422.5804306523114</v>
      </c>
      <c r="D33" s="744">
        <f>IF(D19=0,0,D12/D19)</f>
        <v>9431.0729507690412</v>
      </c>
      <c r="E33" s="744">
        <f>IF(E19=0,0,E12/E19)</f>
        <v>9865.5494730316186</v>
      </c>
    </row>
    <row r="34" spans="1:5" ht="26.1" customHeight="1" x14ac:dyDescent="0.25">
      <c r="A34" s="742">
        <v>2</v>
      </c>
      <c r="B34" s="743" t="s">
        <v>947</v>
      </c>
      <c r="C34" s="744">
        <f>IF(C20=0,0,C12/C20)</f>
        <v>45527.094553243573</v>
      </c>
      <c r="D34" s="744">
        <f>IF(D20=0,0,D12/D20)</f>
        <v>46963.900338357431</v>
      </c>
      <c r="E34" s="744">
        <f>IF(E20=0,0,E12/E20)</f>
        <v>50694.906976744183</v>
      </c>
    </row>
    <row r="35" spans="1:5" ht="26.1" customHeight="1" x14ac:dyDescent="0.25">
      <c r="A35" s="742">
        <v>3</v>
      </c>
      <c r="B35" s="743" t="s">
        <v>948</v>
      </c>
      <c r="C35" s="744">
        <f>IF(C22=0,0,C12/C22)</f>
        <v>4006.5272324255861</v>
      </c>
      <c r="D35" s="744">
        <f>IF(D22=0,0,D12/D22)</f>
        <v>4053.0473778491573</v>
      </c>
      <c r="E35" s="744">
        <f>IF(E22=0,0,E12/E22)</f>
        <v>3861.6364538127705</v>
      </c>
    </row>
    <row r="36" spans="1:5" ht="26.1" customHeight="1" x14ac:dyDescent="0.25">
      <c r="A36" s="742">
        <v>4</v>
      </c>
      <c r="B36" s="743" t="s">
        <v>949</v>
      </c>
      <c r="C36" s="744">
        <f>IF(C23=0,0,C12/C23)</f>
        <v>19358.343023255817</v>
      </c>
      <c r="D36" s="744">
        <f>IF(D23=0,0,D12/D23)</f>
        <v>20182.954167948323</v>
      </c>
      <c r="E36" s="744">
        <f>IF(E23=0,0,E12/E23)</f>
        <v>19843.324625676967</v>
      </c>
    </row>
    <row r="37" spans="1:5" ht="26.1" customHeight="1" x14ac:dyDescent="0.25">
      <c r="A37" s="742">
        <v>5</v>
      </c>
      <c r="B37" s="743" t="s">
        <v>950</v>
      </c>
      <c r="C37" s="744">
        <f>IF(C29=0,0,C12/C29)</f>
        <v>3472.1145258848333</v>
      </c>
      <c r="D37" s="744">
        <f>IF(D29=0,0,D12/D29)</f>
        <v>3474.5951523451677</v>
      </c>
      <c r="E37" s="744">
        <f>IF(E29=0,0,E12/E29)</f>
        <v>3368.8873619411488</v>
      </c>
    </row>
    <row r="38" spans="1:5" ht="26.1" customHeight="1" x14ac:dyDescent="0.25">
      <c r="A38" s="742">
        <v>6</v>
      </c>
      <c r="B38" s="743" t="s">
        <v>951</v>
      </c>
      <c r="C38" s="744">
        <f>IF(C30=0,0,C12/C30)</f>
        <v>16776.220429535348</v>
      </c>
      <c r="D38" s="744">
        <f>IF(D30=0,0,D12/D30)</f>
        <v>17302.436456879703</v>
      </c>
      <c r="E38" s="744">
        <f>IF(E30=0,0,E12/E30)</f>
        <v>17311.294408445599</v>
      </c>
    </row>
    <row r="39" spans="1:5" ht="26.1" customHeight="1" x14ac:dyDescent="0.25">
      <c r="A39" s="742">
        <v>7</v>
      </c>
      <c r="B39" s="743" t="s">
        <v>952</v>
      </c>
      <c r="C39" s="744">
        <f>IF(C22=0,0,C10/C22)</f>
        <v>1703.5949528166088</v>
      </c>
      <c r="D39" s="744">
        <f>IF(D22=0,0,D10/D22)</f>
        <v>1741.8159241097164</v>
      </c>
      <c r="E39" s="744">
        <f>IF(E22=0,0,E10/E22)</f>
        <v>1511.5464315677129</v>
      </c>
    </row>
    <row r="40" spans="1:5" ht="26.1" customHeight="1" x14ac:dyDescent="0.25">
      <c r="A40" s="742">
        <v>8</v>
      </c>
      <c r="B40" s="743" t="s">
        <v>953</v>
      </c>
      <c r="C40" s="744">
        <f>IF(C23=0,0,C10/C23)</f>
        <v>8231.2620272259028</v>
      </c>
      <c r="D40" s="744">
        <f>IF(D23=0,0,D10/D23)</f>
        <v>8673.718239130174</v>
      </c>
      <c r="E40" s="744">
        <f>IF(E23=0,0,E10/E23)</f>
        <v>7767.2010006967867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954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955</v>
      </c>
      <c r="C43" s="744">
        <f>IF(C19=0,0,C13/C19)</f>
        <v>3768.1713742875236</v>
      </c>
      <c r="D43" s="744">
        <f>IF(D19=0,0,D13/D19)</f>
        <v>4034.7408116622396</v>
      </c>
      <c r="E43" s="744">
        <f>IF(E19=0,0,E13/E19)</f>
        <v>3697.0603843769372</v>
      </c>
    </row>
    <row r="44" spans="1:5" ht="26.1" customHeight="1" x14ac:dyDescent="0.25">
      <c r="A44" s="742">
        <v>2</v>
      </c>
      <c r="B44" s="743" t="s">
        <v>956</v>
      </c>
      <c r="C44" s="744">
        <f>IF(C20=0,0,C13/C20)</f>
        <v>18206.678702570378</v>
      </c>
      <c r="D44" s="744">
        <f>IF(D20=0,0,D13/D20)</f>
        <v>20091.7929867733</v>
      </c>
      <c r="E44" s="744">
        <f>IF(E20=0,0,E13/E20)</f>
        <v>18997.637464160562</v>
      </c>
    </row>
    <row r="45" spans="1:5" ht="26.1" customHeight="1" x14ac:dyDescent="0.25">
      <c r="A45" s="742">
        <v>3</v>
      </c>
      <c r="B45" s="743" t="s">
        <v>957</v>
      </c>
      <c r="C45" s="744">
        <f>IF(C22=0,0,C13/C22)</f>
        <v>1602.2448774665802</v>
      </c>
      <c r="D45" s="744">
        <f>IF(D22=0,0,D13/D22)</f>
        <v>1733.9485923152724</v>
      </c>
      <c r="E45" s="744">
        <f>IF(E22=0,0,E13/E22)</f>
        <v>1447.1270141905131</v>
      </c>
    </row>
    <row r="46" spans="1:5" ht="26.1" customHeight="1" x14ac:dyDescent="0.25">
      <c r="A46" s="742">
        <v>4</v>
      </c>
      <c r="B46" s="743" t="s">
        <v>958</v>
      </c>
      <c r="C46" s="744">
        <f>IF(C23=0,0,C13/C23)</f>
        <v>7741.5687317005204</v>
      </c>
      <c r="D46" s="744">
        <f>IF(D23=0,0,D13/D23)</f>
        <v>8634.5412983672541</v>
      </c>
      <c r="E46" s="744">
        <f>IF(E23=0,0,E13/E23)</f>
        <v>7436.1767247190119</v>
      </c>
    </row>
    <row r="47" spans="1:5" ht="26.1" customHeight="1" x14ac:dyDescent="0.25">
      <c r="A47" s="742">
        <v>5</v>
      </c>
      <c r="B47" s="743" t="s">
        <v>959</v>
      </c>
      <c r="C47" s="744">
        <f>IF(C29=0,0,C13/C29)</f>
        <v>1388.5286160174887</v>
      </c>
      <c r="D47" s="744">
        <f>IF(D29=0,0,D13/D29)</f>
        <v>1486.4788914635278</v>
      </c>
      <c r="E47" s="744">
        <f>IF(E29=0,0,E13/E29)</f>
        <v>1262.4720031365284</v>
      </c>
    </row>
    <row r="48" spans="1:5" ht="26.1" customHeight="1" x14ac:dyDescent="0.25">
      <c r="A48" s="742">
        <v>6</v>
      </c>
      <c r="B48" s="743" t="s">
        <v>960</v>
      </c>
      <c r="C48" s="744">
        <f>IF(C30=0,0,C13/C30)</f>
        <v>6708.9555835116716</v>
      </c>
      <c r="D48" s="744">
        <f>IF(D30=0,0,D13/D30)</f>
        <v>7402.2167868049983</v>
      </c>
      <c r="E48" s="744">
        <f>IF(E30=0,0,E13/E30)</f>
        <v>6487.3123321415133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961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962</v>
      </c>
      <c r="C51" s="744">
        <f>IF(C19=0,0,C16/C19)</f>
        <v>3899.7569981000634</v>
      </c>
      <c r="D51" s="744">
        <f>IF(D19=0,0,D16/D19)</f>
        <v>4075.672246587189</v>
      </c>
      <c r="E51" s="744">
        <f>IF(E19=0,0,E16/E19)</f>
        <v>3941.6027278363299</v>
      </c>
    </row>
    <row r="52" spans="1:6" ht="26.1" customHeight="1" x14ac:dyDescent="0.25">
      <c r="A52" s="742">
        <v>2</v>
      </c>
      <c r="B52" s="743" t="s">
        <v>963</v>
      </c>
      <c r="C52" s="744">
        <f>IF(C20=0,0,C16/C20)</f>
        <v>18842.461138310893</v>
      </c>
      <c r="D52" s="744">
        <f>IF(D20=0,0,D16/D20)</f>
        <v>20295.619194094124</v>
      </c>
      <c r="E52" s="744">
        <f>IF(E20=0,0,E16/E20)</f>
        <v>20254.237655304238</v>
      </c>
    </row>
    <row r="53" spans="1:6" ht="26.1" customHeight="1" x14ac:dyDescent="0.25">
      <c r="A53" s="742">
        <v>3</v>
      </c>
      <c r="B53" s="743" t="s">
        <v>964</v>
      </c>
      <c r="C53" s="744">
        <f>IF(C22=0,0,C16/C22)</f>
        <v>1658.1957275633995</v>
      </c>
      <c r="D53" s="744">
        <f>IF(D22=0,0,D16/D22)</f>
        <v>1751.5390664702454</v>
      </c>
      <c r="E53" s="744">
        <f>IF(E22=0,0,E16/E22)</f>
        <v>1542.8473418402821</v>
      </c>
    </row>
    <row r="54" spans="1:6" ht="26.1" customHeight="1" x14ac:dyDescent="0.25">
      <c r="A54" s="742">
        <v>4</v>
      </c>
      <c r="B54" s="743" t="s">
        <v>965</v>
      </c>
      <c r="C54" s="744">
        <f>IF(C23=0,0,C16/C23)</f>
        <v>8011.9065294449438</v>
      </c>
      <c r="D54" s="744">
        <f>IF(D23=0,0,D16/D23)</f>
        <v>8722.1365570860671</v>
      </c>
      <c r="E54" s="744">
        <f>IF(E23=0,0,E16/E23)</f>
        <v>7928.0432060795647</v>
      </c>
    </row>
    <row r="55" spans="1:6" ht="26.1" customHeight="1" x14ac:dyDescent="0.25">
      <c r="A55" s="742">
        <v>5</v>
      </c>
      <c r="B55" s="743" t="s">
        <v>966</v>
      </c>
      <c r="C55" s="744">
        <f>IF(C29=0,0,C16/C29)</f>
        <v>1437.0164330437963</v>
      </c>
      <c r="D55" s="744">
        <f>IF(D29=0,0,D16/D29)</f>
        <v>1501.5588474888032</v>
      </c>
      <c r="E55" s="744">
        <f>IF(E29=0,0,E16/E29)</f>
        <v>1345.9783108786212</v>
      </c>
    </row>
    <row r="56" spans="1:6" ht="26.1" customHeight="1" x14ac:dyDescent="0.25">
      <c r="A56" s="742">
        <v>6</v>
      </c>
      <c r="B56" s="743" t="s">
        <v>967</v>
      </c>
      <c r="C56" s="744">
        <f>IF(C30=0,0,C16/C30)</f>
        <v>6943.2342343211567</v>
      </c>
      <c r="D56" s="744">
        <f>IF(D30=0,0,D16/D30)</f>
        <v>7477.3104220228324</v>
      </c>
      <c r="E56" s="744">
        <f>IF(E30=0,0,E16/E30)</f>
        <v>6916.4161052794407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968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969</v>
      </c>
      <c r="C59" s="752">
        <v>9407572</v>
      </c>
      <c r="D59" s="752">
        <v>9394293</v>
      </c>
      <c r="E59" s="752">
        <v>9201815</v>
      </c>
    </row>
    <row r="60" spans="1:6" ht="26.1" customHeight="1" x14ac:dyDescent="0.25">
      <c r="A60" s="742">
        <v>2</v>
      </c>
      <c r="B60" s="743" t="s">
        <v>970</v>
      </c>
      <c r="C60" s="752">
        <v>2448165</v>
      </c>
      <c r="D60" s="752">
        <v>2347211</v>
      </c>
      <c r="E60" s="752">
        <v>2141165</v>
      </c>
    </row>
    <row r="61" spans="1:6" ht="26.1" customHeight="1" x14ac:dyDescent="0.25">
      <c r="A61" s="753">
        <v>3</v>
      </c>
      <c r="B61" s="754" t="s">
        <v>971</v>
      </c>
      <c r="C61" s="755">
        <f>C59+C60</f>
        <v>11855737</v>
      </c>
      <c r="D61" s="755">
        <f>D59+D60</f>
        <v>11741504</v>
      </c>
      <c r="E61" s="755">
        <f>E59+E60</f>
        <v>11342980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972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973</v>
      </c>
      <c r="C64" s="744">
        <v>0</v>
      </c>
      <c r="D64" s="744">
        <v>0</v>
      </c>
      <c r="E64" s="752">
        <v>0</v>
      </c>
      <c r="F64" s="756"/>
    </row>
    <row r="65" spans="1:6" ht="26.1" customHeight="1" x14ac:dyDescent="0.25">
      <c r="A65" s="742">
        <v>2</v>
      </c>
      <c r="B65" s="743" t="s">
        <v>974</v>
      </c>
      <c r="C65" s="752">
        <v>0</v>
      </c>
      <c r="D65" s="752">
        <v>0</v>
      </c>
      <c r="E65" s="752">
        <v>0</v>
      </c>
      <c r="F65" s="756"/>
    </row>
    <row r="66" spans="1:6" ht="26.1" customHeight="1" x14ac:dyDescent="0.25">
      <c r="A66" s="753">
        <v>3</v>
      </c>
      <c r="B66" s="754" t="s">
        <v>975</v>
      </c>
      <c r="C66" s="757">
        <f>C64+C65</f>
        <v>0</v>
      </c>
      <c r="D66" s="757">
        <f>D64+D65</f>
        <v>0</v>
      </c>
      <c r="E66" s="757">
        <f>E64+E65</f>
        <v>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976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977</v>
      </c>
      <c r="C69" s="752">
        <v>16801243</v>
      </c>
      <c r="D69" s="752">
        <v>17775085</v>
      </c>
      <c r="E69" s="752">
        <v>17662595</v>
      </c>
    </row>
    <row r="70" spans="1:6" ht="26.1" customHeight="1" x14ac:dyDescent="0.25">
      <c r="A70" s="742">
        <v>2</v>
      </c>
      <c r="B70" s="743" t="s">
        <v>978</v>
      </c>
      <c r="C70" s="752">
        <v>4372247</v>
      </c>
      <c r="D70" s="752">
        <v>4441193</v>
      </c>
      <c r="E70" s="752">
        <v>4109900</v>
      </c>
    </row>
    <row r="71" spans="1:6" ht="26.1" customHeight="1" x14ac:dyDescent="0.25">
      <c r="A71" s="753">
        <v>3</v>
      </c>
      <c r="B71" s="754" t="s">
        <v>979</v>
      </c>
      <c r="C71" s="755">
        <f>C69+C70</f>
        <v>21173490</v>
      </c>
      <c r="D71" s="755">
        <f>D69+D70</f>
        <v>22216278</v>
      </c>
      <c r="E71" s="755">
        <f>E69+E70</f>
        <v>21772495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980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981</v>
      </c>
      <c r="C75" s="744">
        <f t="shared" ref="C75:E76" si="0">+C59+C64+C69</f>
        <v>26208815</v>
      </c>
      <c r="D75" s="744">
        <f t="shared" si="0"/>
        <v>27169378</v>
      </c>
      <c r="E75" s="744">
        <f t="shared" si="0"/>
        <v>26864410</v>
      </c>
    </row>
    <row r="76" spans="1:6" ht="26.1" customHeight="1" x14ac:dyDescent="0.25">
      <c r="A76" s="742">
        <v>2</v>
      </c>
      <c r="B76" s="743" t="s">
        <v>982</v>
      </c>
      <c r="C76" s="744">
        <f t="shared" si="0"/>
        <v>6820412</v>
      </c>
      <c r="D76" s="744">
        <f t="shared" si="0"/>
        <v>6788404</v>
      </c>
      <c r="E76" s="744">
        <f t="shared" si="0"/>
        <v>6251065</v>
      </c>
    </row>
    <row r="77" spans="1:6" ht="26.1" customHeight="1" x14ac:dyDescent="0.25">
      <c r="A77" s="753">
        <v>3</v>
      </c>
      <c r="B77" s="754" t="s">
        <v>980</v>
      </c>
      <c r="C77" s="757">
        <f>C75+C76</f>
        <v>33029227</v>
      </c>
      <c r="D77" s="757">
        <f>D75+D76</f>
        <v>33957782</v>
      </c>
      <c r="E77" s="757">
        <f>E75+E76</f>
        <v>33115475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983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119.6</v>
      </c>
      <c r="D80" s="749">
        <v>118.7</v>
      </c>
      <c r="E80" s="749">
        <v>114.2</v>
      </c>
    </row>
    <row r="81" spans="1:5" ht="26.1" customHeight="1" x14ac:dyDescent="0.25">
      <c r="A81" s="742">
        <v>2</v>
      </c>
      <c r="B81" s="743" t="s">
        <v>617</v>
      </c>
      <c r="C81" s="749">
        <v>0</v>
      </c>
      <c r="D81" s="749">
        <v>0</v>
      </c>
      <c r="E81" s="749">
        <v>0</v>
      </c>
    </row>
    <row r="82" spans="1:5" ht="26.1" customHeight="1" x14ac:dyDescent="0.25">
      <c r="A82" s="742">
        <v>3</v>
      </c>
      <c r="B82" s="743" t="s">
        <v>984</v>
      </c>
      <c r="C82" s="749">
        <v>343.9</v>
      </c>
      <c r="D82" s="749">
        <v>345.5</v>
      </c>
      <c r="E82" s="749">
        <v>346.1</v>
      </c>
    </row>
    <row r="83" spans="1:5" ht="26.1" customHeight="1" x14ac:dyDescent="0.25">
      <c r="A83" s="753">
        <v>4</v>
      </c>
      <c r="B83" s="754" t="s">
        <v>983</v>
      </c>
      <c r="C83" s="759">
        <f>C80+C81+C82</f>
        <v>463.5</v>
      </c>
      <c r="D83" s="759">
        <f>D80+D81+D82</f>
        <v>464.2</v>
      </c>
      <c r="E83" s="759">
        <f>E80+E81+E82</f>
        <v>460.3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985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986</v>
      </c>
      <c r="C86" s="752">
        <f>IF(C80=0,0,C59/C80)</f>
        <v>78658.628762541804</v>
      </c>
      <c r="D86" s="752">
        <f>IF(D80=0,0,D59/D80)</f>
        <v>79143.159224936811</v>
      </c>
      <c r="E86" s="752">
        <f>IF(E80=0,0,E59/E80)</f>
        <v>80576.313485113831</v>
      </c>
    </row>
    <row r="87" spans="1:5" ht="26.1" customHeight="1" x14ac:dyDescent="0.25">
      <c r="A87" s="742">
        <v>2</v>
      </c>
      <c r="B87" s="743" t="s">
        <v>987</v>
      </c>
      <c r="C87" s="752">
        <f>IF(C80=0,0,C60/C80)</f>
        <v>20469.607023411372</v>
      </c>
      <c r="D87" s="752">
        <f>IF(D80=0,0,D60/D80)</f>
        <v>19774.313395113732</v>
      </c>
      <c r="E87" s="752">
        <f>IF(E80=0,0,E60/E80)</f>
        <v>18749.255691768827</v>
      </c>
    </row>
    <row r="88" spans="1:5" ht="26.1" customHeight="1" x14ac:dyDescent="0.25">
      <c r="A88" s="753">
        <v>3</v>
      </c>
      <c r="B88" s="754" t="s">
        <v>988</v>
      </c>
      <c r="C88" s="755">
        <f>+C86+C87</f>
        <v>99128.235785953177</v>
      </c>
      <c r="D88" s="755">
        <f>+D86+D87</f>
        <v>98917.472620050539</v>
      </c>
      <c r="E88" s="755">
        <f>+E86+E87</f>
        <v>99325.569176882651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989</v>
      </c>
    </row>
    <row r="91" spans="1:5" ht="26.1" customHeight="1" x14ac:dyDescent="0.25">
      <c r="A91" s="742">
        <v>1</v>
      </c>
      <c r="B91" s="743" t="s">
        <v>990</v>
      </c>
      <c r="C91" s="744">
        <f>IF(C81=0,0,C64/C81)</f>
        <v>0</v>
      </c>
      <c r="D91" s="744">
        <f>IF(D81=0,0,D64/D81)</f>
        <v>0</v>
      </c>
      <c r="E91" s="744">
        <f>IF(E81=0,0,E64/E81)</f>
        <v>0</v>
      </c>
    </row>
    <row r="92" spans="1:5" ht="26.1" customHeight="1" x14ac:dyDescent="0.25">
      <c r="A92" s="742">
        <v>2</v>
      </c>
      <c r="B92" s="743" t="s">
        <v>991</v>
      </c>
      <c r="C92" s="744">
        <f>IF(C81=0,0,C65/C81)</f>
        <v>0</v>
      </c>
      <c r="D92" s="744">
        <f>IF(D81=0,0,D65/D81)</f>
        <v>0</v>
      </c>
      <c r="E92" s="744">
        <f>IF(E81=0,0,E65/E81)</f>
        <v>0</v>
      </c>
    </row>
    <row r="93" spans="1:5" ht="26.1" customHeight="1" x14ac:dyDescent="0.25">
      <c r="A93" s="753">
        <v>3</v>
      </c>
      <c r="B93" s="754" t="s">
        <v>992</v>
      </c>
      <c r="C93" s="757">
        <f>+C91+C92</f>
        <v>0</v>
      </c>
      <c r="D93" s="757">
        <f>+D91+D92</f>
        <v>0</v>
      </c>
      <c r="E93" s="757">
        <f>+E91+E92</f>
        <v>0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993</v>
      </c>
      <c r="B95" s="745" t="s">
        <v>994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995</v>
      </c>
      <c r="C96" s="752">
        <f>IF(C82=0,0,C69/C82)</f>
        <v>48855.024716487351</v>
      </c>
      <c r="D96" s="752">
        <f>IF(D82=0,0,D69/D82)</f>
        <v>51447.424023154847</v>
      </c>
      <c r="E96" s="752">
        <f>IF(E82=0,0,E69/E82)</f>
        <v>51033.212944235769</v>
      </c>
    </row>
    <row r="97" spans="1:5" ht="26.1" customHeight="1" x14ac:dyDescent="0.25">
      <c r="A97" s="742">
        <v>2</v>
      </c>
      <c r="B97" s="743" t="s">
        <v>996</v>
      </c>
      <c r="C97" s="752">
        <f>IF(C82=0,0,C70/C82)</f>
        <v>12713.71619656877</v>
      </c>
      <c r="D97" s="752">
        <f>IF(D82=0,0,D70/D82)</f>
        <v>12854.393632416788</v>
      </c>
      <c r="E97" s="752">
        <f>IF(E82=0,0,E70/E82)</f>
        <v>11874.891649812193</v>
      </c>
    </row>
    <row r="98" spans="1:5" ht="26.1" customHeight="1" x14ac:dyDescent="0.25">
      <c r="A98" s="753">
        <v>3</v>
      </c>
      <c r="B98" s="754" t="s">
        <v>997</v>
      </c>
      <c r="C98" s="757">
        <f>+C96+C97</f>
        <v>61568.740913056121</v>
      </c>
      <c r="D98" s="757">
        <f>+D96+D97</f>
        <v>64301.817655571635</v>
      </c>
      <c r="E98" s="757">
        <f>+E96+E97</f>
        <v>62908.10459404796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998</v>
      </c>
      <c r="B100" s="745" t="s">
        <v>999</v>
      </c>
    </row>
    <row r="101" spans="1:5" ht="26.1" customHeight="1" x14ac:dyDescent="0.25">
      <c r="A101" s="742">
        <v>1</v>
      </c>
      <c r="B101" s="743" t="s">
        <v>1000</v>
      </c>
      <c r="C101" s="744">
        <f>IF(C83=0,0,C75/C83)</f>
        <v>56545.447680690399</v>
      </c>
      <c r="D101" s="744">
        <f>IF(D83=0,0,D75/D83)</f>
        <v>58529.465747522619</v>
      </c>
      <c r="E101" s="744">
        <f>IF(E83=0,0,E75/E83)</f>
        <v>58362.828590049969</v>
      </c>
    </row>
    <row r="102" spans="1:5" ht="26.1" customHeight="1" x14ac:dyDescent="0.25">
      <c r="A102" s="742">
        <v>2</v>
      </c>
      <c r="B102" s="743" t="s">
        <v>1001</v>
      </c>
      <c r="C102" s="761">
        <f>IF(C83=0,0,C76/C83)</f>
        <v>14715.020496224381</v>
      </c>
      <c r="D102" s="761">
        <f>IF(D83=0,0,D76/D83)</f>
        <v>14623.87763894873</v>
      </c>
      <c r="E102" s="761">
        <f>IF(E83=0,0,E76/E83)</f>
        <v>13580.414946773843</v>
      </c>
    </row>
    <row r="103" spans="1:5" ht="26.1" customHeight="1" x14ac:dyDescent="0.25">
      <c r="A103" s="753">
        <v>3</v>
      </c>
      <c r="B103" s="754" t="s">
        <v>999</v>
      </c>
      <c r="C103" s="757">
        <f>+C101+C102</f>
        <v>71260.468176914786</v>
      </c>
      <c r="D103" s="757">
        <f>+D101+D102</f>
        <v>73153.343386471344</v>
      </c>
      <c r="E103" s="757">
        <f>+E101+E102</f>
        <v>71943.243536823808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1002</v>
      </c>
      <c r="B107" s="736" t="s">
        <v>1003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1004</v>
      </c>
      <c r="C108" s="744">
        <f>IF(C19=0,0,C77/C19)</f>
        <v>2091.7813172894239</v>
      </c>
      <c r="D108" s="744">
        <f>IF(D19=0,0,D77/D19)</f>
        <v>2097.5836679226636</v>
      </c>
      <c r="E108" s="744">
        <f>IF(E19=0,0,E77/E19)</f>
        <v>2053.0362678239308</v>
      </c>
    </row>
    <row r="109" spans="1:5" ht="26.1" customHeight="1" x14ac:dyDescent="0.25">
      <c r="A109" s="742">
        <v>2</v>
      </c>
      <c r="B109" s="743" t="s">
        <v>1005</v>
      </c>
      <c r="C109" s="744">
        <f>IF(C20=0,0,C77/C20)</f>
        <v>10106.862607099143</v>
      </c>
      <c r="D109" s="744">
        <f>IF(D20=0,0,D77/D20)</f>
        <v>10445.334358658874</v>
      </c>
      <c r="E109" s="744">
        <f>IF(E20=0,0,E77/E20)</f>
        <v>10549.689391525964</v>
      </c>
    </row>
    <row r="110" spans="1:5" ht="26.1" customHeight="1" x14ac:dyDescent="0.25">
      <c r="A110" s="742">
        <v>3</v>
      </c>
      <c r="B110" s="743" t="s">
        <v>1006</v>
      </c>
      <c r="C110" s="744">
        <f>IF(C22=0,0,C77/C22)</f>
        <v>889.43563535269845</v>
      </c>
      <c r="D110" s="744">
        <f>IF(D22=0,0,D77/D22)</f>
        <v>901.44631787626236</v>
      </c>
      <c r="E110" s="744">
        <f>IF(E22=0,0,E77/E22)</f>
        <v>803.61258280653703</v>
      </c>
    </row>
    <row r="111" spans="1:5" ht="26.1" customHeight="1" x14ac:dyDescent="0.25">
      <c r="A111" s="742">
        <v>4</v>
      </c>
      <c r="B111" s="743" t="s">
        <v>1007</v>
      </c>
      <c r="C111" s="744">
        <f>IF(C23=0,0,C77/C23)</f>
        <v>4297.4873568601924</v>
      </c>
      <c r="D111" s="744">
        <f>IF(D23=0,0,D77/D23)</f>
        <v>4488.9309258993571</v>
      </c>
      <c r="E111" s="744">
        <f>IF(E23=0,0,E77/E23)</f>
        <v>4129.4268750141582</v>
      </c>
    </row>
    <row r="112" spans="1:5" ht="26.1" customHeight="1" x14ac:dyDescent="0.25">
      <c r="A112" s="742">
        <v>5</v>
      </c>
      <c r="B112" s="743" t="s">
        <v>1008</v>
      </c>
      <c r="C112" s="744">
        <f>IF(C29=0,0,C77/C29)</f>
        <v>770.79780323321893</v>
      </c>
      <c r="D112" s="744">
        <f>IF(D29=0,0,D77/D29)</f>
        <v>772.79160942214696</v>
      </c>
      <c r="E112" s="744">
        <f>IF(E29=0,0,E77/E29)</f>
        <v>701.07072648975168</v>
      </c>
    </row>
    <row r="113" spans="1:7" ht="25.5" customHeight="1" x14ac:dyDescent="0.25">
      <c r="A113" s="742">
        <v>6</v>
      </c>
      <c r="B113" s="743" t="s">
        <v>1009</v>
      </c>
      <c r="C113" s="744">
        <f>IF(C30=0,0,C77/C30)</f>
        <v>3724.2647836758033</v>
      </c>
      <c r="D113" s="744">
        <f>IF(D30=0,0,D77/D30)</f>
        <v>3848.2692602076695</v>
      </c>
      <c r="E113" s="744">
        <f>IF(E30=0,0,E77/E30)</f>
        <v>3602.5074285695114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152679640</v>
      </c>
      <c r="D12" s="76">
        <v>159131313</v>
      </c>
      <c r="E12" s="76">
        <f t="shared" ref="E12:E21" si="0">D12-C12</f>
        <v>6451673</v>
      </c>
      <c r="F12" s="77">
        <f t="shared" ref="F12:F21" si="1">IF(C12=0,0,E12/C12)</f>
        <v>4.2256275951397318E-2</v>
      </c>
    </row>
    <row r="13" spans="1:8" ht="23.1" customHeight="1" x14ac:dyDescent="0.2">
      <c r="A13" s="74">
        <v>2</v>
      </c>
      <c r="B13" s="75" t="s">
        <v>72</v>
      </c>
      <c r="C13" s="76">
        <v>87168113</v>
      </c>
      <c r="D13" s="76">
        <v>94731879</v>
      </c>
      <c r="E13" s="76">
        <f t="shared" si="0"/>
        <v>7563766</v>
      </c>
      <c r="F13" s="77">
        <f t="shared" si="1"/>
        <v>8.6772166331052739E-2</v>
      </c>
    </row>
    <row r="14" spans="1:8" ht="23.1" customHeight="1" x14ac:dyDescent="0.2">
      <c r="A14" s="74">
        <v>3</v>
      </c>
      <c r="B14" s="75" t="s">
        <v>73</v>
      </c>
      <c r="C14" s="76">
        <v>193108</v>
      </c>
      <c r="D14" s="76">
        <v>310398</v>
      </c>
      <c r="E14" s="76">
        <f t="shared" si="0"/>
        <v>117290</v>
      </c>
      <c r="F14" s="77">
        <f t="shared" si="1"/>
        <v>0.607380326035172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65318419</v>
      </c>
      <c r="D16" s="79">
        <f>D12-D13-D14-D15</f>
        <v>64089036</v>
      </c>
      <c r="E16" s="79">
        <f t="shared" si="0"/>
        <v>-1229383</v>
      </c>
      <c r="F16" s="80">
        <f t="shared" si="1"/>
        <v>-1.8821383291594978E-2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4455452</v>
      </c>
      <c r="E17" s="76">
        <f t="shared" si="0"/>
        <v>4455452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65318419</v>
      </c>
      <c r="D18" s="79">
        <f>D16-D17</f>
        <v>59633584</v>
      </c>
      <c r="E18" s="79">
        <f t="shared" si="0"/>
        <v>-5684835</v>
      </c>
      <c r="F18" s="80">
        <f t="shared" si="1"/>
        <v>-8.7032648478524877E-2</v>
      </c>
    </row>
    <row r="19" spans="1:7" ht="23.1" customHeight="1" x14ac:dyDescent="0.2">
      <c r="A19" s="74">
        <v>6</v>
      </c>
      <c r="B19" s="75" t="s">
        <v>78</v>
      </c>
      <c r="C19" s="76">
        <v>257382</v>
      </c>
      <c r="D19" s="76">
        <v>275135</v>
      </c>
      <c r="E19" s="76">
        <f t="shared" si="0"/>
        <v>17753</v>
      </c>
      <c r="F19" s="77">
        <f t="shared" si="1"/>
        <v>6.8975297417845846E-2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25552</v>
      </c>
      <c r="D20" s="76">
        <v>443523</v>
      </c>
      <c r="E20" s="76">
        <f t="shared" si="0"/>
        <v>417971</v>
      </c>
      <c r="F20" s="77">
        <f t="shared" si="1"/>
        <v>16.357662805259864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65601353</v>
      </c>
      <c r="D21" s="79">
        <f>SUM(D18:D20)</f>
        <v>60352242</v>
      </c>
      <c r="E21" s="79">
        <f t="shared" si="0"/>
        <v>-5249111</v>
      </c>
      <c r="F21" s="80">
        <f t="shared" si="1"/>
        <v>-8.0015285660343008E-2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27169378</v>
      </c>
      <c r="D24" s="76">
        <v>26864410</v>
      </c>
      <c r="E24" s="76">
        <f t="shared" ref="E24:E33" si="2">D24-C24</f>
        <v>-304968</v>
      </c>
      <c r="F24" s="77">
        <f t="shared" ref="F24:F33" si="3">IF(C24=0,0,E24/C24)</f>
        <v>-1.1224695684972986E-2</v>
      </c>
    </row>
    <row r="25" spans="1:7" ht="23.1" customHeight="1" x14ac:dyDescent="0.2">
      <c r="A25" s="74">
        <v>2</v>
      </c>
      <c r="B25" s="75" t="s">
        <v>83</v>
      </c>
      <c r="C25" s="76">
        <v>6788404</v>
      </c>
      <c r="D25" s="76">
        <v>6251065</v>
      </c>
      <c r="E25" s="76">
        <f t="shared" si="2"/>
        <v>-537339</v>
      </c>
      <c r="F25" s="77">
        <f t="shared" si="3"/>
        <v>-7.9155424456175558E-2</v>
      </c>
    </row>
    <row r="26" spans="1:7" ht="23.1" customHeight="1" x14ac:dyDescent="0.2">
      <c r="A26" s="74">
        <v>3</v>
      </c>
      <c r="B26" s="75" t="s">
        <v>84</v>
      </c>
      <c r="C26" s="76">
        <v>1583778</v>
      </c>
      <c r="D26" s="76">
        <v>1855379</v>
      </c>
      <c r="E26" s="76">
        <f t="shared" si="2"/>
        <v>271601</v>
      </c>
      <c r="F26" s="77">
        <f t="shared" si="3"/>
        <v>0.17148931226472397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6460003</v>
      </c>
      <c r="D27" s="76">
        <v>8129251</v>
      </c>
      <c r="E27" s="76">
        <f t="shared" si="2"/>
        <v>1669248</v>
      </c>
      <c r="F27" s="77">
        <f t="shared" si="3"/>
        <v>0.25839740322102017</v>
      </c>
    </row>
    <row r="28" spans="1:7" ht="23.1" customHeight="1" x14ac:dyDescent="0.2">
      <c r="A28" s="74">
        <v>5</v>
      </c>
      <c r="B28" s="75" t="s">
        <v>86</v>
      </c>
      <c r="C28" s="76">
        <v>3178071</v>
      </c>
      <c r="D28" s="76">
        <v>3082027</v>
      </c>
      <c r="E28" s="76">
        <f t="shared" si="2"/>
        <v>-96044</v>
      </c>
      <c r="F28" s="77">
        <f t="shared" si="3"/>
        <v>-3.0220847803589034E-2</v>
      </c>
    </row>
    <row r="29" spans="1:7" ht="23.1" customHeight="1" x14ac:dyDescent="0.2">
      <c r="A29" s="74">
        <v>6</v>
      </c>
      <c r="B29" s="75" t="s">
        <v>87</v>
      </c>
      <c r="C29" s="76">
        <v>3564251</v>
      </c>
      <c r="D29" s="76">
        <v>0</v>
      </c>
      <c r="E29" s="76">
        <f t="shared" si="2"/>
        <v>-3564251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1495715</v>
      </c>
      <c r="D30" s="76">
        <v>1408245</v>
      </c>
      <c r="E30" s="76">
        <f t="shared" si="2"/>
        <v>-87470</v>
      </c>
      <c r="F30" s="77">
        <f t="shared" si="3"/>
        <v>-5.8480392320729553E-2</v>
      </c>
    </row>
    <row r="31" spans="1:7" ht="23.1" customHeight="1" x14ac:dyDescent="0.2">
      <c r="A31" s="74">
        <v>8</v>
      </c>
      <c r="B31" s="75" t="s">
        <v>89</v>
      </c>
      <c r="C31" s="76">
        <v>736725</v>
      </c>
      <c r="D31" s="76">
        <v>649270</v>
      </c>
      <c r="E31" s="76">
        <f t="shared" si="2"/>
        <v>-87455</v>
      </c>
      <c r="F31" s="77">
        <f t="shared" si="3"/>
        <v>-0.11870779463164681</v>
      </c>
    </row>
    <row r="32" spans="1:7" ht="23.1" customHeight="1" x14ac:dyDescent="0.2">
      <c r="A32" s="74">
        <v>9</v>
      </c>
      <c r="B32" s="75" t="s">
        <v>90</v>
      </c>
      <c r="C32" s="76">
        <v>15004733</v>
      </c>
      <c r="D32" s="76">
        <v>15338405</v>
      </c>
      <c r="E32" s="76">
        <f t="shared" si="2"/>
        <v>333672</v>
      </c>
      <c r="F32" s="77">
        <f t="shared" si="3"/>
        <v>2.223778323812893E-2</v>
      </c>
    </row>
    <row r="33" spans="1:6" ht="23.1" customHeight="1" x14ac:dyDescent="0.25">
      <c r="A33" s="71"/>
      <c r="B33" s="78" t="s">
        <v>91</v>
      </c>
      <c r="C33" s="79">
        <f>SUM(C24:C32)</f>
        <v>65981058</v>
      </c>
      <c r="D33" s="79">
        <f>SUM(D24:D32)</f>
        <v>63578052</v>
      </c>
      <c r="E33" s="79">
        <f t="shared" si="2"/>
        <v>-2403006</v>
      </c>
      <c r="F33" s="80">
        <f t="shared" si="3"/>
        <v>-3.6419634253212492E-2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-379705</v>
      </c>
      <c r="D35" s="79">
        <f>+D21-D33</f>
        <v>-3225810</v>
      </c>
      <c r="E35" s="79">
        <f>D35-C35</f>
        <v>-2846105</v>
      </c>
      <c r="F35" s="80">
        <f>IF(C35=0,0,E35/C35)</f>
        <v>7.4955689285102904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427261</v>
      </c>
      <c r="D38" s="76">
        <v>231079</v>
      </c>
      <c r="E38" s="76">
        <f>D38-C38</f>
        <v>-196182</v>
      </c>
      <c r="F38" s="77">
        <f>IF(C38=0,0,E38/C38)</f>
        <v>-0.45916196423263533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3200</v>
      </c>
      <c r="D40" s="76">
        <v>1200</v>
      </c>
      <c r="E40" s="76">
        <f>D40-C40</f>
        <v>-2000</v>
      </c>
      <c r="F40" s="77">
        <f>IF(C40=0,0,E40/C40)</f>
        <v>-0.625</v>
      </c>
    </row>
    <row r="41" spans="1:6" ht="23.1" customHeight="1" x14ac:dyDescent="0.25">
      <c r="A41" s="83"/>
      <c r="B41" s="78" t="s">
        <v>97</v>
      </c>
      <c r="C41" s="79">
        <f>SUM(C38:C40)</f>
        <v>430461</v>
      </c>
      <c r="D41" s="79">
        <f>SUM(D38:D40)</f>
        <v>232279</v>
      </c>
      <c r="E41" s="79">
        <f>D41-C41</f>
        <v>-198182</v>
      </c>
      <c r="F41" s="80">
        <f>IF(C41=0,0,E41/C41)</f>
        <v>-0.46039478605495038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50756</v>
      </c>
      <c r="D43" s="79">
        <f>D35+D41</f>
        <v>-2993531</v>
      </c>
      <c r="E43" s="79">
        <f>D43-C43</f>
        <v>-3044287</v>
      </c>
      <c r="F43" s="80">
        <f>IF(C43=0,0,E43/C43)</f>
        <v>-59.978859642209791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50756</v>
      </c>
      <c r="D50" s="79">
        <f>D43+D48</f>
        <v>-2993531</v>
      </c>
      <c r="E50" s="79">
        <f>D50-C50</f>
        <v>-3044287</v>
      </c>
      <c r="F50" s="80">
        <f>IF(C50=0,0,E50/C50)</f>
        <v>-59.978859642209791</v>
      </c>
    </row>
    <row r="51" spans="1:6" ht="23.1" customHeight="1" x14ac:dyDescent="0.2">
      <c r="A51" s="85"/>
      <c r="B51" s="75" t="s">
        <v>104</v>
      </c>
      <c r="C51" s="76">
        <v>437603</v>
      </c>
      <c r="D51" s="76">
        <v>231498</v>
      </c>
      <c r="E51" s="76">
        <f>D51-C51</f>
        <v>-206105</v>
      </c>
      <c r="F51" s="77">
        <f>IF(C51=0,0,E51/C51)</f>
        <v>-0.47098625923496867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31435866</v>
      </c>
      <c r="D14" s="113">
        <v>31499837</v>
      </c>
      <c r="E14" s="113">
        <f t="shared" ref="E14:E25" si="0">D14-C14</f>
        <v>63971</v>
      </c>
      <c r="F14" s="114">
        <f t="shared" ref="F14:F25" si="1">IF(C14=0,0,E14/C14)</f>
        <v>2.0349685928805015E-3</v>
      </c>
    </row>
    <row r="15" spans="1:6" x14ac:dyDescent="0.2">
      <c r="A15" s="115">
        <v>2</v>
      </c>
      <c r="B15" s="116" t="s">
        <v>114</v>
      </c>
      <c r="C15" s="113">
        <v>8288629</v>
      </c>
      <c r="D15" s="113">
        <v>8517807</v>
      </c>
      <c r="E15" s="113">
        <f t="shared" si="0"/>
        <v>229178</v>
      </c>
      <c r="F15" s="114">
        <f t="shared" si="1"/>
        <v>2.7649687300517371E-2</v>
      </c>
    </row>
    <row r="16" spans="1:6" x14ac:dyDescent="0.2">
      <c r="A16" s="115">
        <v>3</v>
      </c>
      <c r="B16" s="116" t="s">
        <v>115</v>
      </c>
      <c r="C16" s="113">
        <v>8496248</v>
      </c>
      <c r="D16" s="113">
        <v>8611611</v>
      </c>
      <c r="E16" s="113">
        <f t="shared" si="0"/>
        <v>115363</v>
      </c>
      <c r="F16" s="114">
        <f t="shared" si="1"/>
        <v>1.3578111185078401E-2</v>
      </c>
    </row>
    <row r="17" spans="1:6" x14ac:dyDescent="0.2">
      <c r="A17" s="115">
        <v>4</v>
      </c>
      <c r="B17" s="116" t="s">
        <v>116</v>
      </c>
      <c r="C17" s="113">
        <v>1492140</v>
      </c>
      <c r="D17" s="113">
        <v>0</v>
      </c>
      <c r="E17" s="113">
        <f t="shared" si="0"/>
        <v>-1492140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342847</v>
      </c>
      <c r="D18" s="113">
        <v>411547</v>
      </c>
      <c r="E18" s="113">
        <f t="shared" si="0"/>
        <v>68700</v>
      </c>
      <c r="F18" s="114">
        <f t="shared" si="1"/>
        <v>0.20038092793578477</v>
      </c>
    </row>
    <row r="19" spans="1:6" x14ac:dyDescent="0.2">
      <c r="A19" s="115">
        <v>6</v>
      </c>
      <c r="B19" s="116" t="s">
        <v>118</v>
      </c>
      <c r="C19" s="113">
        <v>650971</v>
      </c>
      <c r="D19" s="113">
        <v>421053</v>
      </c>
      <c r="E19" s="113">
        <f t="shared" si="0"/>
        <v>-229918</v>
      </c>
      <c r="F19" s="114">
        <f t="shared" si="1"/>
        <v>-0.35319238491422811</v>
      </c>
    </row>
    <row r="20" spans="1:6" x14ac:dyDescent="0.2">
      <c r="A20" s="115">
        <v>7</v>
      </c>
      <c r="B20" s="116" t="s">
        <v>119</v>
      </c>
      <c r="C20" s="113">
        <v>13621109</v>
      </c>
      <c r="D20" s="113">
        <v>12058303</v>
      </c>
      <c r="E20" s="113">
        <f t="shared" si="0"/>
        <v>-1562806</v>
      </c>
      <c r="F20" s="114">
        <f t="shared" si="1"/>
        <v>-0.11473412333753441</v>
      </c>
    </row>
    <row r="21" spans="1:6" x14ac:dyDescent="0.2">
      <c r="A21" s="115">
        <v>8</v>
      </c>
      <c r="B21" s="116" t="s">
        <v>120</v>
      </c>
      <c r="C21" s="113">
        <v>164923</v>
      </c>
      <c r="D21" s="113">
        <v>120679</v>
      </c>
      <c r="E21" s="113">
        <f t="shared" si="0"/>
        <v>-44244</v>
      </c>
      <c r="F21" s="114">
        <f t="shared" si="1"/>
        <v>-0.26827064751429452</v>
      </c>
    </row>
    <row r="22" spans="1:6" x14ac:dyDescent="0.2">
      <c r="A22" s="115">
        <v>9</v>
      </c>
      <c r="B22" s="116" t="s">
        <v>121</v>
      </c>
      <c r="C22" s="113">
        <v>1122051</v>
      </c>
      <c r="D22" s="113">
        <v>647359</v>
      </c>
      <c r="E22" s="113">
        <f t="shared" si="0"/>
        <v>-474692</v>
      </c>
      <c r="F22" s="114">
        <f t="shared" si="1"/>
        <v>-0.42305741895867477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65614784</v>
      </c>
      <c r="D25" s="119">
        <f>SUM(D14:D24)</f>
        <v>62288196</v>
      </c>
      <c r="E25" s="119">
        <f t="shared" si="0"/>
        <v>-3326588</v>
      </c>
      <c r="F25" s="120">
        <f t="shared" si="1"/>
        <v>-5.0698757158142899E-2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22226566</v>
      </c>
      <c r="D27" s="113">
        <v>27713669</v>
      </c>
      <c r="E27" s="113">
        <f t="shared" ref="E27:E38" si="2">D27-C27</f>
        <v>5487103</v>
      </c>
      <c r="F27" s="114">
        <f t="shared" ref="F27:F38" si="3">IF(C27=0,0,E27/C27)</f>
        <v>0.2468713790515368</v>
      </c>
    </row>
    <row r="28" spans="1:6" x14ac:dyDescent="0.2">
      <c r="A28" s="115">
        <v>2</v>
      </c>
      <c r="B28" s="116" t="s">
        <v>114</v>
      </c>
      <c r="C28" s="113">
        <v>7013892</v>
      </c>
      <c r="D28" s="113">
        <v>8312067</v>
      </c>
      <c r="E28" s="113">
        <f t="shared" si="2"/>
        <v>1298175</v>
      </c>
      <c r="F28" s="114">
        <f t="shared" si="3"/>
        <v>0.185086254535998</v>
      </c>
    </row>
    <row r="29" spans="1:6" x14ac:dyDescent="0.2">
      <c r="A29" s="115">
        <v>3</v>
      </c>
      <c r="B29" s="116" t="s">
        <v>115</v>
      </c>
      <c r="C29" s="113">
        <v>12129986</v>
      </c>
      <c r="D29" s="113">
        <v>17040706</v>
      </c>
      <c r="E29" s="113">
        <f t="shared" si="2"/>
        <v>4910720</v>
      </c>
      <c r="F29" s="114">
        <f t="shared" si="3"/>
        <v>0.40484135760750262</v>
      </c>
    </row>
    <row r="30" spans="1:6" x14ac:dyDescent="0.2">
      <c r="A30" s="115">
        <v>4</v>
      </c>
      <c r="B30" s="116" t="s">
        <v>116</v>
      </c>
      <c r="C30" s="113">
        <v>2122969</v>
      </c>
      <c r="D30" s="113">
        <v>0</v>
      </c>
      <c r="E30" s="113">
        <f t="shared" si="2"/>
        <v>-2122969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542027</v>
      </c>
      <c r="D31" s="113">
        <v>562072</v>
      </c>
      <c r="E31" s="113">
        <f t="shared" si="2"/>
        <v>20045</v>
      </c>
      <c r="F31" s="114">
        <f t="shared" si="3"/>
        <v>3.6981552579484045E-2</v>
      </c>
    </row>
    <row r="32" spans="1:6" x14ac:dyDescent="0.2">
      <c r="A32" s="115">
        <v>6</v>
      </c>
      <c r="B32" s="116" t="s">
        <v>118</v>
      </c>
      <c r="C32" s="113">
        <v>1612386</v>
      </c>
      <c r="D32" s="113">
        <v>1317297</v>
      </c>
      <c r="E32" s="113">
        <f t="shared" si="2"/>
        <v>-295089</v>
      </c>
      <c r="F32" s="114">
        <f t="shared" si="3"/>
        <v>-0.18301386888747484</v>
      </c>
    </row>
    <row r="33" spans="1:6" x14ac:dyDescent="0.2">
      <c r="A33" s="115">
        <v>7</v>
      </c>
      <c r="B33" s="116" t="s">
        <v>119</v>
      </c>
      <c r="C33" s="113">
        <v>36870444</v>
      </c>
      <c r="D33" s="113">
        <v>37804949</v>
      </c>
      <c r="E33" s="113">
        <f t="shared" si="2"/>
        <v>934505</v>
      </c>
      <c r="F33" s="114">
        <f t="shared" si="3"/>
        <v>2.5345639992835452E-2</v>
      </c>
    </row>
    <row r="34" spans="1:6" x14ac:dyDescent="0.2">
      <c r="A34" s="115">
        <v>8</v>
      </c>
      <c r="B34" s="116" t="s">
        <v>120</v>
      </c>
      <c r="C34" s="113">
        <v>2475667</v>
      </c>
      <c r="D34" s="113">
        <v>2201990</v>
      </c>
      <c r="E34" s="113">
        <f t="shared" si="2"/>
        <v>-273677</v>
      </c>
      <c r="F34" s="114">
        <f t="shared" si="3"/>
        <v>-0.11054677385932761</v>
      </c>
    </row>
    <row r="35" spans="1:6" x14ac:dyDescent="0.2">
      <c r="A35" s="115">
        <v>9</v>
      </c>
      <c r="B35" s="116" t="s">
        <v>121</v>
      </c>
      <c r="C35" s="113">
        <v>2070919</v>
      </c>
      <c r="D35" s="113">
        <v>1890367</v>
      </c>
      <c r="E35" s="113">
        <f t="shared" si="2"/>
        <v>-180552</v>
      </c>
      <c r="F35" s="114">
        <f t="shared" si="3"/>
        <v>-8.7184481865297481E-2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87064856</v>
      </c>
      <c r="D38" s="119">
        <f>SUM(D27:D37)</f>
        <v>96843117</v>
      </c>
      <c r="E38" s="119">
        <f t="shared" si="2"/>
        <v>9778261</v>
      </c>
      <c r="F38" s="120">
        <f t="shared" si="3"/>
        <v>0.11231008065987039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53662432</v>
      </c>
      <c r="D41" s="119">
        <f t="shared" si="4"/>
        <v>59213506</v>
      </c>
      <c r="E41" s="123">
        <f t="shared" ref="E41:E52" si="5">D41-C41</f>
        <v>5551074</v>
      </c>
      <c r="F41" s="124">
        <f t="shared" ref="F41:F52" si="6">IF(C41=0,0,E41/C41)</f>
        <v>0.1034443239546057</v>
      </c>
    </row>
    <row r="42" spans="1:6" ht="15.75" x14ac:dyDescent="0.25">
      <c r="A42" s="121">
        <v>2</v>
      </c>
      <c r="B42" s="122" t="s">
        <v>114</v>
      </c>
      <c r="C42" s="119">
        <f t="shared" si="4"/>
        <v>15302521</v>
      </c>
      <c r="D42" s="119">
        <f t="shared" si="4"/>
        <v>16829874</v>
      </c>
      <c r="E42" s="123">
        <f t="shared" si="5"/>
        <v>1527353</v>
      </c>
      <c r="F42" s="124">
        <f t="shared" si="6"/>
        <v>9.981054755618371E-2</v>
      </c>
    </row>
    <row r="43" spans="1:6" ht="15.75" x14ac:dyDescent="0.25">
      <c r="A43" s="121">
        <v>3</v>
      </c>
      <c r="B43" s="122" t="s">
        <v>115</v>
      </c>
      <c r="C43" s="119">
        <f t="shared" si="4"/>
        <v>20626234</v>
      </c>
      <c r="D43" s="119">
        <f t="shared" si="4"/>
        <v>25652317</v>
      </c>
      <c r="E43" s="123">
        <f t="shared" si="5"/>
        <v>5026083</v>
      </c>
      <c r="F43" s="124">
        <f t="shared" si="6"/>
        <v>0.24367429362044471</v>
      </c>
    </row>
    <row r="44" spans="1:6" ht="15.75" x14ac:dyDescent="0.25">
      <c r="A44" s="121">
        <v>4</v>
      </c>
      <c r="B44" s="122" t="s">
        <v>116</v>
      </c>
      <c r="C44" s="119">
        <f t="shared" si="4"/>
        <v>3615109</v>
      </c>
      <c r="D44" s="119">
        <f t="shared" si="4"/>
        <v>0</v>
      </c>
      <c r="E44" s="123">
        <f t="shared" si="5"/>
        <v>-3615109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884874</v>
      </c>
      <c r="D45" s="119">
        <f t="shared" si="4"/>
        <v>973619</v>
      </c>
      <c r="E45" s="123">
        <f t="shared" si="5"/>
        <v>88745</v>
      </c>
      <c r="F45" s="124">
        <f t="shared" si="6"/>
        <v>0.10029111489319384</v>
      </c>
    </row>
    <row r="46" spans="1:6" ht="15.75" x14ac:dyDescent="0.25">
      <c r="A46" s="121">
        <v>6</v>
      </c>
      <c r="B46" s="122" t="s">
        <v>118</v>
      </c>
      <c r="C46" s="119">
        <f t="shared" si="4"/>
        <v>2263357</v>
      </c>
      <c r="D46" s="119">
        <f t="shared" si="4"/>
        <v>1738350</v>
      </c>
      <c r="E46" s="123">
        <f t="shared" si="5"/>
        <v>-525007</v>
      </c>
      <c r="F46" s="124">
        <f t="shared" si="6"/>
        <v>-0.23195943017385237</v>
      </c>
    </row>
    <row r="47" spans="1:6" ht="15.75" x14ac:dyDescent="0.25">
      <c r="A47" s="121">
        <v>7</v>
      </c>
      <c r="B47" s="122" t="s">
        <v>119</v>
      </c>
      <c r="C47" s="119">
        <f t="shared" si="4"/>
        <v>50491553</v>
      </c>
      <c r="D47" s="119">
        <f t="shared" si="4"/>
        <v>49863252</v>
      </c>
      <c r="E47" s="123">
        <f t="shared" si="5"/>
        <v>-628301</v>
      </c>
      <c r="F47" s="124">
        <f t="shared" si="6"/>
        <v>-1.2443685382384653E-2</v>
      </c>
    </row>
    <row r="48" spans="1:6" ht="15.75" x14ac:dyDescent="0.25">
      <c r="A48" s="121">
        <v>8</v>
      </c>
      <c r="B48" s="122" t="s">
        <v>120</v>
      </c>
      <c r="C48" s="119">
        <f t="shared" si="4"/>
        <v>2640590</v>
      </c>
      <c r="D48" s="119">
        <f t="shared" si="4"/>
        <v>2322669</v>
      </c>
      <c r="E48" s="123">
        <f t="shared" si="5"/>
        <v>-317921</v>
      </c>
      <c r="F48" s="124">
        <f t="shared" si="6"/>
        <v>-0.1203977141472171</v>
      </c>
    </row>
    <row r="49" spans="1:6" ht="15.75" x14ac:dyDescent="0.25">
      <c r="A49" s="121">
        <v>9</v>
      </c>
      <c r="B49" s="122" t="s">
        <v>121</v>
      </c>
      <c r="C49" s="119">
        <f t="shared" si="4"/>
        <v>3192970</v>
      </c>
      <c r="D49" s="119">
        <f t="shared" si="4"/>
        <v>2537726</v>
      </c>
      <c r="E49" s="123">
        <f t="shared" si="5"/>
        <v>-655244</v>
      </c>
      <c r="F49" s="124">
        <f t="shared" si="6"/>
        <v>-0.20521458078215579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152679640</v>
      </c>
      <c r="D52" s="128">
        <f>SUM(D41:D51)</f>
        <v>159131313</v>
      </c>
      <c r="E52" s="127">
        <f t="shared" si="5"/>
        <v>6451673</v>
      </c>
      <c r="F52" s="129">
        <f t="shared" si="6"/>
        <v>4.2256275951397318E-2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10737352</v>
      </c>
      <c r="D57" s="113">
        <v>10612108</v>
      </c>
      <c r="E57" s="113">
        <f t="shared" ref="E57:E68" si="7">D57-C57</f>
        <v>-125244</v>
      </c>
      <c r="F57" s="114">
        <f t="shared" ref="F57:F68" si="8">IF(C57=0,0,E57/C57)</f>
        <v>-1.1664328411697782E-2</v>
      </c>
    </row>
    <row r="58" spans="1:6" x14ac:dyDescent="0.2">
      <c r="A58" s="115">
        <v>2</v>
      </c>
      <c r="B58" s="116" t="s">
        <v>114</v>
      </c>
      <c r="C58" s="113">
        <v>4275568</v>
      </c>
      <c r="D58" s="113">
        <v>2896952</v>
      </c>
      <c r="E58" s="113">
        <f t="shared" si="7"/>
        <v>-1378616</v>
      </c>
      <c r="F58" s="114">
        <f t="shared" si="8"/>
        <v>-0.3224404336453075</v>
      </c>
    </row>
    <row r="59" spans="1:6" x14ac:dyDescent="0.2">
      <c r="A59" s="115">
        <v>3</v>
      </c>
      <c r="B59" s="116" t="s">
        <v>115</v>
      </c>
      <c r="C59" s="113">
        <v>2977074</v>
      </c>
      <c r="D59" s="113">
        <v>1929397</v>
      </c>
      <c r="E59" s="113">
        <f t="shared" si="7"/>
        <v>-1047677</v>
      </c>
      <c r="F59" s="114">
        <f t="shared" si="8"/>
        <v>-0.35191500110511192</v>
      </c>
    </row>
    <row r="60" spans="1:6" x14ac:dyDescent="0.2">
      <c r="A60" s="115">
        <v>4</v>
      </c>
      <c r="B60" s="116" t="s">
        <v>116</v>
      </c>
      <c r="C60" s="113">
        <v>408364</v>
      </c>
      <c r="D60" s="113">
        <v>0</v>
      </c>
      <c r="E60" s="113">
        <f t="shared" si="7"/>
        <v>-408364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152368</v>
      </c>
      <c r="D61" s="113">
        <v>159823</v>
      </c>
      <c r="E61" s="113">
        <f t="shared" si="7"/>
        <v>7455</v>
      </c>
      <c r="F61" s="114">
        <f t="shared" si="8"/>
        <v>4.8927596345689384E-2</v>
      </c>
    </row>
    <row r="62" spans="1:6" x14ac:dyDescent="0.2">
      <c r="A62" s="115">
        <v>6</v>
      </c>
      <c r="B62" s="116" t="s">
        <v>118</v>
      </c>
      <c r="C62" s="113">
        <v>478514</v>
      </c>
      <c r="D62" s="113">
        <v>342989</v>
      </c>
      <c r="E62" s="113">
        <f t="shared" si="7"/>
        <v>-135525</v>
      </c>
      <c r="F62" s="114">
        <f t="shared" si="8"/>
        <v>-0.28322055363061477</v>
      </c>
    </row>
    <row r="63" spans="1:6" x14ac:dyDescent="0.2">
      <c r="A63" s="115">
        <v>7</v>
      </c>
      <c r="B63" s="116" t="s">
        <v>119</v>
      </c>
      <c r="C63" s="113">
        <v>7909766</v>
      </c>
      <c r="D63" s="113">
        <v>6664380</v>
      </c>
      <c r="E63" s="113">
        <f t="shared" si="7"/>
        <v>-1245386</v>
      </c>
      <c r="F63" s="114">
        <f t="shared" si="8"/>
        <v>-0.15744915842011004</v>
      </c>
    </row>
    <row r="64" spans="1:6" x14ac:dyDescent="0.2">
      <c r="A64" s="115">
        <v>8</v>
      </c>
      <c r="B64" s="116" t="s">
        <v>120</v>
      </c>
      <c r="C64" s="113">
        <v>87647</v>
      </c>
      <c r="D64" s="113">
        <v>104548</v>
      </c>
      <c r="E64" s="113">
        <f t="shared" si="7"/>
        <v>16901</v>
      </c>
      <c r="F64" s="114">
        <f t="shared" si="8"/>
        <v>0.19283033075861125</v>
      </c>
    </row>
    <row r="65" spans="1:6" x14ac:dyDescent="0.2">
      <c r="A65" s="115">
        <v>9</v>
      </c>
      <c r="B65" s="116" t="s">
        <v>121</v>
      </c>
      <c r="C65" s="113">
        <v>14045</v>
      </c>
      <c r="D65" s="113">
        <v>100</v>
      </c>
      <c r="E65" s="113">
        <f t="shared" si="7"/>
        <v>-13945</v>
      </c>
      <c r="F65" s="114">
        <f t="shared" si="8"/>
        <v>-0.9928800284798861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27040698</v>
      </c>
      <c r="D68" s="119">
        <f>SUM(D57:D67)</f>
        <v>22710297</v>
      </c>
      <c r="E68" s="119">
        <f t="shared" si="7"/>
        <v>-4330401</v>
      </c>
      <c r="F68" s="120">
        <f t="shared" si="8"/>
        <v>-0.16014383208599128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6028770</v>
      </c>
      <c r="D70" s="113">
        <v>6895988</v>
      </c>
      <c r="E70" s="113">
        <f t="shared" ref="E70:E81" si="9">D70-C70</f>
        <v>867218</v>
      </c>
      <c r="F70" s="114">
        <f t="shared" ref="F70:F81" si="10">IF(C70=0,0,E70/C70)</f>
        <v>0.14384658893936905</v>
      </c>
    </row>
    <row r="71" spans="1:6" x14ac:dyDescent="0.2">
      <c r="A71" s="115">
        <v>2</v>
      </c>
      <c r="B71" s="116" t="s">
        <v>114</v>
      </c>
      <c r="C71" s="113">
        <v>3628043</v>
      </c>
      <c r="D71" s="113">
        <v>2047200</v>
      </c>
      <c r="E71" s="113">
        <f t="shared" si="9"/>
        <v>-1580843</v>
      </c>
      <c r="F71" s="114">
        <f t="shared" si="10"/>
        <v>-0.43572884885873736</v>
      </c>
    </row>
    <row r="72" spans="1:6" x14ac:dyDescent="0.2">
      <c r="A72" s="115">
        <v>3</v>
      </c>
      <c r="B72" s="116" t="s">
        <v>115</v>
      </c>
      <c r="C72" s="113">
        <v>2392306</v>
      </c>
      <c r="D72" s="113">
        <v>4033829</v>
      </c>
      <c r="E72" s="113">
        <f t="shared" si="9"/>
        <v>1641523</v>
      </c>
      <c r="F72" s="114">
        <f t="shared" si="10"/>
        <v>0.68616765580991734</v>
      </c>
    </row>
    <row r="73" spans="1:6" x14ac:dyDescent="0.2">
      <c r="A73" s="115">
        <v>4</v>
      </c>
      <c r="B73" s="116" t="s">
        <v>116</v>
      </c>
      <c r="C73" s="113">
        <v>1318507</v>
      </c>
      <c r="D73" s="113">
        <v>0</v>
      </c>
      <c r="E73" s="113">
        <f t="shared" si="9"/>
        <v>-1318507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157690</v>
      </c>
      <c r="D74" s="113">
        <v>171552</v>
      </c>
      <c r="E74" s="113">
        <f t="shared" si="9"/>
        <v>13862</v>
      </c>
      <c r="F74" s="114">
        <f t="shared" si="10"/>
        <v>8.7906652292472576E-2</v>
      </c>
    </row>
    <row r="75" spans="1:6" x14ac:dyDescent="0.2">
      <c r="A75" s="115">
        <v>6</v>
      </c>
      <c r="B75" s="116" t="s">
        <v>118</v>
      </c>
      <c r="C75" s="113">
        <v>1182046</v>
      </c>
      <c r="D75" s="113">
        <v>725985</v>
      </c>
      <c r="E75" s="113">
        <f t="shared" si="9"/>
        <v>-456061</v>
      </c>
      <c r="F75" s="114">
        <f t="shared" si="10"/>
        <v>-0.38582339435182728</v>
      </c>
    </row>
    <row r="76" spans="1:6" x14ac:dyDescent="0.2">
      <c r="A76" s="115">
        <v>7</v>
      </c>
      <c r="B76" s="116" t="s">
        <v>119</v>
      </c>
      <c r="C76" s="113">
        <v>19533782</v>
      </c>
      <c r="D76" s="113">
        <v>19585686</v>
      </c>
      <c r="E76" s="113">
        <f t="shared" si="9"/>
        <v>51904</v>
      </c>
      <c r="F76" s="114">
        <f t="shared" si="10"/>
        <v>2.657140332578709E-3</v>
      </c>
    </row>
    <row r="77" spans="1:6" x14ac:dyDescent="0.2">
      <c r="A77" s="115">
        <v>8</v>
      </c>
      <c r="B77" s="116" t="s">
        <v>120</v>
      </c>
      <c r="C77" s="113">
        <v>1449734</v>
      </c>
      <c r="D77" s="113">
        <v>1361759</v>
      </c>
      <c r="E77" s="113">
        <f t="shared" si="9"/>
        <v>-87975</v>
      </c>
      <c r="F77" s="114">
        <f t="shared" si="10"/>
        <v>-6.0683546085005938E-2</v>
      </c>
    </row>
    <row r="78" spans="1:6" x14ac:dyDescent="0.2">
      <c r="A78" s="115">
        <v>9</v>
      </c>
      <c r="B78" s="116" t="s">
        <v>121</v>
      </c>
      <c r="C78" s="113">
        <v>108242</v>
      </c>
      <c r="D78" s="113">
        <v>95389</v>
      </c>
      <c r="E78" s="113">
        <f t="shared" si="9"/>
        <v>-12853</v>
      </c>
      <c r="F78" s="114">
        <f t="shared" si="10"/>
        <v>-0.11874318656344118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35799120</v>
      </c>
      <c r="D81" s="119">
        <f>SUM(D70:D80)</f>
        <v>34917388</v>
      </c>
      <c r="E81" s="119">
        <f t="shared" si="9"/>
        <v>-881732</v>
      </c>
      <c r="F81" s="120">
        <f t="shared" si="10"/>
        <v>-2.4629990904804364E-2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16766122</v>
      </c>
      <c r="D84" s="119">
        <f t="shared" si="11"/>
        <v>17508096</v>
      </c>
      <c r="E84" s="119">
        <f t="shared" ref="E84:E95" si="12">D84-C84</f>
        <v>741974</v>
      </c>
      <c r="F84" s="120">
        <f t="shared" ref="F84:F95" si="13">IF(C84=0,0,E84/C84)</f>
        <v>4.4254360072054827E-2</v>
      </c>
    </row>
    <row r="85" spans="1:6" ht="15.75" x14ac:dyDescent="0.25">
      <c r="A85" s="130">
        <v>2</v>
      </c>
      <c r="B85" s="122" t="s">
        <v>114</v>
      </c>
      <c r="C85" s="119">
        <f t="shared" si="11"/>
        <v>7903611</v>
      </c>
      <c r="D85" s="119">
        <f t="shared" si="11"/>
        <v>4944152</v>
      </c>
      <c r="E85" s="119">
        <f t="shared" si="12"/>
        <v>-2959459</v>
      </c>
      <c r="F85" s="120">
        <f t="shared" si="13"/>
        <v>-0.37444390924603954</v>
      </c>
    </row>
    <row r="86" spans="1:6" ht="15.75" x14ac:dyDescent="0.25">
      <c r="A86" s="130">
        <v>3</v>
      </c>
      <c r="B86" s="122" t="s">
        <v>115</v>
      </c>
      <c r="C86" s="119">
        <f t="shared" si="11"/>
        <v>5369380</v>
      </c>
      <c r="D86" s="119">
        <f t="shared" si="11"/>
        <v>5963226</v>
      </c>
      <c r="E86" s="119">
        <f t="shared" si="12"/>
        <v>593846</v>
      </c>
      <c r="F86" s="120">
        <f t="shared" si="13"/>
        <v>0.11059861660005438</v>
      </c>
    </row>
    <row r="87" spans="1:6" ht="15.75" x14ac:dyDescent="0.25">
      <c r="A87" s="130">
        <v>4</v>
      </c>
      <c r="B87" s="122" t="s">
        <v>116</v>
      </c>
      <c r="C87" s="119">
        <f t="shared" si="11"/>
        <v>1726871</v>
      </c>
      <c r="D87" s="119">
        <f t="shared" si="11"/>
        <v>0</v>
      </c>
      <c r="E87" s="119">
        <f t="shared" si="12"/>
        <v>-1726871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310058</v>
      </c>
      <c r="D88" s="119">
        <f t="shared" si="11"/>
        <v>331375</v>
      </c>
      <c r="E88" s="119">
        <f t="shared" si="12"/>
        <v>21317</v>
      </c>
      <c r="F88" s="120">
        <f t="shared" si="13"/>
        <v>6.8751652916551095E-2</v>
      </c>
    </row>
    <row r="89" spans="1:6" ht="15.75" x14ac:dyDescent="0.25">
      <c r="A89" s="130">
        <v>6</v>
      </c>
      <c r="B89" s="122" t="s">
        <v>118</v>
      </c>
      <c r="C89" s="119">
        <f t="shared" si="11"/>
        <v>1660560</v>
      </c>
      <c r="D89" s="119">
        <f t="shared" si="11"/>
        <v>1068974</v>
      </c>
      <c r="E89" s="119">
        <f t="shared" si="12"/>
        <v>-591586</v>
      </c>
      <c r="F89" s="120">
        <f t="shared" si="13"/>
        <v>-0.35625692537457243</v>
      </c>
    </row>
    <row r="90" spans="1:6" ht="15.75" x14ac:dyDescent="0.25">
      <c r="A90" s="130">
        <v>7</v>
      </c>
      <c r="B90" s="122" t="s">
        <v>119</v>
      </c>
      <c r="C90" s="119">
        <f t="shared" si="11"/>
        <v>27443548</v>
      </c>
      <c r="D90" s="119">
        <f t="shared" si="11"/>
        <v>26250066</v>
      </c>
      <c r="E90" s="119">
        <f t="shared" si="12"/>
        <v>-1193482</v>
      </c>
      <c r="F90" s="120">
        <f t="shared" si="13"/>
        <v>-4.3488618891405734E-2</v>
      </c>
    </row>
    <row r="91" spans="1:6" ht="15.75" x14ac:dyDescent="0.25">
      <c r="A91" s="130">
        <v>8</v>
      </c>
      <c r="B91" s="122" t="s">
        <v>120</v>
      </c>
      <c r="C91" s="119">
        <f t="shared" si="11"/>
        <v>1537381</v>
      </c>
      <c r="D91" s="119">
        <f t="shared" si="11"/>
        <v>1466307</v>
      </c>
      <c r="E91" s="119">
        <f t="shared" si="12"/>
        <v>-71074</v>
      </c>
      <c r="F91" s="120">
        <f t="shared" si="13"/>
        <v>-4.6230570040868203E-2</v>
      </c>
    </row>
    <row r="92" spans="1:6" ht="15.75" x14ac:dyDescent="0.25">
      <c r="A92" s="130">
        <v>9</v>
      </c>
      <c r="B92" s="122" t="s">
        <v>121</v>
      </c>
      <c r="C92" s="119">
        <f t="shared" si="11"/>
        <v>122287</v>
      </c>
      <c r="D92" s="119">
        <f t="shared" si="11"/>
        <v>95489</v>
      </c>
      <c r="E92" s="119">
        <f t="shared" si="12"/>
        <v>-26798</v>
      </c>
      <c r="F92" s="120">
        <f t="shared" si="13"/>
        <v>-0.21914021932012398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62839818</v>
      </c>
      <c r="D95" s="128">
        <f>SUM(D84:D94)</f>
        <v>57627685</v>
      </c>
      <c r="E95" s="128">
        <f t="shared" si="12"/>
        <v>-5212133</v>
      </c>
      <c r="F95" s="129">
        <f t="shared" si="13"/>
        <v>-8.294315874689516E-2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1271</v>
      </c>
      <c r="D100" s="133">
        <v>1301</v>
      </c>
      <c r="E100" s="133">
        <f t="shared" ref="E100:E111" si="14">D100-C100</f>
        <v>30</v>
      </c>
      <c r="F100" s="114">
        <f t="shared" ref="F100:F111" si="15">IF(C100=0,0,E100/C100)</f>
        <v>2.3603461841070025E-2</v>
      </c>
    </row>
    <row r="101" spans="1:6" x14ac:dyDescent="0.2">
      <c r="A101" s="115">
        <v>2</v>
      </c>
      <c r="B101" s="116" t="s">
        <v>114</v>
      </c>
      <c r="C101" s="133">
        <v>330</v>
      </c>
      <c r="D101" s="133">
        <v>332</v>
      </c>
      <c r="E101" s="133">
        <f t="shared" si="14"/>
        <v>2</v>
      </c>
      <c r="F101" s="114">
        <f t="shared" si="15"/>
        <v>6.0606060606060606E-3</v>
      </c>
    </row>
    <row r="102" spans="1:6" x14ac:dyDescent="0.2">
      <c r="A102" s="115">
        <v>3</v>
      </c>
      <c r="B102" s="116" t="s">
        <v>115</v>
      </c>
      <c r="C102" s="133">
        <v>539</v>
      </c>
      <c r="D102" s="133">
        <v>581</v>
      </c>
      <c r="E102" s="133">
        <f t="shared" si="14"/>
        <v>42</v>
      </c>
      <c r="F102" s="114">
        <f t="shared" si="15"/>
        <v>7.792207792207792E-2</v>
      </c>
    </row>
    <row r="103" spans="1:6" x14ac:dyDescent="0.2">
      <c r="A103" s="115">
        <v>4</v>
      </c>
      <c r="B103" s="116" t="s">
        <v>116</v>
      </c>
      <c r="C103" s="133">
        <v>107</v>
      </c>
      <c r="D103" s="133">
        <v>0</v>
      </c>
      <c r="E103" s="133">
        <f t="shared" si="14"/>
        <v>-107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19</v>
      </c>
      <c r="D104" s="133">
        <v>29</v>
      </c>
      <c r="E104" s="133">
        <f t="shared" si="14"/>
        <v>10</v>
      </c>
      <c r="F104" s="114">
        <f t="shared" si="15"/>
        <v>0.52631578947368418</v>
      </c>
    </row>
    <row r="105" spans="1:6" x14ac:dyDescent="0.2">
      <c r="A105" s="115">
        <v>6</v>
      </c>
      <c r="B105" s="116" t="s">
        <v>118</v>
      </c>
      <c r="C105" s="133">
        <v>43</v>
      </c>
      <c r="D105" s="133">
        <v>32</v>
      </c>
      <c r="E105" s="133">
        <f t="shared" si="14"/>
        <v>-11</v>
      </c>
      <c r="F105" s="114">
        <f t="shared" si="15"/>
        <v>-0.2558139534883721</v>
      </c>
    </row>
    <row r="106" spans="1:6" x14ac:dyDescent="0.2">
      <c r="A106" s="115">
        <v>7</v>
      </c>
      <c r="B106" s="116" t="s">
        <v>119</v>
      </c>
      <c r="C106" s="133">
        <v>858</v>
      </c>
      <c r="D106" s="133">
        <v>811</v>
      </c>
      <c r="E106" s="133">
        <f t="shared" si="14"/>
        <v>-47</v>
      </c>
      <c r="F106" s="114">
        <f t="shared" si="15"/>
        <v>-5.4778554778554776E-2</v>
      </c>
    </row>
    <row r="107" spans="1:6" x14ac:dyDescent="0.2">
      <c r="A107" s="115">
        <v>8</v>
      </c>
      <c r="B107" s="116" t="s">
        <v>120</v>
      </c>
      <c r="C107" s="133">
        <v>8</v>
      </c>
      <c r="D107" s="133">
        <v>5</v>
      </c>
      <c r="E107" s="133">
        <f t="shared" si="14"/>
        <v>-3</v>
      </c>
      <c r="F107" s="114">
        <f t="shared" si="15"/>
        <v>-0.375</v>
      </c>
    </row>
    <row r="108" spans="1:6" x14ac:dyDescent="0.2">
      <c r="A108" s="115">
        <v>9</v>
      </c>
      <c r="B108" s="116" t="s">
        <v>121</v>
      </c>
      <c r="C108" s="133">
        <v>76</v>
      </c>
      <c r="D108" s="133">
        <v>48</v>
      </c>
      <c r="E108" s="133">
        <f t="shared" si="14"/>
        <v>-28</v>
      </c>
      <c r="F108" s="114">
        <f t="shared" si="15"/>
        <v>-0.36842105263157893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3251</v>
      </c>
      <c r="D111" s="134">
        <f>SUM(D100:D110)</f>
        <v>3139</v>
      </c>
      <c r="E111" s="134">
        <f t="shared" si="14"/>
        <v>-112</v>
      </c>
      <c r="F111" s="120">
        <f t="shared" si="15"/>
        <v>-3.4450938172869885E-2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7475</v>
      </c>
      <c r="D113" s="133">
        <v>7883</v>
      </c>
      <c r="E113" s="133">
        <f t="shared" ref="E113:E124" si="16">D113-C113</f>
        <v>408</v>
      </c>
      <c r="F113" s="114">
        <f t="shared" ref="F113:F124" si="17">IF(C113=0,0,E113/C113)</f>
        <v>5.4581939799331104E-2</v>
      </c>
    </row>
    <row r="114" spans="1:6" x14ac:dyDescent="0.2">
      <c r="A114" s="115">
        <v>2</v>
      </c>
      <c r="B114" s="116" t="s">
        <v>114</v>
      </c>
      <c r="C114" s="133">
        <v>1767</v>
      </c>
      <c r="D114" s="133">
        <v>1862</v>
      </c>
      <c r="E114" s="133">
        <f t="shared" si="16"/>
        <v>95</v>
      </c>
      <c r="F114" s="114">
        <f t="shared" si="17"/>
        <v>5.3763440860215055E-2</v>
      </c>
    </row>
    <row r="115" spans="1:6" x14ac:dyDescent="0.2">
      <c r="A115" s="115">
        <v>3</v>
      </c>
      <c r="B115" s="116" t="s">
        <v>115</v>
      </c>
      <c r="C115" s="133">
        <v>2426</v>
      </c>
      <c r="D115" s="133">
        <v>2623</v>
      </c>
      <c r="E115" s="133">
        <f t="shared" si="16"/>
        <v>197</v>
      </c>
      <c r="F115" s="114">
        <f t="shared" si="17"/>
        <v>8.1203627370156642E-2</v>
      </c>
    </row>
    <row r="116" spans="1:6" x14ac:dyDescent="0.2">
      <c r="A116" s="115">
        <v>4</v>
      </c>
      <c r="B116" s="116" t="s">
        <v>116</v>
      </c>
      <c r="C116" s="133">
        <v>478</v>
      </c>
      <c r="D116" s="133">
        <v>0</v>
      </c>
      <c r="E116" s="133">
        <f t="shared" si="16"/>
        <v>-478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92</v>
      </c>
      <c r="D117" s="133">
        <v>112</v>
      </c>
      <c r="E117" s="133">
        <f t="shared" si="16"/>
        <v>20</v>
      </c>
      <c r="F117" s="114">
        <f t="shared" si="17"/>
        <v>0.21739130434782608</v>
      </c>
    </row>
    <row r="118" spans="1:6" x14ac:dyDescent="0.2">
      <c r="A118" s="115">
        <v>6</v>
      </c>
      <c r="B118" s="116" t="s">
        <v>118</v>
      </c>
      <c r="C118" s="133">
        <v>190</v>
      </c>
      <c r="D118" s="133">
        <v>189</v>
      </c>
      <c r="E118" s="133">
        <f t="shared" si="16"/>
        <v>-1</v>
      </c>
      <c r="F118" s="114">
        <f t="shared" si="17"/>
        <v>-5.263157894736842E-3</v>
      </c>
    </row>
    <row r="119" spans="1:6" x14ac:dyDescent="0.2">
      <c r="A119" s="115">
        <v>7</v>
      </c>
      <c r="B119" s="116" t="s">
        <v>119</v>
      </c>
      <c r="C119" s="133">
        <v>3417</v>
      </c>
      <c r="D119" s="133">
        <v>3263</v>
      </c>
      <c r="E119" s="133">
        <f t="shared" si="16"/>
        <v>-154</v>
      </c>
      <c r="F119" s="114">
        <f t="shared" si="17"/>
        <v>-4.5068773778167981E-2</v>
      </c>
    </row>
    <row r="120" spans="1:6" x14ac:dyDescent="0.2">
      <c r="A120" s="115">
        <v>8</v>
      </c>
      <c r="B120" s="116" t="s">
        <v>120</v>
      </c>
      <c r="C120" s="133">
        <v>26</v>
      </c>
      <c r="D120" s="133">
        <v>18</v>
      </c>
      <c r="E120" s="133">
        <f t="shared" si="16"/>
        <v>-8</v>
      </c>
      <c r="F120" s="114">
        <f t="shared" si="17"/>
        <v>-0.30769230769230771</v>
      </c>
    </row>
    <row r="121" spans="1:6" x14ac:dyDescent="0.2">
      <c r="A121" s="115">
        <v>9</v>
      </c>
      <c r="B121" s="116" t="s">
        <v>121</v>
      </c>
      <c r="C121" s="133">
        <v>318</v>
      </c>
      <c r="D121" s="133">
        <v>180</v>
      </c>
      <c r="E121" s="133">
        <f t="shared" si="16"/>
        <v>-138</v>
      </c>
      <c r="F121" s="114">
        <f t="shared" si="17"/>
        <v>-0.43396226415094341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16189</v>
      </c>
      <c r="D124" s="134">
        <f>SUM(D113:D123)</f>
        <v>16130</v>
      </c>
      <c r="E124" s="134">
        <f t="shared" si="16"/>
        <v>-59</v>
      </c>
      <c r="F124" s="120">
        <f t="shared" si="17"/>
        <v>-3.6444499351411452E-3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23135</v>
      </c>
      <c r="D126" s="133">
        <v>23806</v>
      </c>
      <c r="E126" s="133">
        <f t="shared" ref="E126:E137" si="18">D126-C126</f>
        <v>671</v>
      </c>
      <c r="F126" s="114">
        <f t="shared" ref="F126:F137" si="19">IF(C126=0,0,E126/C126)</f>
        <v>2.9003674086881349E-2</v>
      </c>
    </row>
    <row r="127" spans="1:6" x14ac:dyDescent="0.2">
      <c r="A127" s="115">
        <v>2</v>
      </c>
      <c r="B127" s="116" t="s">
        <v>114</v>
      </c>
      <c r="C127" s="133">
        <v>7676</v>
      </c>
      <c r="D127" s="133">
        <v>9037</v>
      </c>
      <c r="E127" s="133">
        <f t="shared" si="18"/>
        <v>1361</v>
      </c>
      <c r="F127" s="114">
        <f t="shared" si="19"/>
        <v>0.17730588848358519</v>
      </c>
    </row>
    <row r="128" spans="1:6" x14ac:dyDescent="0.2">
      <c r="A128" s="115">
        <v>3</v>
      </c>
      <c r="B128" s="116" t="s">
        <v>115</v>
      </c>
      <c r="C128" s="133">
        <v>8985</v>
      </c>
      <c r="D128" s="133">
        <v>11677</v>
      </c>
      <c r="E128" s="133">
        <f t="shared" si="18"/>
        <v>2692</v>
      </c>
      <c r="F128" s="114">
        <f t="shared" si="19"/>
        <v>0.29961046188091262</v>
      </c>
    </row>
    <row r="129" spans="1:6" x14ac:dyDescent="0.2">
      <c r="A129" s="115">
        <v>4</v>
      </c>
      <c r="B129" s="116" t="s">
        <v>116</v>
      </c>
      <c r="C129" s="133">
        <v>2010</v>
      </c>
      <c r="D129" s="133">
        <v>0</v>
      </c>
      <c r="E129" s="133">
        <f t="shared" si="18"/>
        <v>-2010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524</v>
      </c>
      <c r="D130" s="133">
        <v>523</v>
      </c>
      <c r="E130" s="133">
        <f t="shared" si="18"/>
        <v>-1</v>
      </c>
      <c r="F130" s="114">
        <f t="shared" si="19"/>
        <v>-1.9083969465648854E-3</v>
      </c>
    </row>
    <row r="131" spans="1:6" x14ac:dyDescent="0.2">
      <c r="A131" s="115">
        <v>6</v>
      </c>
      <c r="B131" s="116" t="s">
        <v>118</v>
      </c>
      <c r="C131" s="133">
        <v>1018</v>
      </c>
      <c r="D131" s="133">
        <v>896</v>
      </c>
      <c r="E131" s="133">
        <f t="shared" si="18"/>
        <v>-122</v>
      </c>
      <c r="F131" s="114">
        <f t="shared" si="19"/>
        <v>-0.11984282907662082</v>
      </c>
    </row>
    <row r="132" spans="1:6" x14ac:dyDescent="0.2">
      <c r="A132" s="115">
        <v>7</v>
      </c>
      <c r="B132" s="116" t="s">
        <v>119</v>
      </c>
      <c r="C132" s="133">
        <v>35746</v>
      </c>
      <c r="D132" s="133">
        <v>33892</v>
      </c>
      <c r="E132" s="133">
        <f t="shared" si="18"/>
        <v>-1854</v>
      </c>
      <c r="F132" s="114">
        <f t="shared" si="19"/>
        <v>-5.1865943042578189E-2</v>
      </c>
    </row>
    <row r="133" spans="1:6" x14ac:dyDescent="0.2">
      <c r="A133" s="115">
        <v>8</v>
      </c>
      <c r="B133" s="116" t="s">
        <v>120</v>
      </c>
      <c r="C133" s="133">
        <v>1506</v>
      </c>
      <c r="D133" s="133">
        <v>1351</v>
      </c>
      <c r="E133" s="133">
        <f t="shared" si="18"/>
        <v>-155</v>
      </c>
      <c r="F133" s="114">
        <f t="shared" si="19"/>
        <v>-0.10292164674634795</v>
      </c>
    </row>
    <row r="134" spans="1:6" x14ac:dyDescent="0.2">
      <c r="A134" s="115">
        <v>9</v>
      </c>
      <c r="B134" s="116" t="s">
        <v>121</v>
      </c>
      <c r="C134" s="133">
        <v>1951</v>
      </c>
      <c r="D134" s="133">
        <v>1743</v>
      </c>
      <c r="E134" s="133">
        <f t="shared" si="18"/>
        <v>-208</v>
      </c>
      <c r="F134" s="114">
        <f t="shared" si="19"/>
        <v>-0.10661199384930804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82551</v>
      </c>
      <c r="D137" s="134">
        <f>SUM(D126:D136)</f>
        <v>82925</v>
      </c>
      <c r="E137" s="134">
        <f t="shared" si="18"/>
        <v>374</v>
      </c>
      <c r="F137" s="120">
        <f t="shared" si="19"/>
        <v>4.5305326404283409E-3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4900784</v>
      </c>
      <c r="D142" s="113">
        <v>5535332</v>
      </c>
      <c r="E142" s="113">
        <f t="shared" ref="E142:E153" si="20">D142-C142</f>
        <v>634548</v>
      </c>
      <c r="F142" s="114">
        <f t="shared" ref="F142:F153" si="21">IF(C142=0,0,E142/C142)</f>
        <v>0.12947887521670001</v>
      </c>
    </row>
    <row r="143" spans="1:6" x14ac:dyDescent="0.2">
      <c r="A143" s="115">
        <v>2</v>
      </c>
      <c r="B143" s="116" t="s">
        <v>114</v>
      </c>
      <c r="C143" s="113">
        <v>1330444</v>
      </c>
      <c r="D143" s="113">
        <v>1575757</v>
      </c>
      <c r="E143" s="113">
        <f t="shared" si="20"/>
        <v>245313</v>
      </c>
      <c r="F143" s="114">
        <f t="shared" si="21"/>
        <v>0.18438431080150686</v>
      </c>
    </row>
    <row r="144" spans="1:6" x14ac:dyDescent="0.2">
      <c r="A144" s="115">
        <v>3</v>
      </c>
      <c r="B144" s="116" t="s">
        <v>115</v>
      </c>
      <c r="C144" s="113">
        <v>6584825</v>
      </c>
      <c r="D144" s="113">
        <v>9018923</v>
      </c>
      <c r="E144" s="113">
        <f t="shared" si="20"/>
        <v>2434098</v>
      </c>
      <c r="F144" s="114">
        <f t="shared" si="21"/>
        <v>0.36965264832398737</v>
      </c>
    </row>
    <row r="145" spans="1:6" x14ac:dyDescent="0.2">
      <c r="A145" s="115">
        <v>4</v>
      </c>
      <c r="B145" s="116" t="s">
        <v>116</v>
      </c>
      <c r="C145" s="113">
        <v>1130485</v>
      </c>
      <c r="D145" s="113">
        <v>0</v>
      </c>
      <c r="E145" s="113">
        <f t="shared" si="20"/>
        <v>-1130485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278462</v>
      </c>
      <c r="D146" s="113">
        <v>315008</v>
      </c>
      <c r="E146" s="113">
        <f t="shared" si="20"/>
        <v>36546</v>
      </c>
      <c r="F146" s="114">
        <f t="shared" si="21"/>
        <v>0.13124232390775042</v>
      </c>
    </row>
    <row r="147" spans="1:6" x14ac:dyDescent="0.2">
      <c r="A147" s="115">
        <v>6</v>
      </c>
      <c r="B147" s="116" t="s">
        <v>118</v>
      </c>
      <c r="C147" s="113">
        <v>287663</v>
      </c>
      <c r="D147" s="113">
        <v>700428</v>
      </c>
      <c r="E147" s="113">
        <f t="shared" si="20"/>
        <v>412765</v>
      </c>
      <c r="F147" s="114">
        <f t="shared" si="21"/>
        <v>1.4348908271136711</v>
      </c>
    </row>
    <row r="148" spans="1:6" x14ac:dyDescent="0.2">
      <c r="A148" s="115">
        <v>7</v>
      </c>
      <c r="B148" s="116" t="s">
        <v>119</v>
      </c>
      <c r="C148" s="113">
        <v>9676733</v>
      </c>
      <c r="D148" s="113">
        <v>9172791</v>
      </c>
      <c r="E148" s="113">
        <f t="shared" si="20"/>
        <v>-503942</v>
      </c>
      <c r="F148" s="114">
        <f t="shared" si="21"/>
        <v>-5.2077700190756526E-2</v>
      </c>
    </row>
    <row r="149" spans="1:6" x14ac:dyDescent="0.2">
      <c r="A149" s="115">
        <v>8</v>
      </c>
      <c r="B149" s="116" t="s">
        <v>120</v>
      </c>
      <c r="C149" s="113">
        <v>604198</v>
      </c>
      <c r="D149" s="113">
        <v>547820</v>
      </c>
      <c r="E149" s="113">
        <f t="shared" si="20"/>
        <v>-56378</v>
      </c>
      <c r="F149" s="114">
        <f t="shared" si="21"/>
        <v>-9.331047107074171E-2</v>
      </c>
    </row>
    <row r="150" spans="1:6" x14ac:dyDescent="0.2">
      <c r="A150" s="115">
        <v>9</v>
      </c>
      <c r="B150" s="116" t="s">
        <v>121</v>
      </c>
      <c r="C150" s="113">
        <v>1750994</v>
      </c>
      <c r="D150" s="113">
        <v>1493092</v>
      </c>
      <c r="E150" s="113">
        <f t="shared" si="20"/>
        <v>-257902</v>
      </c>
      <c r="F150" s="114">
        <f t="shared" si="21"/>
        <v>-0.14728891132693772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26544588</v>
      </c>
      <c r="D153" s="119">
        <f>SUM(D142:D152)</f>
        <v>28359151</v>
      </c>
      <c r="E153" s="119">
        <f t="shared" si="20"/>
        <v>1814563</v>
      </c>
      <c r="F153" s="120">
        <f t="shared" si="21"/>
        <v>6.8359056844280272E-2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1324558</v>
      </c>
      <c r="D155" s="113">
        <v>1453395</v>
      </c>
      <c r="E155" s="113">
        <f t="shared" ref="E155:E166" si="22">D155-C155</f>
        <v>128837</v>
      </c>
      <c r="F155" s="114">
        <f t="shared" ref="F155:F166" si="23">IF(C155=0,0,E155/C155)</f>
        <v>9.7267918807632428E-2</v>
      </c>
    </row>
    <row r="156" spans="1:6" x14ac:dyDescent="0.2">
      <c r="A156" s="115">
        <v>2</v>
      </c>
      <c r="B156" s="116" t="s">
        <v>114</v>
      </c>
      <c r="C156" s="113">
        <v>336555</v>
      </c>
      <c r="D156" s="113">
        <v>389940</v>
      </c>
      <c r="E156" s="113">
        <f t="shared" si="22"/>
        <v>53385</v>
      </c>
      <c r="F156" s="114">
        <f t="shared" si="23"/>
        <v>0.1586219191514017</v>
      </c>
    </row>
    <row r="157" spans="1:6" x14ac:dyDescent="0.2">
      <c r="A157" s="115">
        <v>3</v>
      </c>
      <c r="B157" s="116" t="s">
        <v>115</v>
      </c>
      <c r="C157" s="113">
        <v>1426242</v>
      </c>
      <c r="D157" s="113">
        <v>1958589</v>
      </c>
      <c r="E157" s="113">
        <f t="shared" si="22"/>
        <v>532347</v>
      </c>
      <c r="F157" s="114">
        <f t="shared" si="23"/>
        <v>0.37325152393492828</v>
      </c>
    </row>
    <row r="158" spans="1:6" x14ac:dyDescent="0.2">
      <c r="A158" s="115">
        <v>4</v>
      </c>
      <c r="B158" s="116" t="s">
        <v>116</v>
      </c>
      <c r="C158" s="113">
        <v>210962</v>
      </c>
      <c r="D158" s="113">
        <v>0</v>
      </c>
      <c r="E158" s="113">
        <f t="shared" si="22"/>
        <v>-210962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71963</v>
      </c>
      <c r="D159" s="113">
        <v>78769</v>
      </c>
      <c r="E159" s="113">
        <f t="shared" si="22"/>
        <v>6806</v>
      </c>
      <c r="F159" s="114">
        <f t="shared" si="23"/>
        <v>9.457637952836874E-2</v>
      </c>
    </row>
    <row r="160" spans="1:6" x14ac:dyDescent="0.2">
      <c r="A160" s="115">
        <v>6</v>
      </c>
      <c r="B160" s="116" t="s">
        <v>118</v>
      </c>
      <c r="C160" s="113">
        <v>177057</v>
      </c>
      <c r="D160" s="113">
        <v>376405</v>
      </c>
      <c r="E160" s="113">
        <f t="shared" si="22"/>
        <v>199348</v>
      </c>
      <c r="F160" s="114">
        <f t="shared" si="23"/>
        <v>1.1258973099058496</v>
      </c>
    </row>
    <row r="161" spans="1:6" x14ac:dyDescent="0.2">
      <c r="A161" s="115">
        <v>7</v>
      </c>
      <c r="B161" s="116" t="s">
        <v>119</v>
      </c>
      <c r="C161" s="113">
        <v>5489314</v>
      </c>
      <c r="D161" s="113">
        <v>4877324</v>
      </c>
      <c r="E161" s="113">
        <f t="shared" si="22"/>
        <v>-611990</v>
      </c>
      <c r="F161" s="114">
        <f t="shared" si="23"/>
        <v>-0.11148751920549635</v>
      </c>
    </row>
    <row r="162" spans="1:6" x14ac:dyDescent="0.2">
      <c r="A162" s="115">
        <v>8</v>
      </c>
      <c r="B162" s="116" t="s">
        <v>120</v>
      </c>
      <c r="C162" s="113">
        <v>445569</v>
      </c>
      <c r="D162" s="113">
        <v>370378</v>
      </c>
      <c r="E162" s="113">
        <f t="shared" si="22"/>
        <v>-75191</v>
      </c>
      <c r="F162" s="114">
        <f t="shared" si="23"/>
        <v>-0.16875276332060804</v>
      </c>
    </row>
    <row r="163" spans="1:6" x14ac:dyDescent="0.2">
      <c r="A163" s="115">
        <v>9</v>
      </c>
      <c r="B163" s="116" t="s">
        <v>121</v>
      </c>
      <c r="C163" s="113">
        <v>53334</v>
      </c>
      <c r="D163" s="113">
        <v>50122</v>
      </c>
      <c r="E163" s="113">
        <f t="shared" si="22"/>
        <v>-3212</v>
      </c>
      <c r="F163" s="114">
        <f t="shared" si="23"/>
        <v>-6.0224247196910038E-2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9535554</v>
      </c>
      <c r="D166" s="119">
        <f>SUM(D155:D165)</f>
        <v>9554922</v>
      </c>
      <c r="E166" s="119">
        <f t="shared" si="22"/>
        <v>19368</v>
      </c>
      <c r="F166" s="120">
        <f t="shared" si="23"/>
        <v>2.0311352649253519E-3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2845</v>
      </c>
      <c r="D168" s="133">
        <v>2923</v>
      </c>
      <c r="E168" s="133">
        <f t="shared" ref="E168:E179" si="24">D168-C168</f>
        <v>78</v>
      </c>
      <c r="F168" s="114">
        <f t="shared" ref="F168:F179" si="25">IF(C168=0,0,E168/C168)</f>
        <v>2.7416520210896311E-2</v>
      </c>
    </row>
    <row r="169" spans="1:6" x14ac:dyDescent="0.2">
      <c r="A169" s="115">
        <v>2</v>
      </c>
      <c r="B169" s="116" t="s">
        <v>114</v>
      </c>
      <c r="C169" s="133">
        <v>716</v>
      </c>
      <c r="D169" s="133">
        <v>791</v>
      </c>
      <c r="E169" s="133">
        <f t="shared" si="24"/>
        <v>75</v>
      </c>
      <c r="F169" s="114">
        <f t="shared" si="25"/>
        <v>0.10474860335195531</v>
      </c>
    </row>
    <row r="170" spans="1:6" x14ac:dyDescent="0.2">
      <c r="A170" s="115">
        <v>3</v>
      </c>
      <c r="B170" s="116" t="s">
        <v>115</v>
      </c>
      <c r="C170" s="133">
        <v>4030</v>
      </c>
      <c r="D170" s="133">
        <v>5484</v>
      </c>
      <c r="E170" s="133">
        <f t="shared" si="24"/>
        <v>1454</v>
      </c>
      <c r="F170" s="114">
        <f t="shared" si="25"/>
        <v>0.36079404466501241</v>
      </c>
    </row>
    <row r="171" spans="1:6" x14ac:dyDescent="0.2">
      <c r="A171" s="115">
        <v>4</v>
      </c>
      <c r="B171" s="116" t="s">
        <v>116</v>
      </c>
      <c r="C171" s="133">
        <v>983</v>
      </c>
      <c r="D171" s="133">
        <v>0</v>
      </c>
      <c r="E171" s="133">
        <f t="shared" si="24"/>
        <v>-983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208</v>
      </c>
      <c r="D172" s="133">
        <v>242</v>
      </c>
      <c r="E172" s="133">
        <f t="shared" si="24"/>
        <v>34</v>
      </c>
      <c r="F172" s="114">
        <f t="shared" si="25"/>
        <v>0.16346153846153846</v>
      </c>
    </row>
    <row r="173" spans="1:6" x14ac:dyDescent="0.2">
      <c r="A173" s="115">
        <v>6</v>
      </c>
      <c r="B173" s="116" t="s">
        <v>118</v>
      </c>
      <c r="C173" s="133">
        <v>452</v>
      </c>
      <c r="D173" s="133">
        <v>450</v>
      </c>
      <c r="E173" s="133">
        <f t="shared" si="24"/>
        <v>-2</v>
      </c>
      <c r="F173" s="114">
        <f t="shared" si="25"/>
        <v>-4.4247787610619468E-3</v>
      </c>
    </row>
    <row r="174" spans="1:6" x14ac:dyDescent="0.2">
      <c r="A174" s="115">
        <v>7</v>
      </c>
      <c r="B174" s="116" t="s">
        <v>119</v>
      </c>
      <c r="C174" s="133">
        <v>6927</v>
      </c>
      <c r="D174" s="133">
        <v>6146</v>
      </c>
      <c r="E174" s="133">
        <f t="shared" si="24"/>
        <v>-781</v>
      </c>
      <c r="F174" s="114">
        <f t="shared" si="25"/>
        <v>-0.11274722101920023</v>
      </c>
    </row>
    <row r="175" spans="1:6" x14ac:dyDescent="0.2">
      <c r="A175" s="115">
        <v>8</v>
      </c>
      <c r="B175" s="116" t="s">
        <v>120</v>
      </c>
      <c r="C175" s="133">
        <v>609</v>
      </c>
      <c r="D175" s="133">
        <v>568</v>
      </c>
      <c r="E175" s="133">
        <f t="shared" si="24"/>
        <v>-41</v>
      </c>
      <c r="F175" s="114">
        <f t="shared" si="25"/>
        <v>-6.7323481116584566E-2</v>
      </c>
    </row>
    <row r="176" spans="1:6" x14ac:dyDescent="0.2">
      <c r="A176" s="115">
        <v>9</v>
      </c>
      <c r="B176" s="116" t="s">
        <v>121</v>
      </c>
      <c r="C176" s="133">
        <v>1375</v>
      </c>
      <c r="D176" s="133">
        <v>1213</v>
      </c>
      <c r="E176" s="133">
        <f t="shared" si="24"/>
        <v>-162</v>
      </c>
      <c r="F176" s="114">
        <f t="shared" si="25"/>
        <v>-0.11781818181818182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18145</v>
      </c>
      <c r="D179" s="134">
        <f>SUM(D168:D178)</f>
        <v>17817</v>
      </c>
      <c r="E179" s="134">
        <f t="shared" si="24"/>
        <v>-328</v>
      </c>
      <c r="F179" s="120">
        <f t="shared" si="25"/>
        <v>-1.8076605125378894E-2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9394293</v>
      </c>
      <c r="D15" s="157">
        <v>9201815</v>
      </c>
      <c r="E15" s="157">
        <f>+D15-C15</f>
        <v>-192478</v>
      </c>
      <c r="F15" s="161">
        <f>IF(C15=0,0,E15/C15)</f>
        <v>-2.0488822309459583E-2</v>
      </c>
    </row>
    <row r="16" spans="1:6" ht="15" customHeight="1" x14ac:dyDescent="0.2">
      <c r="A16" s="147">
        <v>2</v>
      </c>
      <c r="B16" s="160" t="s">
        <v>157</v>
      </c>
      <c r="C16" s="157">
        <v>0</v>
      </c>
      <c r="D16" s="157">
        <v>0</v>
      </c>
      <c r="E16" s="157">
        <f>+D16-C16</f>
        <v>0</v>
      </c>
      <c r="F16" s="161">
        <f>IF(C16=0,0,E16/C16)</f>
        <v>0</v>
      </c>
    </row>
    <row r="17" spans="1:6" ht="15" customHeight="1" x14ac:dyDescent="0.2">
      <c r="A17" s="147">
        <v>3</v>
      </c>
      <c r="B17" s="160" t="s">
        <v>158</v>
      </c>
      <c r="C17" s="157">
        <v>17775085</v>
      </c>
      <c r="D17" s="157">
        <v>17662595</v>
      </c>
      <c r="E17" s="157">
        <f>+D17-C17</f>
        <v>-112490</v>
      </c>
      <c r="F17" s="161">
        <f>IF(C17=0,0,E17/C17)</f>
        <v>-6.3285210731763028E-3</v>
      </c>
    </row>
    <row r="18" spans="1:6" ht="15.75" customHeight="1" x14ac:dyDescent="0.25">
      <c r="A18" s="147"/>
      <c r="B18" s="162" t="s">
        <v>159</v>
      </c>
      <c r="C18" s="158">
        <f>SUM(C15:C17)</f>
        <v>27169378</v>
      </c>
      <c r="D18" s="158">
        <f>SUM(D15:D17)</f>
        <v>26864410</v>
      </c>
      <c r="E18" s="158">
        <f>+D18-C18</f>
        <v>-304968</v>
      </c>
      <c r="F18" s="159">
        <f>IF(C18=0,0,E18/C18)</f>
        <v>-1.1224695684972986E-2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2347211</v>
      </c>
      <c r="D21" s="157">
        <v>2141165</v>
      </c>
      <c r="E21" s="157">
        <f>+D21-C21</f>
        <v>-206046</v>
      </c>
      <c r="F21" s="161">
        <f>IF(C21=0,0,E21/C21)</f>
        <v>-8.7783330940422483E-2</v>
      </c>
    </row>
    <row r="22" spans="1:6" ht="15" customHeight="1" x14ac:dyDescent="0.2">
      <c r="A22" s="147">
        <v>2</v>
      </c>
      <c r="B22" s="160" t="s">
        <v>162</v>
      </c>
      <c r="C22" s="157">
        <v>0</v>
      </c>
      <c r="D22" s="157">
        <v>0</v>
      </c>
      <c r="E22" s="157">
        <f>+D22-C22</f>
        <v>0</v>
      </c>
      <c r="F22" s="161">
        <f>IF(C22=0,0,E22/C22)</f>
        <v>0</v>
      </c>
    </row>
    <row r="23" spans="1:6" ht="15" customHeight="1" x14ac:dyDescent="0.2">
      <c r="A23" s="147">
        <v>3</v>
      </c>
      <c r="B23" s="160" t="s">
        <v>163</v>
      </c>
      <c r="C23" s="157">
        <v>4441193</v>
      </c>
      <c r="D23" s="157">
        <v>4109900</v>
      </c>
      <c r="E23" s="157">
        <f>+D23-C23</f>
        <v>-331293</v>
      </c>
      <c r="F23" s="161">
        <f>IF(C23=0,0,E23/C23)</f>
        <v>-7.4595497200864724E-2</v>
      </c>
    </row>
    <row r="24" spans="1:6" ht="15.75" customHeight="1" x14ac:dyDescent="0.25">
      <c r="A24" s="147"/>
      <c r="B24" s="162" t="s">
        <v>164</v>
      </c>
      <c r="C24" s="158">
        <f>SUM(C21:C23)</f>
        <v>6788404</v>
      </c>
      <c r="D24" s="158">
        <f>SUM(D21:D23)</f>
        <v>6251065</v>
      </c>
      <c r="E24" s="158">
        <f>+D24-C24</f>
        <v>-537339</v>
      </c>
      <c r="F24" s="159">
        <f>IF(C24=0,0,E24/C24)</f>
        <v>-7.9155424456175558E-2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153963</v>
      </c>
      <c r="D27" s="157">
        <v>111656</v>
      </c>
      <c r="E27" s="157">
        <f>+D27-C27</f>
        <v>-42307</v>
      </c>
      <c r="F27" s="161">
        <f>IF(C27=0,0,E27/C27)</f>
        <v>-0.27478679942583606</v>
      </c>
    </row>
    <row r="28" spans="1:6" ht="15" customHeight="1" x14ac:dyDescent="0.2">
      <c r="A28" s="147">
        <v>2</v>
      </c>
      <c r="B28" s="160" t="s">
        <v>167</v>
      </c>
      <c r="C28" s="157">
        <v>1583778</v>
      </c>
      <c r="D28" s="157">
        <v>1855379</v>
      </c>
      <c r="E28" s="157">
        <f>+D28-C28</f>
        <v>271601</v>
      </c>
      <c r="F28" s="161">
        <f>IF(C28=0,0,E28/C28)</f>
        <v>0.17148931226472397</v>
      </c>
    </row>
    <row r="29" spans="1:6" ht="15" customHeight="1" x14ac:dyDescent="0.2">
      <c r="A29" s="147">
        <v>3</v>
      </c>
      <c r="B29" s="160" t="s">
        <v>168</v>
      </c>
      <c r="C29" s="157">
        <v>525817</v>
      </c>
      <c r="D29" s="157">
        <v>729427</v>
      </c>
      <c r="E29" s="157">
        <f>+D29-C29</f>
        <v>203610</v>
      </c>
      <c r="F29" s="161">
        <f>IF(C29=0,0,E29/C29)</f>
        <v>0.38722597405561249</v>
      </c>
    </row>
    <row r="30" spans="1:6" ht="15.75" customHeight="1" x14ac:dyDescent="0.25">
      <c r="A30" s="147"/>
      <c r="B30" s="162" t="s">
        <v>169</v>
      </c>
      <c r="C30" s="158">
        <f>SUM(C27:C29)</f>
        <v>2263558</v>
      </c>
      <c r="D30" s="158">
        <f>SUM(D27:D29)</f>
        <v>2696462</v>
      </c>
      <c r="E30" s="158">
        <f>+D30-C30</f>
        <v>432904</v>
      </c>
      <c r="F30" s="159">
        <f>IF(C30=0,0,E30/C30)</f>
        <v>0.19124935168438362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3931361</v>
      </c>
      <c r="D33" s="157">
        <v>3747613</v>
      </c>
      <c r="E33" s="157">
        <f>+D33-C33</f>
        <v>-183748</v>
      </c>
      <c r="F33" s="161">
        <f>IF(C33=0,0,E33/C33)</f>
        <v>-4.6739030071265397E-2</v>
      </c>
    </row>
    <row r="34" spans="1:6" ht="15" customHeight="1" x14ac:dyDescent="0.2">
      <c r="A34" s="147">
        <v>2</v>
      </c>
      <c r="B34" s="160" t="s">
        <v>173</v>
      </c>
      <c r="C34" s="157">
        <v>2528642</v>
      </c>
      <c r="D34" s="157">
        <v>4381638</v>
      </c>
      <c r="E34" s="157">
        <f>+D34-C34</f>
        <v>1852996</v>
      </c>
      <c r="F34" s="161">
        <f>IF(C34=0,0,E34/C34)</f>
        <v>0.73280282459913271</v>
      </c>
    </row>
    <row r="35" spans="1:6" ht="15.75" customHeight="1" x14ac:dyDescent="0.25">
      <c r="A35" s="147"/>
      <c r="B35" s="162" t="s">
        <v>174</v>
      </c>
      <c r="C35" s="158">
        <f>SUM(C33:C34)</f>
        <v>6460003</v>
      </c>
      <c r="D35" s="158">
        <f>SUM(D33:D34)</f>
        <v>8129251</v>
      </c>
      <c r="E35" s="158">
        <f>+D35-C35</f>
        <v>1669248</v>
      </c>
      <c r="F35" s="159">
        <f>IF(C35=0,0,E35/C35)</f>
        <v>0.25839740322102017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1148143</v>
      </c>
      <c r="D38" s="157">
        <v>1099226</v>
      </c>
      <c r="E38" s="157">
        <f>+D38-C38</f>
        <v>-48917</v>
      </c>
      <c r="F38" s="161">
        <f>IF(C38=0,0,E38/C38)</f>
        <v>-4.2605320069015795E-2</v>
      </c>
    </row>
    <row r="39" spans="1:6" ht="15" customHeight="1" x14ac:dyDescent="0.2">
      <c r="A39" s="147">
        <v>2</v>
      </c>
      <c r="B39" s="160" t="s">
        <v>178</v>
      </c>
      <c r="C39" s="157">
        <v>1845947</v>
      </c>
      <c r="D39" s="157">
        <v>1798820</v>
      </c>
      <c r="E39" s="157">
        <f>+D39-C39</f>
        <v>-47127</v>
      </c>
      <c r="F39" s="161">
        <f>IF(C39=0,0,E39/C39)</f>
        <v>-2.552998542211667E-2</v>
      </c>
    </row>
    <row r="40" spans="1:6" ht="15" customHeight="1" x14ac:dyDescent="0.2">
      <c r="A40" s="147">
        <v>3</v>
      </c>
      <c r="B40" s="160" t="s">
        <v>179</v>
      </c>
      <c r="C40" s="157">
        <v>183981</v>
      </c>
      <c r="D40" s="157">
        <v>183981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3178071</v>
      </c>
      <c r="D41" s="158">
        <f>SUM(D38:D40)</f>
        <v>3082027</v>
      </c>
      <c r="E41" s="158">
        <f>+D41-C41</f>
        <v>-96044</v>
      </c>
      <c r="F41" s="159">
        <f>IF(C41=0,0,E41/C41)</f>
        <v>-3.0220847803589034E-2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3564251</v>
      </c>
      <c r="D44" s="157">
        <v>0</v>
      </c>
      <c r="E44" s="157">
        <f>+D44-C44</f>
        <v>-3564251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1495715</v>
      </c>
      <c r="D47" s="157">
        <v>1408245</v>
      </c>
      <c r="E47" s="157">
        <f>+D47-C47</f>
        <v>-87470</v>
      </c>
      <c r="F47" s="161">
        <f>IF(C47=0,0,E47/C47)</f>
        <v>-5.8480392320729553E-2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736725</v>
      </c>
      <c r="D50" s="157">
        <v>649270</v>
      </c>
      <c r="E50" s="157">
        <f>+D50-C50</f>
        <v>-87455</v>
      </c>
      <c r="F50" s="161">
        <f>IF(C50=0,0,E50/C50)</f>
        <v>-0.11870779463164681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32648</v>
      </c>
      <c r="D53" s="157">
        <v>29368</v>
      </c>
      <c r="E53" s="157">
        <f t="shared" ref="E53:E59" si="0">+D53-C53</f>
        <v>-3280</v>
      </c>
      <c r="F53" s="161">
        <f t="shared" ref="F53:F59" si="1">IF(C53=0,0,E53/C53)</f>
        <v>-0.10046557216368537</v>
      </c>
    </row>
    <row r="54" spans="1:6" ht="15" customHeight="1" x14ac:dyDescent="0.2">
      <c r="A54" s="147">
        <v>2</v>
      </c>
      <c r="B54" s="160" t="s">
        <v>189</v>
      </c>
      <c r="C54" s="157">
        <v>34135</v>
      </c>
      <c r="D54" s="157">
        <v>31846</v>
      </c>
      <c r="E54" s="157">
        <f t="shared" si="0"/>
        <v>-2289</v>
      </c>
      <c r="F54" s="161">
        <f t="shared" si="1"/>
        <v>-6.7057272594111622E-2</v>
      </c>
    </row>
    <row r="55" spans="1:6" ht="15" customHeight="1" x14ac:dyDescent="0.2">
      <c r="A55" s="147">
        <v>3</v>
      </c>
      <c r="B55" s="160" t="s">
        <v>190</v>
      </c>
      <c r="C55" s="157">
        <v>714637</v>
      </c>
      <c r="D55" s="157">
        <v>699727</v>
      </c>
      <c r="E55" s="157">
        <f t="shared" si="0"/>
        <v>-14910</v>
      </c>
      <c r="F55" s="161">
        <f t="shared" si="1"/>
        <v>-2.0863739213055021E-2</v>
      </c>
    </row>
    <row r="56" spans="1:6" ht="15" customHeight="1" x14ac:dyDescent="0.2">
      <c r="A56" s="147">
        <v>4</v>
      </c>
      <c r="B56" s="160" t="s">
        <v>191</v>
      </c>
      <c r="C56" s="157">
        <v>728597</v>
      </c>
      <c r="D56" s="157">
        <v>751283</v>
      </c>
      <c r="E56" s="157">
        <f t="shared" si="0"/>
        <v>22686</v>
      </c>
      <c r="F56" s="161">
        <f t="shared" si="1"/>
        <v>3.1136554226822235E-2</v>
      </c>
    </row>
    <row r="57" spans="1:6" ht="15" customHeight="1" x14ac:dyDescent="0.2">
      <c r="A57" s="147">
        <v>5</v>
      </c>
      <c r="B57" s="160" t="s">
        <v>192</v>
      </c>
      <c r="C57" s="157">
        <v>203761</v>
      </c>
      <c r="D57" s="157">
        <v>206512</v>
      </c>
      <c r="E57" s="157">
        <f t="shared" si="0"/>
        <v>2751</v>
      </c>
      <c r="F57" s="161">
        <f t="shared" si="1"/>
        <v>1.3501111596429151E-2</v>
      </c>
    </row>
    <row r="58" spans="1:6" ht="15" customHeight="1" x14ac:dyDescent="0.2">
      <c r="A58" s="147">
        <v>6</v>
      </c>
      <c r="B58" s="160" t="s">
        <v>193</v>
      </c>
      <c r="C58" s="157">
        <v>74421</v>
      </c>
      <c r="D58" s="157">
        <v>89078</v>
      </c>
      <c r="E58" s="157">
        <f t="shared" si="0"/>
        <v>14657</v>
      </c>
      <c r="F58" s="161">
        <f t="shared" si="1"/>
        <v>0.19694709826527459</v>
      </c>
    </row>
    <row r="59" spans="1:6" ht="15.75" customHeight="1" x14ac:dyDescent="0.25">
      <c r="A59" s="147"/>
      <c r="B59" s="162" t="s">
        <v>194</v>
      </c>
      <c r="C59" s="158">
        <f>SUM(C53:C58)</f>
        <v>1788199</v>
      </c>
      <c r="D59" s="158">
        <f>SUM(D53:D58)</f>
        <v>1807814</v>
      </c>
      <c r="E59" s="158">
        <f t="shared" si="0"/>
        <v>19615</v>
      </c>
      <c r="F59" s="159">
        <f t="shared" si="1"/>
        <v>1.0969137103868194E-2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82119</v>
      </c>
      <c r="D62" s="157">
        <v>88995</v>
      </c>
      <c r="E62" s="157">
        <f t="shared" ref="E62:E90" si="2">+D62-C62</f>
        <v>6876</v>
      </c>
      <c r="F62" s="161">
        <f t="shared" ref="F62:F90" si="3">IF(C62=0,0,E62/C62)</f>
        <v>8.3732144814233009E-2</v>
      </c>
    </row>
    <row r="63" spans="1:6" ht="15" customHeight="1" x14ac:dyDescent="0.2">
      <c r="A63" s="147">
        <v>2</v>
      </c>
      <c r="B63" s="160" t="s">
        <v>198</v>
      </c>
      <c r="C63" s="157">
        <v>688282</v>
      </c>
      <c r="D63" s="157">
        <v>557738</v>
      </c>
      <c r="E63" s="157">
        <f t="shared" si="2"/>
        <v>-130544</v>
      </c>
      <c r="F63" s="161">
        <f t="shared" si="3"/>
        <v>-0.18966644485835749</v>
      </c>
    </row>
    <row r="64" spans="1:6" ht="15" customHeight="1" x14ac:dyDescent="0.2">
      <c r="A64" s="147">
        <v>3</v>
      </c>
      <c r="B64" s="160" t="s">
        <v>199</v>
      </c>
      <c r="C64" s="157">
        <v>470861</v>
      </c>
      <c r="D64" s="157">
        <v>486831</v>
      </c>
      <c r="E64" s="157">
        <f t="shared" si="2"/>
        <v>15970</v>
      </c>
      <c r="F64" s="161">
        <f t="shared" si="3"/>
        <v>3.3916591095886045E-2</v>
      </c>
    </row>
    <row r="65" spans="1:6" ht="15" customHeight="1" x14ac:dyDescent="0.2">
      <c r="A65" s="147">
        <v>4</v>
      </c>
      <c r="B65" s="160" t="s">
        <v>200</v>
      </c>
      <c r="C65" s="157">
        <v>153438</v>
      </c>
      <c r="D65" s="157">
        <v>198877</v>
      </c>
      <c r="E65" s="157">
        <f t="shared" si="2"/>
        <v>45439</v>
      </c>
      <c r="F65" s="161">
        <f t="shared" si="3"/>
        <v>0.29613915718400918</v>
      </c>
    </row>
    <row r="66" spans="1:6" ht="15" customHeight="1" x14ac:dyDescent="0.2">
      <c r="A66" s="147">
        <v>5</v>
      </c>
      <c r="B66" s="160" t="s">
        <v>201</v>
      </c>
      <c r="C66" s="157">
        <v>1126720</v>
      </c>
      <c r="D66" s="157">
        <v>855267</v>
      </c>
      <c r="E66" s="157">
        <f t="shared" si="2"/>
        <v>-271453</v>
      </c>
      <c r="F66" s="161">
        <f t="shared" si="3"/>
        <v>-0.24092321073558648</v>
      </c>
    </row>
    <row r="67" spans="1:6" ht="15" customHeight="1" x14ac:dyDescent="0.2">
      <c r="A67" s="147">
        <v>6</v>
      </c>
      <c r="B67" s="160" t="s">
        <v>202</v>
      </c>
      <c r="C67" s="157">
        <v>768096</v>
      </c>
      <c r="D67" s="157">
        <v>813973</v>
      </c>
      <c r="E67" s="157">
        <f t="shared" si="2"/>
        <v>45877</v>
      </c>
      <c r="F67" s="161">
        <f t="shared" si="3"/>
        <v>5.9728211056951218E-2</v>
      </c>
    </row>
    <row r="68" spans="1:6" ht="15" customHeight="1" x14ac:dyDescent="0.2">
      <c r="A68" s="147">
        <v>7</v>
      </c>
      <c r="B68" s="160" t="s">
        <v>203</v>
      </c>
      <c r="C68" s="157">
        <v>461460</v>
      </c>
      <c r="D68" s="157">
        <v>490553</v>
      </c>
      <c r="E68" s="157">
        <f t="shared" si="2"/>
        <v>29093</v>
      </c>
      <c r="F68" s="161">
        <f t="shared" si="3"/>
        <v>6.3045551077016426E-2</v>
      </c>
    </row>
    <row r="69" spans="1:6" ht="15" customHeight="1" x14ac:dyDescent="0.2">
      <c r="A69" s="147">
        <v>8</v>
      </c>
      <c r="B69" s="160" t="s">
        <v>204</v>
      </c>
      <c r="C69" s="157">
        <v>157555</v>
      </c>
      <c r="D69" s="157">
        <v>169173</v>
      </c>
      <c r="E69" s="157">
        <f t="shared" si="2"/>
        <v>11618</v>
      </c>
      <c r="F69" s="161">
        <f t="shared" si="3"/>
        <v>7.3739329123163333E-2</v>
      </c>
    </row>
    <row r="70" spans="1:6" ht="15" customHeight="1" x14ac:dyDescent="0.2">
      <c r="A70" s="147">
        <v>9</v>
      </c>
      <c r="B70" s="160" t="s">
        <v>205</v>
      </c>
      <c r="C70" s="157">
        <v>26824</v>
      </c>
      <c r="D70" s="157">
        <v>35841</v>
      </c>
      <c r="E70" s="157">
        <f t="shared" si="2"/>
        <v>9017</v>
      </c>
      <c r="F70" s="161">
        <f t="shared" si="3"/>
        <v>0.33615419027736354</v>
      </c>
    </row>
    <row r="71" spans="1:6" ht="15" customHeight="1" x14ac:dyDescent="0.2">
      <c r="A71" s="147">
        <v>10</v>
      </c>
      <c r="B71" s="160" t="s">
        <v>206</v>
      </c>
      <c r="C71" s="157">
        <v>50242</v>
      </c>
      <c r="D71" s="157">
        <v>8539</v>
      </c>
      <c r="E71" s="157">
        <f t="shared" si="2"/>
        <v>-41703</v>
      </c>
      <c r="F71" s="161">
        <f t="shared" si="3"/>
        <v>-0.83004259384578638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254675</v>
      </c>
      <c r="D73" s="157">
        <v>190428</v>
      </c>
      <c r="E73" s="157">
        <f t="shared" si="2"/>
        <v>-64247</v>
      </c>
      <c r="F73" s="161">
        <f t="shared" si="3"/>
        <v>-0.25227054088544221</v>
      </c>
    </row>
    <row r="74" spans="1:6" ht="15" customHeight="1" x14ac:dyDescent="0.2">
      <c r="A74" s="147">
        <v>13</v>
      </c>
      <c r="B74" s="160" t="s">
        <v>209</v>
      </c>
      <c r="C74" s="157">
        <v>29768</v>
      </c>
      <c r="D74" s="157">
        <v>25522</v>
      </c>
      <c r="E74" s="157">
        <f t="shared" si="2"/>
        <v>-4246</v>
      </c>
      <c r="F74" s="161">
        <f t="shared" si="3"/>
        <v>-0.14263638806772372</v>
      </c>
    </row>
    <row r="75" spans="1:6" ht="15" customHeight="1" x14ac:dyDescent="0.2">
      <c r="A75" s="147">
        <v>14</v>
      </c>
      <c r="B75" s="160" t="s">
        <v>210</v>
      </c>
      <c r="C75" s="157">
        <v>77281</v>
      </c>
      <c r="D75" s="157">
        <v>80282</v>
      </c>
      <c r="E75" s="157">
        <f t="shared" si="2"/>
        <v>3001</v>
      </c>
      <c r="F75" s="161">
        <f t="shared" si="3"/>
        <v>3.8832313246464203E-2</v>
      </c>
    </row>
    <row r="76" spans="1:6" ht="15" customHeight="1" x14ac:dyDescent="0.2">
      <c r="A76" s="147">
        <v>15</v>
      </c>
      <c r="B76" s="160" t="s">
        <v>211</v>
      </c>
      <c r="C76" s="157">
        <v>200427</v>
      </c>
      <c r="D76" s="157">
        <v>92199</v>
      </c>
      <c r="E76" s="157">
        <f t="shared" si="2"/>
        <v>-108228</v>
      </c>
      <c r="F76" s="161">
        <f t="shared" si="3"/>
        <v>-0.53998712748282418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943167</v>
      </c>
      <c r="D78" s="157">
        <v>911987</v>
      </c>
      <c r="E78" s="157">
        <f t="shared" si="2"/>
        <v>-31180</v>
      </c>
      <c r="F78" s="161">
        <f t="shared" si="3"/>
        <v>-3.305883263515369E-2</v>
      </c>
    </row>
    <row r="79" spans="1:6" ht="15" customHeight="1" x14ac:dyDescent="0.2">
      <c r="A79" s="147">
        <v>18</v>
      </c>
      <c r="B79" s="160" t="s">
        <v>214</v>
      </c>
      <c r="C79" s="157">
        <v>110415</v>
      </c>
      <c r="D79" s="157">
        <v>66101</v>
      </c>
      <c r="E79" s="157">
        <f t="shared" si="2"/>
        <v>-44314</v>
      </c>
      <c r="F79" s="161">
        <f t="shared" si="3"/>
        <v>-0.40134039759090701</v>
      </c>
    </row>
    <row r="80" spans="1:6" ht="15" customHeight="1" x14ac:dyDescent="0.2">
      <c r="A80" s="147">
        <v>19</v>
      </c>
      <c r="B80" s="160" t="s">
        <v>215</v>
      </c>
      <c r="C80" s="157">
        <v>279626</v>
      </c>
      <c r="D80" s="157">
        <v>282223</v>
      </c>
      <c r="E80" s="157">
        <f t="shared" si="2"/>
        <v>2597</v>
      </c>
      <c r="F80" s="161">
        <f t="shared" si="3"/>
        <v>9.2874053199630928E-3</v>
      </c>
    </row>
    <row r="81" spans="1:6" ht="15" customHeight="1" x14ac:dyDescent="0.2">
      <c r="A81" s="147">
        <v>20</v>
      </c>
      <c r="B81" s="160" t="s">
        <v>216</v>
      </c>
      <c r="C81" s="157">
        <v>977414</v>
      </c>
      <c r="D81" s="157">
        <v>836799</v>
      </c>
      <c r="E81" s="157">
        <f t="shared" si="2"/>
        <v>-140615</v>
      </c>
      <c r="F81" s="161">
        <f t="shared" si="3"/>
        <v>-0.14386431952069439</v>
      </c>
    </row>
    <row r="82" spans="1:6" ht="15" customHeight="1" x14ac:dyDescent="0.2">
      <c r="A82" s="147">
        <v>21</v>
      </c>
      <c r="B82" s="160" t="s">
        <v>217</v>
      </c>
      <c r="C82" s="157">
        <v>669592</v>
      </c>
      <c r="D82" s="157">
        <v>741577</v>
      </c>
      <c r="E82" s="157">
        <f t="shared" si="2"/>
        <v>71985</v>
      </c>
      <c r="F82" s="161">
        <f t="shared" si="3"/>
        <v>0.10750576470447676</v>
      </c>
    </row>
    <row r="83" spans="1:6" ht="15" customHeight="1" x14ac:dyDescent="0.2">
      <c r="A83" s="147">
        <v>22</v>
      </c>
      <c r="B83" s="160" t="s">
        <v>218</v>
      </c>
      <c r="C83" s="157">
        <v>15225</v>
      </c>
      <c r="D83" s="157">
        <v>0</v>
      </c>
      <c r="E83" s="157">
        <f t="shared" si="2"/>
        <v>-15225</v>
      </c>
      <c r="F83" s="161">
        <f t="shared" si="3"/>
        <v>-1</v>
      </c>
    </row>
    <row r="84" spans="1:6" ht="15" customHeight="1" x14ac:dyDescent="0.2">
      <c r="A84" s="147">
        <v>23</v>
      </c>
      <c r="B84" s="160" t="s">
        <v>219</v>
      </c>
      <c r="C84" s="157">
        <v>264768</v>
      </c>
      <c r="D84" s="157">
        <v>275445</v>
      </c>
      <c r="E84" s="157">
        <f t="shared" si="2"/>
        <v>10677</v>
      </c>
      <c r="F84" s="161">
        <f t="shared" si="3"/>
        <v>4.0325870195794054E-2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142083</v>
      </c>
      <c r="D86" s="157">
        <v>140866</v>
      </c>
      <c r="E86" s="157">
        <f t="shared" si="2"/>
        <v>-1217</v>
      </c>
      <c r="F86" s="161">
        <f t="shared" si="3"/>
        <v>-8.5654159892457234E-3</v>
      </c>
    </row>
    <row r="87" spans="1:6" ht="15" customHeight="1" x14ac:dyDescent="0.2">
      <c r="A87" s="147">
        <v>26</v>
      </c>
      <c r="B87" s="160" t="s">
        <v>222</v>
      </c>
      <c r="C87" s="157">
        <v>851524</v>
      </c>
      <c r="D87" s="157">
        <v>747468</v>
      </c>
      <c r="E87" s="157">
        <f t="shared" si="2"/>
        <v>-104056</v>
      </c>
      <c r="F87" s="161">
        <f t="shared" si="3"/>
        <v>-0.12219972660782315</v>
      </c>
    </row>
    <row r="88" spans="1:6" ht="15" customHeight="1" x14ac:dyDescent="0.2">
      <c r="A88" s="147">
        <v>27</v>
      </c>
      <c r="B88" s="160" t="s">
        <v>223</v>
      </c>
      <c r="C88" s="157">
        <v>666560</v>
      </c>
      <c r="D88" s="157">
        <v>634655</v>
      </c>
      <c r="E88" s="157">
        <f t="shared" si="2"/>
        <v>-31905</v>
      </c>
      <c r="F88" s="161">
        <f t="shared" si="3"/>
        <v>-4.7865158425348053E-2</v>
      </c>
    </row>
    <row r="89" spans="1:6" ht="15" customHeight="1" x14ac:dyDescent="0.2">
      <c r="A89" s="147">
        <v>28</v>
      </c>
      <c r="B89" s="160" t="s">
        <v>224</v>
      </c>
      <c r="C89" s="157">
        <v>2777158</v>
      </c>
      <c r="D89" s="157">
        <v>3660775</v>
      </c>
      <c r="E89" s="157">
        <f t="shared" si="2"/>
        <v>883617</v>
      </c>
      <c r="F89" s="161">
        <f t="shared" si="3"/>
        <v>0.31817311078447824</v>
      </c>
    </row>
    <row r="90" spans="1:6" ht="15.75" customHeight="1" x14ac:dyDescent="0.25">
      <c r="A90" s="147"/>
      <c r="B90" s="162" t="s">
        <v>225</v>
      </c>
      <c r="C90" s="158">
        <f>SUM(C62:C89)</f>
        <v>12245280</v>
      </c>
      <c r="D90" s="158">
        <f>SUM(D62:D89)</f>
        <v>12392114</v>
      </c>
      <c r="E90" s="158">
        <f t="shared" si="2"/>
        <v>146834</v>
      </c>
      <c r="F90" s="159">
        <f t="shared" si="3"/>
        <v>1.1991069211973919E-2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291474</v>
      </c>
      <c r="D93" s="157">
        <v>297394</v>
      </c>
      <c r="E93" s="157">
        <f>+D93-C93</f>
        <v>5920</v>
      </c>
      <c r="F93" s="161">
        <f>IF(C93=0,0,E93/C93)</f>
        <v>2.0310559432402203E-2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65981058</v>
      </c>
      <c r="D95" s="158">
        <f>+D93+D90+D59+D50+D47+D44+D41+D35+D30+D24+D18</f>
        <v>63578052</v>
      </c>
      <c r="E95" s="158">
        <f>+D95-C95</f>
        <v>-2403006</v>
      </c>
      <c r="F95" s="159">
        <f>IF(C95=0,0,E95/C95)</f>
        <v>-3.6419634253212492E-2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5251402</v>
      </c>
      <c r="D103" s="157">
        <v>6357098</v>
      </c>
      <c r="E103" s="157">
        <f t="shared" ref="E103:E121" si="4">D103-C103</f>
        <v>1105696</v>
      </c>
      <c r="F103" s="161">
        <f t="shared" ref="F103:F121" si="5">IF(C103=0,0,E103/C103)</f>
        <v>0.21055253435177881</v>
      </c>
    </row>
    <row r="104" spans="1:6" ht="15" customHeight="1" x14ac:dyDescent="0.2">
      <c r="A104" s="147">
        <v>2</v>
      </c>
      <c r="B104" s="169" t="s">
        <v>234</v>
      </c>
      <c r="C104" s="157">
        <v>716197</v>
      </c>
      <c r="D104" s="157">
        <v>641636</v>
      </c>
      <c r="E104" s="157">
        <f t="shared" si="4"/>
        <v>-74561</v>
      </c>
      <c r="F104" s="161">
        <f t="shared" si="5"/>
        <v>-0.10410683094176602</v>
      </c>
    </row>
    <row r="105" spans="1:6" ht="15" customHeight="1" x14ac:dyDescent="0.2">
      <c r="A105" s="147">
        <v>3</v>
      </c>
      <c r="B105" s="169" t="s">
        <v>235</v>
      </c>
      <c r="C105" s="157">
        <v>1183232</v>
      </c>
      <c r="D105" s="157">
        <v>1135091</v>
      </c>
      <c r="E105" s="157">
        <f t="shared" si="4"/>
        <v>-48141</v>
      </c>
      <c r="F105" s="161">
        <f t="shared" si="5"/>
        <v>-4.0686019309822588E-2</v>
      </c>
    </row>
    <row r="106" spans="1:6" ht="15" customHeight="1" x14ac:dyDescent="0.2">
      <c r="A106" s="147">
        <v>4</v>
      </c>
      <c r="B106" s="169" t="s">
        <v>236</v>
      </c>
      <c r="C106" s="157">
        <v>924368</v>
      </c>
      <c r="D106" s="157">
        <v>849811</v>
      </c>
      <c r="E106" s="157">
        <f t="shared" si="4"/>
        <v>-74557</v>
      </c>
      <c r="F106" s="161">
        <f t="shared" si="5"/>
        <v>-8.0657270697384598E-2</v>
      </c>
    </row>
    <row r="107" spans="1:6" ht="15" customHeight="1" x14ac:dyDescent="0.2">
      <c r="A107" s="147">
        <v>5</v>
      </c>
      <c r="B107" s="169" t="s">
        <v>237</v>
      </c>
      <c r="C107" s="157">
        <v>1643917</v>
      </c>
      <c r="D107" s="157">
        <v>1499147</v>
      </c>
      <c r="E107" s="157">
        <f t="shared" si="4"/>
        <v>-144770</v>
      </c>
      <c r="F107" s="161">
        <f t="shared" si="5"/>
        <v>-8.8064056761989806E-2</v>
      </c>
    </row>
    <row r="108" spans="1:6" ht="15" customHeight="1" x14ac:dyDescent="0.2">
      <c r="A108" s="147">
        <v>6</v>
      </c>
      <c r="B108" s="169" t="s">
        <v>238</v>
      </c>
      <c r="C108" s="157">
        <v>175629</v>
      </c>
      <c r="D108" s="157">
        <v>184340</v>
      </c>
      <c r="E108" s="157">
        <f t="shared" si="4"/>
        <v>8711</v>
      </c>
      <c r="F108" s="161">
        <f t="shared" si="5"/>
        <v>4.9598870346013471E-2</v>
      </c>
    </row>
    <row r="109" spans="1:6" ht="15" customHeight="1" x14ac:dyDescent="0.2">
      <c r="A109" s="147">
        <v>7</v>
      </c>
      <c r="B109" s="169" t="s">
        <v>239</v>
      </c>
      <c r="C109" s="157">
        <v>7363274</v>
      </c>
      <c r="D109" s="157">
        <v>6886655</v>
      </c>
      <c r="E109" s="157">
        <f t="shared" si="4"/>
        <v>-476619</v>
      </c>
      <c r="F109" s="161">
        <f t="shared" si="5"/>
        <v>-6.4729222354077826E-2</v>
      </c>
    </row>
    <row r="110" spans="1:6" ht="15" customHeight="1" x14ac:dyDescent="0.2">
      <c r="A110" s="147">
        <v>8</v>
      </c>
      <c r="B110" s="169" t="s">
        <v>240</v>
      </c>
      <c r="C110" s="157">
        <v>388162</v>
      </c>
      <c r="D110" s="157">
        <v>104740</v>
      </c>
      <c r="E110" s="157">
        <f t="shared" si="4"/>
        <v>-283422</v>
      </c>
      <c r="F110" s="161">
        <f t="shared" si="5"/>
        <v>-0.73016420978869645</v>
      </c>
    </row>
    <row r="111" spans="1:6" ht="15" customHeight="1" x14ac:dyDescent="0.2">
      <c r="A111" s="147">
        <v>9</v>
      </c>
      <c r="B111" s="169" t="s">
        <v>241</v>
      </c>
      <c r="C111" s="157">
        <v>280545</v>
      </c>
      <c r="D111" s="157">
        <v>277303</v>
      </c>
      <c r="E111" s="157">
        <f t="shared" si="4"/>
        <v>-3242</v>
      </c>
      <c r="F111" s="161">
        <f t="shared" si="5"/>
        <v>-1.1556078347502182E-2</v>
      </c>
    </row>
    <row r="112" spans="1:6" ht="15" customHeight="1" x14ac:dyDescent="0.2">
      <c r="A112" s="147">
        <v>10</v>
      </c>
      <c r="B112" s="169" t="s">
        <v>242</v>
      </c>
      <c r="C112" s="157">
        <v>761641</v>
      </c>
      <c r="D112" s="157">
        <v>775747</v>
      </c>
      <c r="E112" s="157">
        <f t="shared" si="4"/>
        <v>14106</v>
      </c>
      <c r="F112" s="161">
        <f t="shared" si="5"/>
        <v>1.8520536578256686E-2</v>
      </c>
    </row>
    <row r="113" spans="1:6" ht="15" customHeight="1" x14ac:dyDescent="0.2">
      <c r="A113" s="147">
        <v>11</v>
      </c>
      <c r="B113" s="169" t="s">
        <v>243</v>
      </c>
      <c r="C113" s="157">
        <v>697389</v>
      </c>
      <c r="D113" s="157">
        <v>680851</v>
      </c>
      <c r="E113" s="157">
        <f t="shared" si="4"/>
        <v>-16538</v>
      </c>
      <c r="F113" s="161">
        <f t="shared" si="5"/>
        <v>-2.3714168132849815E-2</v>
      </c>
    </row>
    <row r="114" spans="1:6" ht="15" customHeight="1" x14ac:dyDescent="0.2">
      <c r="A114" s="147">
        <v>12</v>
      </c>
      <c r="B114" s="169" t="s">
        <v>244</v>
      </c>
      <c r="C114" s="157">
        <v>266969</v>
      </c>
      <c r="D114" s="157">
        <v>277900</v>
      </c>
      <c r="E114" s="157">
        <f t="shared" si="4"/>
        <v>10931</v>
      </c>
      <c r="F114" s="161">
        <f t="shared" si="5"/>
        <v>4.0944828800347603E-2</v>
      </c>
    </row>
    <row r="115" spans="1:6" ht="15" customHeight="1" x14ac:dyDescent="0.2">
      <c r="A115" s="147">
        <v>13</v>
      </c>
      <c r="B115" s="169" t="s">
        <v>245</v>
      </c>
      <c r="C115" s="157">
        <v>1879045</v>
      </c>
      <c r="D115" s="157">
        <v>1882207</v>
      </c>
      <c r="E115" s="157">
        <f t="shared" si="4"/>
        <v>3162</v>
      </c>
      <c r="F115" s="161">
        <f t="shared" si="5"/>
        <v>1.6827697048234609E-3</v>
      </c>
    </row>
    <row r="116" spans="1:6" ht="15" customHeight="1" x14ac:dyDescent="0.2">
      <c r="A116" s="147">
        <v>14</v>
      </c>
      <c r="B116" s="169" t="s">
        <v>246</v>
      </c>
      <c r="C116" s="157">
        <v>163946</v>
      </c>
      <c r="D116" s="157">
        <v>171189</v>
      </c>
      <c r="E116" s="157">
        <f t="shared" si="4"/>
        <v>7243</v>
      </c>
      <c r="F116" s="161">
        <f t="shared" si="5"/>
        <v>4.4179180949824939E-2</v>
      </c>
    </row>
    <row r="117" spans="1:6" ht="15" customHeight="1" x14ac:dyDescent="0.2">
      <c r="A117" s="147">
        <v>15</v>
      </c>
      <c r="B117" s="169" t="s">
        <v>203</v>
      </c>
      <c r="C117" s="157">
        <v>769941</v>
      </c>
      <c r="D117" s="157">
        <v>1046232</v>
      </c>
      <c r="E117" s="157">
        <f t="shared" si="4"/>
        <v>276291</v>
      </c>
      <c r="F117" s="161">
        <f t="shared" si="5"/>
        <v>0.35884697658651765</v>
      </c>
    </row>
    <row r="118" spans="1:6" ht="15" customHeight="1" x14ac:dyDescent="0.2">
      <c r="A118" s="147">
        <v>16</v>
      </c>
      <c r="B118" s="169" t="s">
        <v>247</v>
      </c>
      <c r="C118" s="157">
        <v>227073</v>
      </c>
      <c r="D118" s="157">
        <v>186753</v>
      </c>
      <c r="E118" s="157">
        <f t="shared" si="4"/>
        <v>-40320</v>
      </c>
      <c r="F118" s="161">
        <f t="shared" si="5"/>
        <v>-0.17756404328123554</v>
      </c>
    </row>
    <row r="119" spans="1:6" ht="15" customHeight="1" x14ac:dyDescent="0.2">
      <c r="A119" s="147">
        <v>17</v>
      </c>
      <c r="B119" s="169" t="s">
        <v>248</v>
      </c>
      <c r="C119" s="157">
        <v>3214901</v>
      </c>
      <c r="D119" s="157">
        <v>5073363</v>
      </c>
      <c r="E119" s="157">
        <f t="shared" si="4"/>
        <v>1858462</v>
      </c>
      <c r="F119" s="161">
        <f t="shared" si="5"/>
        <v>0.57807752089411146</v>
      </c>
    </row>
    <row r="120" spans="1:6" ht="15" customHeight="1" x14ac:dyDescent="0.2">
      <c r="A120" s="147">
        <v>18</v>
      </c>
      <c r="B120" s="169" t="s">
        <v>249</v>
      </c>
      <c r="C120" s="157">
        <v>4501031</v>
      </c>
      <c r="D120" s="157">
        <v>4279512</v>
      </c>
      <c r="E120" s="157">
        <f t="shared" si="4"/>
        <v>-221519</v>
      </c>
      <c r="F120" s="161">
        <f t="shared" si="5"/>
        <v>-4.9215168702459504E-2</v>
      </c>
    </row>
    <row r="121" spans="1:6" ht="15.75" customHeight="1" x14ac:dyDescent="0.25">
      <c r="A121" s="147"/>
      <c r="B121" s="165" t="s">
        <v>250</v>
      </c>
      <c r="C121" s="158">
        <f>SUM(C103:C120)</f>
        <v>30408662</v>
      </c>
      <c r="D121" s="158">
        <f>SUM(D103:D120)</f>
        <v>32309575</v>
      </c>
      <c r="E121" s="158">
        <f t="shared" si="4"/>
        <v>1900913</v>
      </c>
      <c r="F121" s="159">
        <f t="shared" si="5"/>
        <v>6.251222102439101E-2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1006215</v>
      </c>
      <c r="D124" s="157">
        <v>950070</v>
      </c>
      <c r="E124" s="157">
        <f t="shared" ref="E124:E130" si="6">D124-C124</f>
        <v>-56145</v>
      </c>
      <c r="F124" s="161">
        <f t="shared" ref="F124:F130" si="7">IF(C124=0,0,E124/C124)</f>
        <v>-5.5798214099372398E-2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855495</v>
      </c>
      <c r="D126" s="157">
        <v>691682</v>
      </c>
      <c r="E126" s="157">
        <f t="shared" si="6"/>
        <v>-163813</v>
      </c>
      <c r="F126" s="161">
        <f t="shared" si="7"/>
        <v>-0.19148329329803213</v>
      </c>
    </row>
    <row r="127" spans="1:6" ht="15" customHeight="1" x14ac:dyDescent="0.2">
      <c r="A127" s="147">
        <v>4</v>
      </c>
      <c r="B127" s="169" t="s">
        <v>255</v>
      </c>
      <c r="C127" s="157">
        <v>879322</v>
      </c>
      <c r="D127" s="157">
        <v>943165</v>
      </c>
      <c r="E127" s="157">
        <f t="shared" si="6"/>
        <v>63843</v>
      </c>
      <c r="F127" s="161">
        <f t="shared" si="7"/>
        <v>7.2604802336345503E-2</v>
      </c>
    </row>
    <row r="128" spans="1:6" ht="15" customHeight="1" x14ac:dyDescent="0.2">
      <c r="A128" s="147">
        <v>5</v>
      </c>
      <c r="B128" s="169" t="s">
        <v>256</v>
      </c>
      <c r="C128" s="157">
        <v>0</v>
      </c>
      <c r="D128" s="157">
        <v>0</v>
      </c>
      <c r="E128" s="157">
        <f t="shared" si="6"/>
        <v>0</v>
      </c>
      <c r="F128" s="161">
        <f t="shared" si="7"/>
        <v>0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2741032</v>
      </c>
      <c r="D130" s="158">
        <f>SUM(D124:D129)</f>
        <v>2584917</v>
      </c>
      <c r="E130" s="158">
        <f t="shared" si="6"/>
        <v>-156115</v>
      </c>
      <c r="F130" s="159">
        <f t="shared" si="7"/>
        <v>-5.6954825773650214E-2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1744436</v>
      </c>
      <c r="D133" s="157">
        <v>1542168</v>
      </c>
      <c r="E133" s="157">
        <f t="shared" ref="E133:E167" si="8">D133-C133</f>
        <v>-202268</v>
      </c>
      <c r="F133" s="161">
        <f t="shared" ref="F133:F167" si="9">IF(C133=0,0,E133/C133)</f>
        <v>-0.11595037020561373</v>
      </c>
    </row>
    <row r="134" spans="1:6" ht="15" customHeight="1" x14ac:dyDescent="0.2">
      <c r="A134" s="147">
        <v>2</v>
      </c>
      <c r="B134" s="169" t="s">
        <v>261</v>
      </c>
      <c r="C134" s="157">
        <v>333444</v>
      </c>
      <c r="D134" s="157">
        <v>317015</v>
      </c>
      <c r="E134" s="157">
        <f t="shared" si="8"/>
        <v>-16429</v>
      </c>
      <c r="F134" s="161">
        <f t="shared" si="9"/>
        <v>-4.9270642146807257E-2</v>
      </c>
    </row>
    <row r="135" spans="1:6" ht="15" customHeight="1" x14ac:dyDescent="0.2">
      <c r="A135" s="147">
        <v>3</v>
      </c>
      <c r="B135" s="169" t="s">
        <v>262</v>
      </c>
      <c r="C135" s="157">
        <v>464175</v>
      </c>
      <c r="D135" s="157">
        <v>584573</v>
      </c>
      <c r="E135" s="157">
        <f t="shared" si="8"/>
        <v>120398</v>
      </c>
      <c r="F135" s="161">
        <f t="shared" si="9"/>
        <v>0.25938062153282704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2148144</v>
      </c>
      <c r="D137" s="157">
        <v>2086259</v>
      </c>
      <c r="E137" s="157">
        <f t="shared" si="8"/>
        <v>-61885</v>
      </c>
      <c r="F137" s="161">
        <f t="shared" si="9"/>
        <v>-2.8808590113139527E-2</v>
      </c>
    </row>
    <row r="138" spans="1:6" ht="15" customHeight="1" x14ac:dyDescent="0.2">
      <c r="A138" s="147">
        <v>6</v>
      </c>
      <c r="B138" s="169" t="s">
        <v>265</v>
      </c>
      <c r="C138" s="157">
        <v>293571</v>
      </c>
      <c r="D138" s="157">
        <v>297744</v>
      </c>
      <c r="E138" s="157">
        <f t="shared" si="8"/>
        <v>4173</v>
      </c>
      <c r="F138" s="161">
        <f t="shared" si="9"/>
        <v>1.4214619291415024E-2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399764</v>
      </c>
      <c r="D140" s="157">
        <v>372056</v>
      </c>
      <c r="E140" s="157">
        <f t="shared" si="8"/>
        <v>-27708</v>
      </c>
      <c r="F140" s="161">
        <f t="shared" si="9"/>
        <v>-6.9310893427122003E-2</v>
      </c>
    </row>
    <row r="141" spans="1:6" ht="15" customHeight="1" x14ac:dyDescent="0.2">
      <c r="A141" s="147">
        <v>9</v>
      </c>
      <c r="B141" s="169" t="s">
        <v>268</v>
      </c>
      <c r="C141" s="157">
        <v>348562</v>
      </c>
      <c r="D141" s="157">
        <v>372782</v>
      </c>
      <c r="E141" s="157">
        <f t="shared" si="8"/>
        <v>24220</v>
      </c>
      <c r="F141" s="161">
        <f t="shared" si="9"/>
        <v>6.9485486082820277E-2</v>
      </c>
    </row>
    <row r="142" spans="1:6" ht="15" customHeight="1" x14ac:dyDescent="0.2">
      <c r="A142" s="147">
        <v>10</v>
      </c>
      <c r="B142" s="169" t="s">
        <v>269</v>
      </c>
      <c r="C142" s="157">
        <v>3447796</v>
      </c>
      <c r="D142" s="157">
        <v>3356317</v>
      </c>
      <c r="E142" s="157">
        <f t="shared" si="8"/>
        <v>-91479</v>
      </c>
      <c r="F142" s="161">
        <f t="shared" si="9"/>
        <v>-2.6532602276932857E-2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261495</v>
      </c>
      <c r="D144" s="157">
        <v>271973</v>
      </c>
      <c r="E144" s="157">
        <f t="shared" si="8"/>
        <v>10478</v>
      </c>
      <c r="F144" s="161">
        <f t="shared" si="9"/>
        <v>4.0069599801143427E-2</v>
      </c>
    </row>
    <row r="145" spans="1:6" ht="15" customHeight="1" x14ac:dyDescent="0.2">
      <c r="A145" s="147">
        <v>13</v>
      </c>
      <c r="B145" s="169" t="s">
        <v>272</v>
      </c>
      <c r="C145" s="157">
        <v>64353</v>
      </c>
      <c r="D145" s="157">
        <v>68199</v>
      </c>
      <c r="E145" s="157">
        <f t="shared" si="8"/>
        <v>3846</v>
      </c>
      <c r="F145" s="161">
        <f t="shared" si="9"/>
        <v>5.9764113561139344E-2</v>
      </c>
    </row>
    <row r="146" spans="1:6" ht="15" customHeight="1" x14ac:dyDescent="0.2">
      <c r="A146" s="147">
        <v>14</v>
      </c>
      <c r="B146" s="169" t="s">
        <v>273</v>
      </c>
      <c r="C146" s="157">
        <v>24654</v>
      </c>
      <c r="D146" s="157">
        <v>19810</v>
      </c>
      <c r="E146" s="157">
        <f t="shared" si="8"/>
        <v>-4844</v>
      </c>
      <c r="F146" s="161">
        <f t="shared" si="9"/>
        <v>-0.1964792731402612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718444</v>
      </c>
      <c r="D150" s="157">
        <v>703567</v>
      </c>
      <c r="E150" s="157">
        <f t="shared" si="8"/>
        <v>-14877</v>
      </c>
      <c r="F150" s="161">
        <f t="shared" si="9"/>
        <v>-2.0707250669502426E-2</v>
      </c>
    </row>
    <row r="151" spans="1:6" ht="15" customHeight="1" x14ac:dyDescent="0.2">
      <c r="A151" s="147">
        <v>19</v>
      </c>
      <c r="B151" s="169" t="s">
        <v>278</v>
      </c>
      <c r="C151" s="157">
        <v>393647</v>
      </c>
      <c r="D151" s="157">
        <v>315586</v>
      </c>
      <c r="E151" s="157">
        <f t="shared" si="8"/>
        <v>-78061</v>
      </c>
      <c r="F151" s="161">
        <f t="shared" si="9"/>
        <v>-0.19830203202361507</v>
      </c>
    </row>
    <row r="152" spans="1:6" ht="15" customHeight="1" x14ac:dyDescent="0.2">
      <c r="A152" s="147">
        <v>20</v>
      </c>
      <c r="B152" s="169" t="s">
        <v>279</v>
      </c>
      <c r="C152" s="157">
        <v>110547</v>
      </c>
      <c r="D152" s="157">
        <v>129372</v>
      </c>
      <c r="E152" s="157">
        <f t="shared" si="8"/>
        <v>18825</v>
      </c>
      <c r="F152" s="161">
        <f t="shared" si="9"/>
        <v>0.1702895600966105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204338</v>
      </c>
      <c r="D154" s="157">
        <v>197885</v>
      </c>
      <c r="E154" s="157">
        <f t="shared" si="8"/>
        <v>-6453</v>
      </c>
      <c r="F154" s="161">
        <f t="shared" si="9"/>
        <v>-3.1580029167359962E-2</v>
      </c>
    </row>
    <row r="155" spans="1:6" ht="15" customHeight="1" x14ac:dyDescent="0.2">
      <c r="A155" s="147">
        <v>23</v>
      </c>
      <c r="B155" s="169" t="s">
        <v>282</v>
      </c>
      <c r="C155" s="157">
        <v>94827</v>
      </c>
      <c r="D155" s="157">
        <v>92255</v>
      </c>
      <c r="E155" s="157">
        <f t="shared" si="8"/>
        <v>-2572</v>
      </c>
      <c r="F155" s="161">
        <f t="shared" si="9"/>
        <v>-2.7123076760838159E-2</v>
      </c>
    </row>
    <row r="156" spans="1:6" ht="15" customHeight="1" x14ac:dyDescent="0.2">
      <c r="A156" s="147">
        <v>24</v>
      </c>
      <c r="B156" s="169" t="s">
        <v>283</v>
      </c>
      <c r="C156" s="157">
        <v>3633534</v>
      </c>
      <c r="D156" s="157">
        <v>3094824</v>
      </c>
      <c r="E156" s="157">
        <f t="shared" si="8"/>
        <v>-538710</v>
      </c>
      <c r="F156" s="161">
        <f t="shared" si="9"/>
        <v>-0.14826061900067539</v>
      </c>
    </row>
    <row r="157" spans="1:6" ht="15" customHeight="1" x14ac:dyDescent="0.2">
      <c r="A157" s="147">
        <v>25</v>
      </c>
      <c r="B157" s="169" t="s">
        <v>284</v>
      </c>
      <c r="C157" s="157">
        <v>698435</v>
      </c>
      <c r="D157" s="157">
        <v>689520</v>
      </c>
      <c r="E157" s="157">
        <f t="shared" si="8"/>
        <v>-8915</v>
      </c>
      <c r="F157" s="161">
        <f t="shared" si="9"/>
        <v>-1.2764251505150802E-2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0</v>
      </c>
      <c r="D160" s="157">
        <v>0</v>
      </c>
      <c r="E160" s="157">
        <f t="shared" si="8"/>
        <v>0</v>
      </c>
      <c r="F160" s="161">
        <f t="shared" si="9"/>
        <v>0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775531</v>
      </c>
      <c r="D164" s="157">
        <v>769147</v>
      </c>
      <c r="E164" s="157">
        <f t="shared" si="8"/>
        <v>-6384</v>
      </c>
      <c r="F164" s="161">
        <f t="shared" si="9"/>
        <v>-8.2317792583404149E-3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1483241</v>
      </c>
      <c r="D166" s="157">
        <v>1873019</v>
      </c>
      <c r="E166" s="157">
        <f t="shared" si="8"/>
        <v>389778</v>
      </c>
      <c r="F166" s="161">
        <f t="shared" si="9"/>
        <v>0.26278804321077964</v>
      </c>
    </row>
    <row r="167" spans="1:6" ht="15.75" customHeight="1" x14ac:dyDescent="0.25">
      <c r="A167" s="147"/>
      <c r="B167" s="165" t="s">
        <v>294</v>
      </c>
      <c r="C167" s="158">
        <f>SUM(C133:C166)</f>
        <v>17642938</v>
      </c>
      <c r="D167" s="158">
        <f>SUM(D133:D166)</f>
        <v>17154071</v>
      </c>
      <c r="E167" s="158">
        <f t="shared" si="8"/>
        <v>-488867</v>
      </c>
      <c r="F167" s="159">
        <f t="shared" si="9"/>
        <v>-2.7708933738813796E-2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3646267</v>
      </c>
      <c r="D170" s="157">
        <v>3562559</v>
      </c>
      <c r="E170" s="157">
        <f t="shared" ref="E170:E183" si="10">D170-C170</f>
        <v>-83708</v>
      </c>
      <c r="F170" s="161">
        <f t="shared" ref="F170:F183" si="11">IF(C170=0,0,E170/C170)</f>
        <v>-2.2957177847919528E-2</v>
      </c>
    </row>
    <row r="171" spans="1:6" ht="15" customHeight="1" x14ac:dyDescent="0.2">
      <c r="A171" s="147">
        <v>2</v>
      </c>
      <c r="B171" s="169" t="s">
        <v>297</v>
      </c>
      <c r="C171" s="157">
        <v>1387027</v>
      </c>
      <c r="D171" s="157">
        <v>1373067</v>
      </c>
      <c r="E171" s="157">
        <f t="shared" si="10"/>
        <v>-13960</v>
      </c>
      <c r="F171" s="161">
        <f t="shared" si="11"/>
        <v>-1.0064692323941783E-2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2169504</v>
      </c>
      <c r="D173" s="157">
        <v>2183818</v>
      </c>
      <c r="E173" s="157">
        <f t="shared" si="10"/>
        <v>14314</v>
      </c>
      <c r="F173" s="161">
        <f t="shared" si="11"/>
        <v>6.5978214375267338E-3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1125656</v>
      </c>
      <c r="D175" s="157">
        <v>1116371</v>
      </c>
      <c r="E175" s="157">
        <f t="shared" si="10"/>
        <v>-9285</v>
      </c>
      <c r="F175" s="161">
        <f t="shared" si="11"/>
        <v>-8.2485235276141197E-3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3295721</v>
      </c>
      <c r="D179" s="157">
        <v>3293674</v>
      </c>
      <c r="E179" s="157">
        <f t="shared" si="10"/>
        <v>-2047</v>
      </c>
      <c r="F179" s="161">
        <f t="shared" si="11"/>
        <v>-6.211084008628158E-4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11624175</v>
      </c>
      <c r="D183" s="158">
        <f>SUM(D170:D182)</f>
        <v>11529489</v>
      </c>
      <c r="E183" s="158">
        <f t="shared" si="10"/>
        <v>-94686</v>
      </c>
      <c r="F183" s="159">
        <f t="shared" si="11"/>
        <v>-8.1456103336365812E-3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3564251</v>
      </c>
      <c r="D186" s="157">
        <v>0</v>
      </c>
      <c r="E186" s="157">
        <f>D186-C186</f>
        <v>-3564251</v>
      </c>
      <c r="F186" s="161">
        <f>IF(C186=0,0,E186/C186)</f>
        <v>-1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65981058</v>
      </c>
      <c r="D188" s="158">
        <f>+D186+D183+D167+D130+D121</f>
        <v>63578052</v>
      </c>
      <c r="E188" s="158">
        <f>D188-C188</f>
        <v>-2403006</v>
      </c>
      <c r="F188" s="159">
        <f>IF(C188=0,0,E188/C188)</f>
        <v>-3.6419634253212492E-2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/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59499426</v>
      </c>
      <c r="D11" s="183">
        <v>65318419</v>
      </c>
      <c r="E11" s="76">
        <v>59633584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623863</v>
      </c>
      <c r="D12" s="185">
        <v>282934</v>
      </c>
      <c r="E12" s="185">
        <v>718658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60123289</v>
      </c>
      <c r="D13" s="76">
        <f>+D11+D12</f>
        <v>65601353</v>
      </c>
      <c r="E13" s="76">
        <f>+E11+E12</f>
        <v>60352242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61577163</v>
      </c>
      <c r="D14" s="185">
        <v>65981058</v>
      </c>
      <c r="E14" s="185">
        <v>63578052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-1453874</v>
      </c>
      <c r="D15" s="76">
        <f>+D13-D14</f>
        <v>-379705</v>
      </c>
      <c r="E15" s="76">
        <f>+E13-E14</f>
        <v>-3225810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1205826</v>
      </c>
      <c r="D16" s="185">
        <v>430461</v>
      </c>
      <c r="E16" s="185">
        <v>232279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-248048</v>
      </c>
      <c r="D17" s="76">
        <f>D15+D16</f>
        <v>50756</v>
      </c>
      <c r="E17" s="76">
        <f>E15+E16</f>
        <v>-2993531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-2.3706097829717582E-2</v>
      </c>
      <c r="D20" s="189">
        <f>IF(+D27=0,0,+D24/+D27)</f>
        <v>-5.7503342252569348E-3</v>
      </c>
      <c r="E20" s="189">
        <f>IF(+E27=0,0,+E24/+E27)</f>
        <v>-5.3244788384148485E-2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1.9661558788187306E-2</v>
      </c>
      <c r="D21" s="189">
        <f>IF(D27=0,0,+D26/D27)</f>
        <v>6.5189940109777996E-3</v>
      </c>
      <c r="E21" s="189">
        <f>IF(E27=0,0,+E26/E27)</f>
        <v>3.8339661049725886E-3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-4.0445390415302747E-3</v>
      </c>
      <c r="D22" s="189">
        <f>IF(D27=0,0,+D28/D27)</f>
        <v>7.6865978572086477E-4</v>
      </c>
      <c r="E22" s="189">
        <f>IF(E27=0,0,+E28/E27)</f>
        <v>-4.9410822279175898E-2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-1453874</v>
      </c>
      <c r="D24" s="76">
        <f>+D15</f>
        <v>-379705</v>
      </c>
      <c r="E24" s="76">
        <f>+E15</f>
        <v>-3225810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60123289</v>
      </c>
      <c r="D25" s="76">
        <f>+D13</f>
        <v>65601353</v>
      </c>
      <c r="E25" s="76">
        <f>+E13</f>
        <v>60352242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1205826</v>
      </c>
      <c r="D26" s="76">
        <f>+D16</f>
        <v>430461</v>
      </c>
      <c r="E26" s="76">
        <f>+E16</f>
        <v>232279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61329115</v>
      </c>
      <c r="D27" s="76">
        <f>+D25+D26</f>
        <v>66031814</v>
      </c>
      <c r="E27" s="76">
        <f>+E25+E26</f>
        <v>60584521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-248048</v>
      </c>
      <c r="D28" s="76">
        <f>+D17</f>
        <v>50756</v>
      </c>
      <c r="E28" s="76">
        <f>+E17</f>
        <v>-2993531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4359087</v>
      </c>
      <c r="D31" s="76">
        <v>4961873</v>
      </c>
      <c r="E31" s="76">
        <v>2069573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8690013</v>
      </c>
      <c r="D32" s="76">
        <v>9684598</v>
      </c>
      <c r="E32" s="76">
        <v>6911814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-43952</v>
      </c>
      <c r="D33" s="76">
        <f>+D32-C32</f>
        <v>994585</v>
      </c>
      <c r="E33" s="76">
        <f>+E32-D32</f>
        <v>-2772784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0.99490000000000001</v>
      </c>
      <c r="D34" s="193">
        <f>IF(C32=0,0,+D33/C32)</f>
        <v>0.11445149736830083</v>
      </c>
      <c r="E34" s="193">
        <f>IF(D32=0,0,+E33/D32)</f>
        <v>-0.28630863149921143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0.4105353463550549</v>
      </c>
      <c r="D38" s="195">
        <f>IF((D40+D41)=0,0,+D39/(D40+D41))</f>
        <v>0.43135426055264997</v>
      </c>
      <c r="E38" s="195">
        <f>IF((E40+E41)=0,0,+E39/(E40+E41))</f>
        <v>0.39884241069094017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61577163</v>
      </c>
      <c r="D39" s="76">
        <v>65981058</v>
      </c>
      <c r="E39" s="196">
        <v>63578052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148782545</v>
      </c>
      <c r="D40" s="76">
        <v>152679640</v>
      </c>
      <c r="E40" s="196">
        <v>159131313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1209809</v>
      </c>
      <c r="D41" s="76">
        <v>282934</v>
      </c>
      <c r="E41" s="196">
        <v>275135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1.3531318703525037</v>
      </c>
      <c r="D43" s="197">
        <f>IF(D38=0,0,IF((D46-D47)=0,0,((+D44-D45)/(D46-D47)/D38)))</f>
        <v>1.2823343828394123</v>
      </c>
      <c r="E43" s="197">
        <f>IF(E38=0,0,IF((E46-E47)=0,0,((+E44-E45)/(E46-E47)/E38)))</f>
        <v>1.3383997719777381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31234890</v>
      </c>
      <c r="D44" s="76">
        <v>30763776</v>
      </c>
      <c r="E44" s="196">
        <v>28880836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203253</v>
      </c>
      <c r="D45" s="76">
        <v>122287</v>
      </c>
      <c r="E45" s="196">
        <v>95489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58453607</v>
      </c>
      <c r="D46" s="76">
        <v>58588470</v>
      </c>
      <c r="E46" s="196">
        <v>56461997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2591925</v>
      </c>
      <c r="D47" s="76">
        <v>3192970</v>
      </c>
      <c r="E47" s="76">
        <v>2537726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0.78085947494102947</v>
      </c>
      <c r="D49" s="198">
        <f>IF(D38=0,0,IF(D51=0,0,(D50/D51)/D38))</f>
        <v>0.829281376934216</v>
      </c>
      <c r="E49" s="198">
        <f>IF(E38=0,0,IF(E51=0,0,(E50/E51)/E38))</f>
        <v>0.74028182304579804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22030836</v>
      </c>
      <c r="D50" s="199">
        <v>24669733</v>
      </c>
      <c r="E50" s="199">
        <v>22452248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68723859</v>
      </c>
      <c r="D51" s="199">
        <v>68964953</v>
      </c>
      <c r="E51" s="199">
        <v>76043380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0.65180569757573315</v>
      </c>
      <c r="D53" s="198">
        <f>IF(D38=0,0,IF(D55=0,0,(D54/D55)/D38))</f>
        <v>0.67863804022928775</v>
      </c>
      <c r="E53" s="198">
        <f>IF(E38=0,0,IF(E55=0,0,(E54/E55)/E38))</f>
        <v>0.58284535312317987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5516654</v>
      </c>
      <c r="D54" s="199">
        <v>7096251</v>
      </c>
      <c r="E54" s="199">
        <v>5963226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20616125</v>
      </c>
      <c r="D55" s="199">
        <v>24241343</v>
      </c>
      <c r="E55" s="199">
        <v>25652317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1070219.6679888363</v>
      </c>
      <c r="D57" s="88">
        <f>+D60*D38</f>
        <v>1620752.8130758444</v>
      </c>
      <c r="E57" s="88">
        <f>+E60*E38</f>
        <v>1900823.1029914173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465816</v>
      </c>
      <c r="D58" s="199">
        <v>193108</v>
      </c>
      <c r="E58" s="199">
        <v>310398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2141072</v>
      </c>
      <c r="D59" s="199">
        <v>3564251</v>
      </c>
      <c r="E59" s="199">
        <v>4455452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2606888</v>
      </c>
      <c r="D60" s="76">
        <v>3757359</v>
      </c>
      <c r="E60" s="201">
        <v>4765850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1.738013925696506E-2</v>
      </c>
      <c r="D62" s="202">
        <f>IF(D63=0,0,+D57/D63)</f>
        <v>2.4563910646535018E-2</v>
      </c>
      <c r="E62" s="202">
        <f>IF(E63=0,0,+E57/E63)</f>
        <v>2.9897473156167434E-2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61577163</v>
      </c>
      <c r="D63" s="199">
        <v>65981058</v>
      </c>
      <c r="E63" s="199">
        <v>63578052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0.94964488504157429</v>
      </c>
      <c r="D67" s="203">
        <f>IF(D69=0,0,D68/D69)</f>
        <v>0.95058854138630211</v>
      </c>
      <c r="E67" s="203">
        <f>IF(E69=0,0,E68/E69)</f>
        <v>0.43428757019677983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11631657</v>
      </c>
      <c r="D68" s="204">
        <v>11019268</v>
      </c>
      <c r="E68" s="204">
        <v>11357806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12248428</v>
      </c>
      <c r="D69" s="204">
        <v>11592048</v>
      </c>
      <c r="E69" s="204">
        <v>26152731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5.5368167474347381</v>
      </c>
      <c r="D71" s="203">
        <f>IF((D77/365)=0,0,+D74/(D77/365))</f>
        <v>4.5792825904920731</v>
      </c>
      <c r="E71" s="203">
        <f>IF((E77/365)=0,0,+E74/(E77/365))</f>
        <v>1.1353814568808447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884888</v>
      </c>
      <c r="D72" s="183">
        <v>787925</v>
      </c>
      <c r="E72" s="183">
        <v>188181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884888</v>
      </c>
      <c r="D74" s="204">
        <f>+D72+D73</f>
        <v>787925</v>
      </c>
      <c r="E74" s="204">
        <f>+E72+E73</f>
        <v>188181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61577163</v>
      </c>
      <c r="D75" s="204">
        <f>+D14</f>
        <v>65981058</v>
      </c>
      <c r="E75" s="204">
        <f>+E14</f>
        <v>63578052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3243262</v>
      </c>
      <c r="D76" s="204">
        <v>3178071</v>
      </c>
      <c r="E76" s="204">
        <v>3082027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58333901</v>
      </c>
      <c r="D77" s="204">
        <f>+D75-D76</f>
        <v>62802987</v>
      </c>
      <c r="E77" s="204">
        <f>+E75-E76</f>
        <v>60496025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36.501260028962299</v>
      </c>
      <c r="D79" s="203">
        <f>IF((D84/365)=0,0,+D83/(D84/365))</f>
        <v>37.725747388343862</v>
      </c>
      <c r="E79" s="203">
        <f>IF((E84/365)=0,0,+E83/(E84/365))</f>
        <v>29.060076114157418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7216452</v>
      </c>
      <c r="D80" s="212">
        <v>8023775</v>
      </c>
      <c r="E80" s="212">
        <v>7312397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1266304</v>
      </c>
      <c r="D82" s="212">
        <v>1272580</v>
      </c>
      <c r="E82" s="212">
        <v>2564571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5950148</v>
      </c>
      <c r="D83" s="212">
        <f>+D80+D81-D82</f>
        <v>6751195</v>
      </c>
      <c r="E83" s="212">
        <f>+E80+E81-E82</f>
        <v>4747826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59499426</v>
      </c>
      <c r="D84" s="204">
        <f>+D11</f>
        <v>65318419</v>
      </c>
      <c r="E84" s="204">
        <f>+E11</f>
        <v>59633584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76.639417960406931</v>
      </c>
      <c r="D86" s="203">
        <f>IF((D90/365)=0,0,+D87/(D90/365))</f>
        <v>67.370959919470067</v>
      </c>
      <c r="E86" s="203">
        <f>IF((E90/365)=0,0,+E87/(E90/365))</f>
        <v>157.79130637095577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12248428</v>
      </c>
      <c r="D87" s="76">
        <f>+D69</f>
        <v>11592048</v>
      </c>
      <c r="E87" s="76">
        <f>+E69</f>
        <v>26152731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61577163</v>
      </c>
      <c r="D88" s="76">
        <f t="shared" si="0"/>
        <v>65981058</v>
      </c>
      <c r="E88" s="76">
        <f t="shared" si="0"/>
        <v>63578052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3243262</v>
      </c>
      <c r="D89" s="201">
        <f t="shared" si="0"/>
        <v>3178071</v>
      </c>
      <c r="E89" s="201">
        <f t="shared" si="0"/>
        <v>3082027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58333901</v>
      </c>
      <c r="D90" s="76">
        <f>+D88-D89</f>
        <v>62802987</v>
      </c>
      <c r="E90" s="76">
        <f>+E88-E89</f>
        <v>60496025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20.063036164503629</v>
      </c>
      <c r="D94" s="214">
        <f>IF(D96=0,0,(D95/D96)*100)</f>
        <v>22.50092098454456</v>
      </c>
      <c r="E94" s="214">
        <f>IF(E96=0,0,(E95/E96)*100)</f>
        <v>16.444822531155175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8690013</v>
      </c>
      <c r="D95" s="76">
        <f>+D32</f>
        <v>9684598</v>
      </c>
      <c r="E95" s="76">
        <f>+E32</f>
        <v>6911814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43313549</v>
      </c>
      <c r="D96" s="76">
        <v>43040896</v>
      </c>
      <c r="E96" s="76">
        <v>42030335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12.271857074177113</v>
      </c>
      <c r="D98" s="214">
        <f>IF(D104=0,0,(D101/D104)*100)</f>
        <v>13.793514590424302</v>
      </c>
      <c r="E98" s="214">
        <f>IF(E104=0,0,(E101/E104)*100)</f>
        <v>0.3383814868129833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-248048</v>
      </c>
      <c r="D99" s="76">
        <f>+D28</f>
        <v>50756</v>
      </c>
      <c r="E99" s="76">
        <f>+E28</f>
        <v>-2993531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3243262</v>
      </c>
      <c r="D100" s="201">
        <f>+D76</f>
        <v>3178071</v>
      </c>
      <c r="E100" s="201">
        <f>+E76</f>
        <v>3082027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2995214</v>
      </c>
      <c r="D101" s="76">
        <f>+D99+D100</f>
        <v>3228827</v>
      </c>
      <c r="E101" s="76">
        <f>+E99+E100</f>
        <v>88496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12248428</v>
      </c>
      <c r="D102" s="204">
        <f>+D69</f>
        <v>11592048</v>
      </c>
      <c r="E102" s="204">
        <f>+E69</f>
        <v>26152731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12158750</v>
      </c>
      <c r="D103" s="216">
        <v>11816250</v>
      </c>
      <c r="E103" s="216">
        <v>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24407178</v>
      </c>
      <c r="D104" s="204">
        <f>+D102+D103</f>
        <v>23408298</v>
      </c>
      <c r="E104" s="204">
        <f>+E102+E103</f>
        <v>26152731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58.318807691372385</v>
      </c>
      <c r="D106" s="214">
        <f>IF(D109=0,0,(D107/D109)*100)</f>
        <v>54.957134713942445</v>
      </c>
      <c r="E106" s="214">
        <f>IF(E109=0,0,(E107/E109)*100)</f>
        <v>0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12158750</v>
      </c>
      <c r="D107" s="204">
        <f>+D103</f>
        <v>11816250</v>
      </c>
      <c r="E107" s="204">
        <f>+E103</f>
        <v>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8690013</v>
      </c>
      <c r="D108" s="204">
        <f>+D32</f>
        <v>9684598</v>
      </c>
      <c r="E108" s="204">
        <f>+E32</f>
        <v>6911814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20848763</v>
      </c>
      <c r="D109" s="204">
        <f>+D107+D108</f>
        <v>21500848</v>
      </c>
      <c r="E109" s="204">
        <f>+E107+E108</f>
        <v>6911814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2.3506846063231355</v>
      </c>
      <c r="D111" s="214">
        <f>IF((+D113+D115)=0,0,((+D112+D113+D114)/(+D113+D115)))</f>
        <v>2.4437480021393272</v>
      </c>
      <c r="E111" s="214">
        <f>IF((+E113+E115)=0,0,((+E112+E113+E114)/(+E113+E115)))</f>
        <v>0.91278999209022393</v>
      </c>
    </row>
    <row r="112" spans="1:6" ht="24" customHeight="1" x14ac:dyDescent="0.2">
      <c r="A112" s="85">
        <v>16</v>
      </c>
      <c r="B112" s="75" t="s">
        <v>373</v>
      </c>
      <c r="C112" s="218">
        <f>+C17</f>
        <v>-248048</v>
      </c>
      <c r="D112" s="76">
        <f>+D17</f>
        <v>50756</v>
      </c>
      <c r="E112" s="76">
        <f>+E17</f>
        <v>-2993531</v>
      </c>
    </row>
    <row r="113" spans="1:8" ht="24" customHeight="1" x14ac:dyDescent="0.2">
      <c r="A113" s="85">
        <v>17</v>
      </c>
      <c r="B113" s="75" t="s">
        <v>88</v>
      </c>
      <c r="C113" s="218">
        <v>1480694</v>
      </c>
      <c r="D113" s="76">
        <v>1495715</v>
      </c>
      <c r="E113" s="76">
        <v>1408245</v>
      </c>
    </row>
    <row r="114" spans="1:8" ht="24" customHeight="1" x14ac:dyDescent="0.2">
      <c r="A114" s="85">
        <v>18</v>
      </c>
      <c r="B114" s="75" t="s">
        <v>374</v>
      </c>
      <c r="C114" s="218">
        <v>3243262</v>
      </c>
      <c r="D114" s="76">
        <v>3178071</v>
      </c>
      <c r="E114" s="76">
        <v>3082027</v>
      </c>
    </row>
    <row r="115" spans="1:8" ht="24" customHeight="1" x14ac:dyDescent="0.2">
      <c r="A115" s="85">
        <v>19</v>
      </c>
      <c r="B115" s="75" t="s">
        <v>104</v>
      </c>
      <c r="C115" s="218">
        <v>423393</v>
      </c>
      <c r="D115" s="76">
        <v>437603</v>
      </c>
      <c r="E115" s="76">
        <v>231498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11.487497463973</v>
      </c>
      <c r="D119" s="214">
        <f>IF(+D121=0,0,(+D120)/(+D121))</f>
        <v>12.333967365738525</v>
      </c>
      <c r="E119" s="214">
        <f>IF(+E121=0,0,(+E120)/(+E121))</f>
        <v>13.63219076276749</v>
      </c>
    </row>
    <row r="120" spans="1:8" ht="24" customHeight="1" x14ac:dyDescent="0.2">
      <c r="A120" s="85">
        <v>21</v>
      </c>
      <c r="B120" s="75" t="s">
        <v>378</v>
      </c>
      <c r="C120" s="218">
        <v>37256964</v>
      </c>
      <c r="D120" s="218">
        <v>39198224</v>
      </c>
      <c r="E120" s="218">
        <v>42014780</v>
      </c>
    </row>
    <row r="121" spans="1:8" ht="24" customHeight="1" x14ac:dyDescent="0.2">
      <c r="A121" s="85">
        <v>22</v>
      </c>
      <c r="B121" s="75" t="s">
        <v>374</v>
      </c>
      <c r="C121" s="218">
        <v>3243262</v>
      </c>
      <c r="D121" s="218">
        <v>3178071</v>
      </c>
      <c r="E121" s="218">
        <v>3082027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15790</v>
      </c>
      <c r="D124" s="218">
        <v>16189</v>
      </c>
      <c r="E124" s="218">
        <v>16130</v>
      </c>
    </row>
    <row r="125" spans="1:8" ht="24" customHeight="1" x14ac:dyDescent="0.2">
      <c r="A125" s="85">
        <v>2</v>
      </c>
      <c r="B125" s="75" t="s">
        <v>381</v>
      </c>
      <c r="C125" s="218">
        <v>3268</v>
      </c>
      <c r="D125" s="218">
        <v>3251</v>
      </c>
      <c r="E125" s="218">
        <v>3139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4.8317013463892291</v>
      </c>
      <c r="D126" s="219">
        <f>IF(D125=0,0,D124/D125)</f>
        <v>4.9796985542909873</v>
      </c>
      <c r="E126" s="219">
        <f>IF(E125=0,0,E124/E125)</f>
        <v>5.1385791653392801</v>
      </c>
    </row>
    <row r="127" spans="1:8" ht="24" customHeight="1" x14ac:dyDescent="0.2">
      <c r="A127" s="85">
        <v>4</v>
      </c>
      <c r="B127" s="75" t="s">
        <v>383</v>
      </c>
      <c r="C127" s="218">
        <v>72</v>
      </c>
      <c r="D127" s="218">
        <v>72</v>
      </c>
      <c r="E127" s="218">
        <v>70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95</v>
      </c>
      <c r="E128" s="218">
        <v>95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95</v>
      </c>
      <c r="D129" s="218">
        <v>101</v>
      </c>
      <c r="E129" s="218">
        <v>101</v>
      </c>
    </row>
    <row r="130" spans="1:7" ht="24" customHeight="1" x14ac:dyDescent="0.2">
      <c r="A130" s="85">
        <v>7</v>
      </c>
      <c r="B130" s="75" t="s">
        <v>386</v>
      </c>
      <c r="C130" s="193">
        <v>0.6008</v>
      </c>
      <c r="D130" s="193">
        <v>0.61599999999999999</v>
      </c>
      <c r="E130" s="193">
        <v>0.63129999999999997</v>
      </c>
    </row>
    <row r="131" spans="1:7" ht="24" customHeight="1" x14ac:dyDescent="0.2">
      <c r="A131" s="85">
        <v>8</v>
      </c>
      <c r="B131" s="75" t="s">
        <v>387</v>
      </c>
      <c r="C131" s="193">
        <v>0.45529999999999998</v>
      </c>
      <c r="D131" s="193">
        <v>0.46679999999999999</v>
      </c>
      <c r="E131" s="193">
        <v>0.46510000000000001</v>
      </c>
    </row>
    <row r="132" spans="1:7" ht="24" customHeight="1" x14ac:dyDescent="0.2">
      <c r="A132" s="85">
        <v>9</v>
      </c>
      <c r="B132" s="75" t="s">
        <v>388</v>
      </c>
      <c r="C132" s="219">
        <v>463.5</v>
      </c>
      <c r="D132" s="219">
        <v>464.2</v>
      </c>
      <c r="E132" s="219">
        <v>460.3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0.3754585727781441</v>
      </c>
      <c r="D135" s="227">
        <f>IF(D149=0,0,D143/D149)</f>
        <v>0.362821788157216</v>
      </c>
      <c r="E135" s="227">
        <f>IF(E149=0,0,E143/E149)</f>
        <v>0.33886649951791703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0.46190807530547351</v>
      </c>
      <c r="D136" s="227">
        <f>IF(D149=0,0,D144/D149)</f>
        <v>0.45169711560755582</v>
      </c>
      <c r="E136" s="227">
        <f>IF(E149=0,0,E144/E149)</f>
        <v>0.47786559770294862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0.13856548158925497</v>
      </c>
      <c r="D137" s="227">
        <f>IF(D149=0,0,D145/D149)</f>
        <v>0.15877259731552942</v>
      </c>
      <c r="E137" s="227">
        <f>IF(E149=0,0,E145/E149)</f>
        <v>0.16120219532154553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1.7420894366338469E-2</v>
      </c>
      <c r="D139" s="227">
        <f>IF(D149=0,0,D147/D149)</f>
        <v>2.0912873517385817E-2</v>
      </c>
      <c r="E139" s="227">
        <f>IF(E149=0,0,E147/E149)</f>
        <v>1.5947370458760685E-2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6.6469759607889487E-3</v>
      </c>
      <c r="D140" s="227">
        <f>IF(D149=0,0,D148/D149)</f>
        <v>5.7956254023129742E-3</v>
      </c>
      <c r="E140" s="227">
        <f>IF(E149=0,0,E148/E149)</f>
        <v>6.1183369988281316E-3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0.99999999999999989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55861682</v>
      </c>
      <c r="D143" s="229">
        <f>+D46-D147</f>
        <v>55395500</v>
      </c>
      <c r="E143" s="229">
        <f>+E46-E147</f>
        <v>53924271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68723859</v>
      </c>
      <c r="D144" s="229">
        <f>+D51</f>
        <v>68964953</v>
      </c>
      <c r="E144" s="229">
        <f>+E51</f>
        <v>76043380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20616125</v>
      </c>
      <c r="D145" s="229">
        <f>+D55</f>
        <v>24241343</v>
      </c>
      <c r="E145" s="229">
        <f>+E55</f>
        <v>25652317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2591925</v>
      </c>
      <c r="D147" s="229">
        <f>+D47</f>
        <v>3192970</v>
      </c>
      <c r="E147" s="229">
        <f>+E47</f>
        <v>2537726</v>
      </c>
    </row>
    <row r="148" spans="1:7" ht="20.100000000000001" customHeight="1" x14ac:dyDescent="0.2">
      <c r="A148" s="226">
        <v>13</v>
      </c>
      <c r="B148" s="224" t="s">
        <v>402</v>
      </c>
      <c r="C148" s="230">
        <v>988954</v>
      </c>
      <c r="D148" s="229">
        <v>884874</v>
      </c>
      <c r="E148" s="229">
        <v>973619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148782545</v>
      </c>
      <c r="D149" s="229">
        <f>SUM(D143:D148)</f>
        <v>152679640</v>
      </c>
      <c r="E149" s="229">
        <f>SUM(E143:E148)</f>
        <v>159131313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0.52443017743631359</v>
      </c>
      <c r="D152" s="227">
        <f>IF(D166=0,0,D160/D166)</f>
        <v>0.48761263121417697</v>
      </c>
      <c r="E152" s="227">
        <f>IF(E166=0,0,E160/E166)</f>
        <v>0.4995055241243857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0.3723179422519774</v>
      </c>
      <c r="D153" s="227">
        <f>IF(D166=0,0,D161/D166)</f>
        <v>0.39258122930909828</v>
      </c>
      <c r="E153" s="227">
        <f>IF(E166=0,0,E161/E166)</f>
        <v>0.38960870977204792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9.3230654769348748E-2</v>
      </c>
      <c r="D154" s="227">
        <f>IF(D166=0,0,D162/D166)</f>
        <v>0.11292602725233863</v>
      </c>
      <c r="E154" s="227">
        <f>IF(E166=0,0,E162/E166)</f>
        <v>0.10347849301945758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3.4349463051034992E-3</v>
      </c>
      <c r="D156" s="227">
        <f>IF(D166=0,0,D164/D166)</f>
        <v>1.946011364959714E-3</v>
      </c>
      <c r="E156" s="227">
        <f>IF(E166=0,0,E164/E166)</f>
        <v>1.6569987151140984E-3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6.5862792372567988E-3</v>
      </c>
      <c r="D157" s="227">
        <f>IF(D166=0,0,D165/D166)</f>
        <v>4.9341008594264227E-3</v>
      </c>
      <c r="E157" s="227">
        <f>IF(E166=0,0,E165/E166)</f>
        <v>5.7502743689946938E-3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1.0000000000000002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31031637</v>
      </c>
      <c r="D160" s="229">
        <f>+D44-D164</f>
        <v>30641489</v>
      </c>
      <c r="E160" s="229">
        <f>+E44-E164</f>
        <v>28785347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22030836</v>
      </c>
      <c r="D161" s="229">
        <f>+D50</f>
        <v>24669733</v>
      </c>
      <c r="E161" s="229">
        <f>+E50</f>
        <v>22452248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5516654</v>
      </c>
      <c r="D162" s="229">
        <f>+D54</f>
        <v>7096251</v>
      </c>
      <c r="E162" s="229">
        <f>+E54</f>
        <v>5963226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203253</v>
      </c>
      <c r="D164" s="229">
        <f>+D45</f>
        <v>122287</v>
      </c>
      <c r="E164" s="229">
        <f>+E45</f>
        <v>95489</v>
      </c>
    </row>
    <row r="165" spans="1:6" ht="20.100000000000001" customHeight="1" x14ac:dyDescent="0.2">
      <c r="A165" s="226">
        <v>13</v>
      </c>
      <c r="B165" s="224" t="s">
        <v>417</v>
      </c>
      <c r="C165" s="230">
        <v>389724</v>
      </c>
      <c r="D165" s="229">
        <v>310058</v>
      </c>
      <c r="E165" s="229">
        <v>331375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59172104</v>
      </c>
      <c r="D166" s="229">
        <f>SUM(D160:D165)</f>
        <v>62839818</v>
      </c>
      <c r="E166" s="229">
        <f>SUM(E160:E165)</f>
        <v>57627685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979</v>
      </c>
      <c r="D169" s="218">
        <v>985</v>
      </c>
      <c r="E169" s="218">
        <v>896</v>
      </c>
    </row>
    <row r="170" spans="1:6" ht="20.100000000000001" customHeight="1" x14ac:dyDescent="0.2">
      <c r="A170" s="226">
        <v>2</v>
      </c>
      <c r="B170" s="224" t="s">
        <v>420</v>
      </c>
      <c r="C170" s="218">
        <v>1616</v>
      </c>
      <c r="D170" s="218">
        <v>1601</v>
      </c>
      <c r="E170" s="218">
        <v>1633</v>
      </c>
    </row>
    <row r="171" spans="1:6" ht="20.100000000000001" customHeight="1" x14ac:dyDescent="0.2">
      <c r="A171" s="226">
        <v>3</v>
      </c>
      <c r="B171" s="224" t="s">
        <v>421</v>
      </c>
      <c r="C171" s="218">
        <v>643</v>
      </c>
      <c r="D171" s="218">
        <v>646</v>
      </c>
      <c r="E171" s="218">
        <v>581</v>
      </c>
    </row>
    <row r="172" spans="1:6" ht="20.100000000000001" customHeight="1" x14ac:dyDescent="0.2">
      <c r="A172" s="226">
        <v>4</v>
      </c>
      <c r="B172" s="224" t="s">
        <v>422</v>
      </c>
      <c r="C172" s="218">
        <v>643</v>
      </c>
      <c r="D172" s="218">
        <v>646</v>
      </c>
      <c r="E172" s="218">
        <v>581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30</v>
      </c>
      <c r="D174" s="218">
        <v>19</v>
      </c>
      <c r="E174" s="218">
        <v>29</v>
      </c>
    </row>
    <row r="175" spans="1:6" ht="20.100000000000001" customHeight="1" x14ac:dyDescent="0.2">
      <c r="A175" s="226">
        <v>7</v>
      </c>
      <c r="B175" s="224" t="s">
        <v>425</v>
      </c>
      <c r="C175" s="218">
        <v>52</v>
      </c>
      <c r="D175" s="218">
        <v>76</v>
      </c>
      <c r="E175" s="218">
        <v>48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3268</v>
      </c>
      <c r="D176" s="218">
        <f>+D169+D170+D171+D174</f>
        <v>3251</v>
      </c>
      <c r="E176" s="218">
        <f>+E169+E170+E171+E174</f>
        <v>3139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1.0203</v>
      </c>
      <c r="D179" s="231">
        <v>1.03942</v>
      </c>
      <c r="E179" s="231">
        <v>0.96850000000000003</v>
      </c>
    </row>
    <row r="180" spans="1:6" ht="20.100000000000001" customHeight="1" x14ac:dyDescent="0.2">
      <c r="A180" s="226">
        <v>2</v>
      </c>
      <c r="B180" s="224" t="s">
        <v>420</v>
      </c>
      <c r="C180" s="231">
        <v>1.3605</v>
      </c>
      <c r="D180" s="231">
        <v>1.3225</v>
      </c>
      <c r="E180" s="231">
        <v>1.3169999999999999</v>
      </c>
    </row>
    <row r="181" spans="1:6" ht="20.100000000000001" customHeight="1" x14ac:dyDescent="0.2">
      <c r="A181" s="226">
        <v>3</v>
      </c>
      <c r="B181" s="224" t="s">
        <v>421</v>
      </c>
      <c r="C181" s="231">
        <v>0.84913000000000005</v>
      </c>
      <c r="D181" s="231">
        <v>0.97484999999999999</v>
      </c>
      <c r="E181" s="231">
        <v>0.94340000000000002</v>
      </c>
    </row>
    <row r="182" spans="1:6" ht="20.100000000000001" customHeight="1" x14ac:dyDescent="0.2">
      <c r="A182" s="226">
        <v>4</v>
      </c>
      <c r="B182" s="224" t="s">
        <v>422</v>
      </c>
      <c r="C182" s="231">
        <v>0.84913000000000005</v>
      </c>
      <c r="D182" s="231">
        <v>0.97484999999999999</v>
      </c>
      <c r="E182" s="231">
        <v>0.94340000000000002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0.85</v>
      </c>
    </row>
    <row r="184" spans="1:6" ht="20.100000000000001" customHeight="1" x14ac:dyDescent="0.2">
      <c r="A184" s="226">
        <v>6</v>
      </c>
      <c r="B184" s="224" t="s">
        <v>424</v>
      </c>
      <c r="C184" s="231">
        <v>0.91879999999999995</v>
      </c>
      <c r="D184" s="231">
        <v>1.1223000000000001</v>
      </c>
      <c r="E184" s="231">
        <v>1.0887</v>
      </c>
    </row>
    <row r="185" spans="1:6" ht="20.100000000000001" customHeight="1" x14ac:dyDescent="0.2">
      <c r="A185" s="226">
        <v>7</v>
      </c>
      <c r="B185" s="224" t="s">
        <v>425</v>
      </c>
      <c r="C185" s="231">
        <v>0.92349999999999999</v>
      </c>
      <c r="D185" s="231">
        <v>0.97609999999999997</v>
      </c>
      <c r="E185" s="231">
        <v>1.0148999999999999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1.153915</v>
      </c>
      <c r="D186" s="231">
        <v>1.16648</v>
      </c>
      <c r="E186" s="231">
        <v>1.1462639999999999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2686</v>
      </c>
      <c r="D189" s="218">
        <v>2537</v>
      </c>
      <c r="E189" s="218">
        <v>2309</v>
      </c>
    </row>
    <row r="190" spans="1:6" ht="20.100000000000001" customHeight="1" x14ac:dyDescent="0.2">
      <c r="A190" s="226">
        <v>2</v>
      </c>
      <c r="B190" s="224" t="s">
        <v>433</v>
      </c>
      <c r="C190" s="218">
        <v>17435</v>
      </c>
      <c r="D190" s="218">
        <v>18145</v>
      </c>
      <c r="E190" s="218">
        <v>17817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20121</v>
      </c>
      <c r="D191" s="218">
        <f>+D190+D189</f>
        <v>20682</v>
      </c>
      <c r="E191" s="218">
        <f>+E190+E189</f>
        <v>20126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/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331940</v>
      </c>
      <c r="D14" s="258">
        <v>633828</v>
      </c>
      <c r="E14" s="258">
        <f t="shared" ref="E14:E24" si="0">D14-C14</f>
        <v>301888</v>
      </c>
      <c r="F14" s="259">
        <f t="shared" ref="F14:F24" si="1">IF(C14=0,0,E14/C14)</f>
        <v>0.90946556606615658</v>
      </c>
    </row>
    <row r="15" spans="1:7" ht="20.25" customHeight="1" x14ac:dyDescent="0.3">
      <c r="A15" s="256">
        <v>2</v>
      </c>
      <c r="B15" s="257" t="s">
        <v>442</v>
      </c>
      <c r="C15" s="258">
        <v>170621</v>
      </c>
      <c r="D15" s="258">
        <v>236733</v>
      </c>
      <c r="E15" s="258">
        <f t="shared" si="0"/>
        <v>66112</v>
      </c>
      <c r="F15" s="259">
        <f t="shared" si="1"/>
        <v>0.38747868081889097</v>
      </c>
    </row>
    <row r="16" spans="1:7" ht="20.25" customHeight="1" x14ac:dyDescent="0.3">
      <c r="A16" s="256">
        <v>3</v>
      </c>
      <c r="B16" s="257" t="s">
        <v>443</v>
      </c>
      <c r="C16" s="258">
        <v>201591</v>
      </c>
      <c r="D16" s="258">
        <v>453147</v>
      </c>
      <c r="E16" s="258">
        <f t="shared" si="0"/>
        <v>251556</v>
      </c>
      <c r="F16" s="259">
        <f t="shared" si="1"/>
        <v>1.2478533267854219</v>
      </c>
    </row>
    <row r="17" spans="1:6" ht="20.25" customHeight="1" x14ac:dyDescent="0.3">
      <c r="A17" s="256">
        <v>4</v>
      </c>
      <c r="B17" s="257" t="s">
        <v>444</v>
      </c>
      <c r="C17" s="258">
        <v>105314</v>
      </c>
      <c r="D17" s="258">
        <v>102608</v>
      </c>
      <c r="E17" s="258">
        <f t="shared" si="0"/>
        <v>-2706</v>
      </c>
      <c r="F17" s="259">
        <f t="shared" si="1"/>
        <v>-2.5694589513265094E-2</v>
      </c>
    </row>
    <row r="18" spans="1:6" ht="20.25" customHeight="1" x14ac:dyDescent="0.3">
      <c r="A18" s="256">
        <v>5</v>
      </c>
      <c r="B18" s="257" t="s">
        <v>381</v>
      </c>
      <c r="C18" s="260">
        <v>11</v>
      </c>
      <c r="D18" s="260">
        <v>19</v>
      </c>
      <c r="E18" s="260">
        <f t="shared" si="0"/>
        <v>8</v>
      </c>
      <c r="F18" s="259">
        <f t="shared" si="1"/>
        <v>0.72727272727272729</v>
      </c>
    </row>
    <row r="19" spans="1:6" ht="20.25" customHeight="1" x14ac:dyDescent="0.3">
      <c r="A19" s="256">
        <v>6</v>
      </c>
      <c r="B19" s="257" t="s">
        <v>380</v>
      </c>
      <c r="C19" s="260">
        <v>67</v>
      </c>
      <c r="D19" s="260">
        <v>159</v>
      </c>
      <c r="E19" s="260">
        <f t="shared" si="0"/>
        <v>92</v>
      </c>
      <c r="F19" s="259">
        <f t="shared" si="1"/>
        <v>1.3731343283582089</v>
      </c>
    </row>
    <row r="20" spans="1:6" ht="20.25" customHeight="1" x14ac:dyDescent="0.3">
      <c r="A20" s="256">
        <v>7</v>
      </c>
      <c r="B20" s="257" t="s">
        <v>445</v>
      </c>
      <c r="C20" s="260">
        <v>187</v>
      </c>
      <c r="D20" s="260">
        <v>398</v>
      </c>
      <c r="E20" s="260">
        <f t="shared" si="0"/>
        <v>211</v>
      </c>
      <c r="F20" s="259">
        <f t="shared" si="1"/>
        <v>1.1283422459893049</v>
      </c>
    </row>
    <row r="21" spans="1:6" ht="20.25" customHeight="1" x14ac:dyDescent="0.3">
      <c r="A21" s="256">
        <v>8</v>
      </c>
      <c r="B21" s="257" t="s">
        <v>446</v>
      </c>
      <c r="C21" s="260">
        <v>24</v>
      </c>
      <c r="D21" s="260">
        <v>49</v>
      </c>
      <c r="E21" s="260">
        <f t="shared" si="0"/>
        <v>25</v>
      </c>
      <c r="F21" s="259">
        <f t="shared" si="1"/>
        <v>1.0416666666666667</v>
      </c>
    </row>
    <row r="22" spans="1:6" ht="20.25" customHeight="1" x14ac:dyDescent="0.3">
      <c r="A22" s="256">
        <v>9</v>
      </c>
      <c r="B22" s="257" t="s">
        <v>447</v>
      </c>
      <c r="C22" s="260">
        <v>10</v>
      </c>
      <c r="D22" s="260">
        <v>17</v>
      </c>
      <c r="E22" s="260">
        <f t="shared" si="0"/>
        <v>7</v>
      </c>
      <c r="F22" s="259">
        <f t="shared" si="1"/>
        <v>0.7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533531</v>
      </c>
      <c r="D23" s="263">
        <f>+D14+D16</f>
        <v>1086975</v>
      </c>
      <c r="E23" s="263">
        <f t="shared" si="0"/>
        <v>553444</v>
      </c>
      <c r="F23" s="264">
        <f t="shared" si="1"/>
        <v>1.0373230421475041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275935</v>
      </c>
      <c r="D24" s="263">
        <f>+D15+D17</f>
        <v>339341</v>
      </c>
      <c r="E24" s="263">
        <f t="shared" si="0"/>
        <v>63406</v>
      </c>
      <c r="F24" s="264">
        <f t="shared" si="1"/>
        <v>0.22978600032616378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3499</v>
      </c>
      <c r="E29" s="258">
        <f t="shared" si="2"/>
        <v>3499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703</v>
      </c>
      <c r="E30" s="258">
        <f t="shared" si="2"/>
        <v>703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2</v>
      </c>
      <c r="E33" s="260">
        <f t="shared" si="2"/>
        <v>2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3499</v>
      </c>
      <c r="E36" s="263">
        <f t="shared" si="2"/>
        <v>3499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703</v>
      </c>
      <c r="E37" s="263">
        <f t="shared" si="2"/>
        <v>703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2315054</v>
      </c>
      <c r="D40" s="258">
        <v>2211313</v>
      </c>
      <c r="E40" s="258">
        <f t="shared" ref="E40:E50" si="4">D40-C40</f>
        <v>-103741</v>
      </c>
      <c r="F40" s="259">
        <f t="shared" ref="F40:F50" si="5">IF(C40=0,0,E40/C40)</f>
        <v>-4.4811481719216915E-2</v>
      </c>
    </row>
    <row r="41" spans="1:6" ht="20.25" customHeight="1" x14ac:dyDescent="0.3">
      <c r="A41" s="256">
        <v>2</v>
      </c>
      <c r="B41" s="257" t="s">
        <v>442</v>
      </c>
      <c r="C41" s="258">
        <v>1145646</v>
      </c>
      <c r="D41" s="258">
        <v>760389</v>
      </c>
      <c r="E41" s="258">
        <f t="shared" si="4"/>
        <v>-385257</v>
      </c>
      <c r="F41" s="259">
        <f t="shared" si="5"/>
        <v>-0.33627926951257192</v>
      </c>
    </row>
    <row r="42" spans="1:6" ht="20.25" customHeight="1" x14ac:dyDescent="0.3">
      <c r="A42" s="256">
        <v>3</v>
      </c>
      <c r="B42" s="257" t="s">
        <v>443</v>
      </c>
      <c r="C42" s="258">
        <v>2416104</v>
      </c>
      <c r="D42" s="258">
        <v>2829357</v>
      </c>
      <c r="E42" s="258">
        <f t="shared" si="4"/>
        <v>413253</v>
      </c>
      <c r="F42" s="259">
        <f t="shared" si="5"/>
        <v>0.17104106445749023</v>
      </c>
    </row>
    <row r="43" spans="1:6" ht="20.25" customHeight="1" x14ac:dyDescent="0.3">
      <c r="A43" s="256">
        <v>4</v>
      </c>
      <c r="B43" s="257" t="s">
        <v>444</v>
      </c>
      <c r="C43" s="258">
        <v>1265934</v>
      </c>
      <c r="D43" s="258">
        <v>665236</v>
      </c>
      <c r="E43" s="258">
        <f t="shared" si="4"/>
        <v>-600698</v>
      </c>
      <c r="F43" s="259">
        <f t="shared" si="5"/>
        <v>-0.47450972957515952</v>
      </c>
    </row>
    <row r="44" spans="1:6" ht="20.25" customHeight="1" x14ac:dyDescent="0.3">
      <c r="A44" s="256">
        <v>5</v>
      </c>
      <c r="B44" s="257" t="s">
        <v>381</v>
      </c>
      <c r="C44" s="260">
        <v>77</v>
      </c>
      <c r="D44" s="260">
        <v>98</v>
      </c>
      <c r="E44" s="260">
        <f t="shared" si="4"/>
        <v>21</v>
      </c>
      <c r="F44" s="259">
        <f t="shared" si="5"/>
        <v>0.27272727272727271</v>
      </c>
    </row>
    <row r="45" spans="1:6" ht="20.25" customHeight="1" x14ac:dyDescent="0.3">
      <c r="A45" s="256">
        <v>6</v>
      </c>
      <c r="B45" s="257" t="s">
        <v>380</v>
      </c>
      <c r="C45" s="260">
        <v>471</v>
      </c>
      <c r="D45" s="260">
        <v>421</v>
      </c>
      <c r="E45" s="260">
        <f t="shared" si="4"/>
        <v>-50</v>
      </c>
      <c r="F45" s="259">
        <f t="shared" si="5"/>
        <v>-0.10615711252653928</v>
      </c>
    </row>
    <row r="46" spans="1:6" ht="20.25" customHeight="1" x14ac:dyDescent="0.3">
      <c r="A46" s="256">
        <v>7</v>
      </c>
      <c r="B46" s="257" t="s">
        <v>445</v>
      </c>
      <c r="C46" s="260">
        <v>2391</v>
      </c>
      <c r="D46" s="260">
        <v>2868</v>
      </c>
      <c r="E46" s="260">
        <f t="shared" si="4"/>
        <v>477</v>
      </c>
      <c r="F46" s="259">
        <f t="shared" si="5"/>
        <v>0.19949811794228356</v>
      </c>
    </row>
    <row r="47" spans="1:6" ht="20.25" customHeight="1" x14ac:dyDescent="0.3">
      <c r="A47" s="256">
        <v>8</v>
      </c>
      <c r="B47" s="257" t="s">
        <v>446</v>
      </c>
      <c r="C47" s="260">
        <v>217</v>
      </c>
      <c r="D47" s="260">
        <v>243</v>
      </c>
      <c r="E47" s="260">
        <f t="shared" si="4"/>
        <v>26</v>
      </c>
      <c r="F47" s="259">
        <f t="shared" si="5"/>
        <v>0.11981566820276497</v>
      </c>
    </row>
    <row r="48" spans="1:6" ht="20.25" customHeight="1" x14ac:dyDescent="0.3">
      <c r="A48" s="256">
        <v>9</v>
      </c>
      <c r="B48" s="257" t="s">
        <v>447</v>
      </c>
      <c r="C48" s="260">
        <v>70</v>
      </c>
      <c r="D48" s="260">
        <v>84</v>
      </c>
      <c r="E48" s="260">
        <f t="shared" si="4"/>
        <v>14</v>
      </c>
      <c r="F48" s="259">
        <f t="shared" si="5"/>
        <v>0.2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4731158</v>
      </c>
      <c r="D49" s="263">
        <f>+D40+D42</f>
        <v>5040670</v>
      </c>
      <c r="E49" s="263">
        <f t="shared" si="4"/>
        <v>309512</v>
      </c>
      <c r="F49" s="264">
        <f t="shared" si="5"/>
        <v>6.5419924678059793E-2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2411580</v>
      </c>
      <c r="D50" s="263">
        <f>+D41+D43</f>
        <v>1425625</v>
      </c>
      <c r="E50" s="263">
        <f t="shared" si="4"/>
        <v>-985955</v>
      </c>
      <c r="F50" s="264">
        <f t="shared" si="5"/>
        <v>-0.40884192106419859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0</v>
      </c>
      <c r="D66" s="258">
        <v>24415</v>
      </c>
      <c r="E66" s="258">
        <f t="shared" ref="E66:E76" si="8">D66-C66</f>
        <v>24415</v>
      </c>
      <c r="F66" s="259">
        <f t="shared" ref="F66:F76" si="9">IF(C66=0,0,E66/C66)</f>
        <v>0</v>
      </c>
    </row>
    <row r="67" spans="1:6" ht="20.25" customHeight="1" x14ac:dyDescent="0.3">
      <c r="A67" s="256">
        <v>2</v>
      </c>
      <c r="B67" s="257" t="s">
        <v>442</v>
      </c>
      <c r="C67" s="258">
        <v>0</v>
      </c>
      <c r="D67" s="258">
        <v>7722</v>
      </c>
      <c r="E67" s="258">
        <f t="shared" si="8"/>
        <v>7722</v>
      </c>
      <c r="F67" s="259">
        <f t="shared" si="9"/>
        <v>0</v>
      </c>
    </row>
    <row r="68" spans="1:6" ht="20.25" customHeight="1" x14ac:dyDescent="0.3">
      <c r="A68" s="256">
        <v>3</v>
      </c>
      <c r="B68" s="257" t="s">
        <v>443</v>
      </c>
      <c r="C68" s="258">
        <v>15895</v>
      </c>
      <c r="D68" s="258">
        <v>24007</v>
      </c>
      <c r="E68" s="258">
        <f t="shared" si="8"/>
        <v>8112</v>
      </c>
      <c r="F68" s="259">
        <f t="shared" si="9"/>
        <v>0.51034916640452976</v>
      </c>
    </row>
    <row r="69" spans="1:6" ht="20.25" customHeight="1" x14ac:dyDescent="0.3">
      <c r="A69" s="256">
        <v>4</v>
      </c>
      <c r="B69" s="257" t="s">
        <v>444</v>
      </c>
      <c r="C69" s="258">
        <v>11255</v>
      </c>
      <c r="D69" s="258">
        <v>5229</v>
      </c>
      <c r="E69" s="258">
        <f t="shared" si="8"/>
        <v>-6026</v>
      </c>
      <c r="F69" s="259">
        <f t="shared" si="9"/>
        <v>-0.53540648600621943</v>
      </c>
    </row>
    <row r="70" spans="1:6" ht="20.25" customHeight="1" x14ac:dyDescent="0.3">
      <c r="A70" s="256">
        <v>5</v>
      </c>
      <c r="B70" s="257" t="s">
        <v>381</v>
      </c>
      <c r="C70" s="260">
        <v>0</v>
      </c>
      <c r="D70" s="260">
        <v>1</v>
      </c>
      <c r="E70" s="260">
        <f t="shared" si="8"/>
        <v>1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0</v>
      </c>
      <c r="D71" s="260">
        <v>1</v>
      </c>
      <c r="E71" s="260">
        <f t="shared" si="8"/>
        <v>1</v>
      </c>
      <c r="F71" s="259">
        <f t="shared" si="9"/>
        <v>0</v>
      </c>
    </row>
    <row r="72" spans="1:6" ht="20.25" customHeight="1" x14ac:dyDescent="0.3">
      <c r="A72" s="256">
        <v>7</v>
      </c>
      <c r="B72" s="257" t="s">
        <v>445</v>
      </c>
      <c r="C72" s="260">
        <v>3</v>
      </c>
      <c r="D72" s="260">
        <v>2</v>
      </c>
      <c r="E72" s="260">
        <f t="shared" si="8"/>
        <v>-1</v>
      </c>
      <c r="F72" s="259">
        <f t="shared" si="9"/>
        <v>-0.33333333333333331</v>
      </c>
    </row>
    <row r="73" spans="1:6" ht="20.25" customHeight="1" x14ac:dyDescent="0.3">
      <c r="A73" s="256">
        <v>8</v>
      </c>
      <c r="B73" s="257" t="s">
        <v>446</v>
      </c>
      <c r="C73" s="260">
        <v>10</v>
      </c>
      <c r="D73" s="260">
        <v>6</v>
      </c>
      <c r="E73" s="260">
        <f t="shared" si="8"/>
        <v>-4</v>
      </c>
      <c r="F73" s="259">
        <f t="shared" si="9"/>
        <v>-0.4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1</v>
      </c>
      <c r="E74" s="260">
        <f t="shared" si="8"/>
        <v>1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15895</v>
      </c>
      <c r="D75" s="263">
        <f>+D66+D68</f>
        <v>48422</v>
      </c>
      <c r="E75" s="263">
        <f t="shared" si="8"/>
        <v>32527</v>
      </c>
      <c r="F75" s="264">
        <f t="shared" si="9"/>
        <v>2.0463667820069205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11255</v>
      </c>
      <c r="D76" s="263">
        <f>+D67+D69</f>
        <v>12951</v>
      </c>
      <c r="E76" s="263">
        <f t="shared" si="8"/>
        <v>1696</v>
      </c>
      <c r="F76" s="264">
        <f t="shared" si="9"/>
        <v>0.15068858285206574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3857537</v>
      </c>
      <c r="D92" s="258">
        <v>3963375</v>
      </c>
      <c r="E92" s="258">
        <f t="shared" ref="E92:E102" si="12">D92-C92</f>
        <v>105838</v>
      </c>
      <c r="F92" s="259">
        <f t="shared" ref="F92:F102" si="13">IF(C92=0,0,E92/C92)</f>
        <v>2.7436677859473544E-2</v>
      </c>
    </row>
    <row r="93" spans="1:6" ht="20.25" customHeight="1" x14ac:dyDescent="0.3">
      <c r="A93" s="256">
        <v>2</v>
      </c>
      <c r="B93" s="257" t="s">
        <v>442</v>
      </c>
      <c r="C93" s="258">
        <v>2011054</v>
      </c>
      <c r="D93" s="258">
        <v>1290413</v>
      </c>
      <c r="E93" s="258">
        <f t="shared" si="12"/>
        <v>-720641</v>
      </c>
      <c r="F93" s="259">
        <f t="shared" si="13"/>
        <v>-0.35833995506833732</v>
      </c>
    </row>
    <row r="94" spans="1:6" ht="20.25" customHeight="1" x14ac:dyDescent="0.3">
      <c r="A94" s="256">
        <v>3</v>
      </c>
      <c r="B94" s="257" t="s">
        <v>443</v>
      </c>
      <c r="C94" s="258">
        <v>2970514</v>
      </c>
      <c r="D94" s="258">
        <v>3202758</v>
      </c>
      <c r="E94" s="258">
        <f t="shared" si="12"/>
        <v>232244</v>
      </c>
      <c r="F94" s="259">
        <f t="shared" si="13"/>
        <v>7.818310231831932E-2</v>
      </c>
    </row>
    <row r="95" spans="1:6" ht="20.25" customHeight="1" x14ac:dyDescent="0.3">
      <c r="A95" s="256">
        <v>4</v>
      </c>
      <c r="B95" s="257" t="s">
        <v>444</v>
      </c>
      <c r="C95" s="258">
        <v>1536433</v>
      </c>
      <c r="D95" s="258">
        <v>862374</v>
      </c>
      <c r="E95" s="258">
        <f t="shared" si="12"/>
        <v>-674059</v>
      </c>
      <c r="F95" s="259">
        <f t="shared" si="13"/>
        <v>-0.4387168200630942</v>
      </c>
    </row>
    <row r="96" spans="1:6" ht="20.25" customHeight="1" x14ac:dyDescent="0.3">
      <c r="A96" s="256">
        <v>5</v>
      </c>
      <c r="B96" s="257" t="s">
        <v>381</v>
      </c>
      <c r="C96" s="260">
        <v>165</v>
      </c>
      <c r="D96" s="260">
        <v>145</v>
      </c>
      <c r="E96" s="260">
        <f t="shared" si="12"/>
        <v>-20</v>
      </c>
      <c r="F96" s="259">
        <f t="shared" si="13"/>
        <v>-0.12121212121212122</v>
      </c>
    </row>
    <row r="97" spans="1:6" ht="20.25" customHeight="1" x14ac:dyDescent="0.3">
      <c r="A97" s="256">
        <v>6</v>
      </c>
      <c r="B97" s="257" t="s">
        <v>380</v>
      </c>
      <c r="C97" s="260">
        <v>822</v>
      </c>
      <c r="D97" s="260">
        <v>886</v>
      </c>
      <c r="E97" s="260">
        <f t="shared" si="12"/>
        <v>64</v>
      </c>
      <c r="F97" s="259">
        <f t="shared" si="13"/>
        <v>7.785888077858881E-2</v>
      </c>
    </row>
    <row r="98" spans="1:6" ht="20.25" customHeight="1" x14ac:dyDescent="0.3">
      <c r="A98" s="256">
        <v>7</v>
      </c>
      <c r="B98" s="257" t="s">
        <v>445</v>
      </c>
      <c r="C98" s="260">
        <v>3077</v>
      </c>
      <c r="D98" s="260">
        <v>3272</v>
      </c>
      <c r="E98" s="260">
        <f t="shared" si="12"/>
        <v>195</v>
      </c>
      <c r="F98" s="259">
        <f t="shared" si="13"/>
        <v>6.3373415664608385E-2</v>
      </c>
    </row>
    <row r="99" spans="1:6" ht="20.25" customHeight="1" x14ac:dyDescent="0.3">
      <c r="A99" s="256">
        <v>8</v>
      </c>
      <c r="B99" s="257" t="s">
        <v>446</v>
      </c>
      <c r="C99" s="260">
        <v>284</v>
      </c>
      <c r="D99" s="260">
        <v>318</v>
      </c>
      <c r="E99" s="260">
        <f t="shared" si="12"/>
        <v>34</v>
      </c>
      <c r="F99" s="259">
        <f t="shared" si="13"/>
        <v>0.11971830985915492</v>
      </c>
    </row>
    <row r="100" spans="1:6" ht="20.25" customHeight="1" x14ac:dyDescent="0.3">
      <c r="A100" s="256">
        <v>9</v>
      </c>
      <c r="B100" s="257" t="s">
        <v>447</v>
      </c>
      <c r="C100" s="260">
        <v>152</v>
      </c>
      <c r="D100" s="260">
        <v>132</v>
      </c>
      <c r="E100" s="260">
        <f t="shared" si="12"/>
        <v>-20</v>
      </c>
      <c r="F100" s="259">
        <f t="shared" si="13"/>
        <v>-0.13157894736842105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6828051</v>
      </c>
      <c r="D101" s="263">
        <f>+D92+D94</f>
        <v>7166133</v>
      </c>
      <c r="E101" s="263">
        <f t="shared" si="12"/>
        <v>338082</v>
      </c>
      <c r="F101" s="264">
        <f t="shared" si="13"/>
        <v>4.951368992410865E-2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3547487</v>
      </c>
      <c r="D102" s="263">
        <f>+D93+D95</f>
        <v>2152787</v>
      </c>
      <c r="E102" s="263">
        <f t="shared" si="12"/>
        <v>-1394700</v>
      </c>
      <c r="F102" s="264">
        <f t="shared" si="13"/>
        <v>-0.39315154643272832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213273</v>
      </c>
      <c r="D105" s="258">
        <v>154468</v>
      </c>
      <c r="E105" s="258">
        <f t="shared" ref="E105:E115" si="14">D105-C105</f>
        <v>-58805</v>
      </c>
      <c r="F105" s="259">
        <f t="shared" ref="F105:F115" si="15">IF(C105=0,0,E105/C105)</f>
        <v>-0.27572641637713163</v>
      </c>
    </row>
    <row r="106" spans="1:6" ht="20.25" customHeight="1" x14ac:dyDescent="0.3">
      <c r="A106" s="256">
        <v>2</v>
      </c>
      <c r="B106" s="257" t="s">
        <v>442</v>
      </c>
      <c r="C106" s="258">
        <v>126723</v>
      </c>
      <c r="D106" s="258">
        <v>51608</v>
      </c>
      <c r="E106" s="258">
        <f t="shared" si="14"/>
        <v>-75115</v>
      </c>
      <c r="F106" s="259">
        <f t="shared" si="15"/>
        <v>-0.59274954033600846</v>
      </c>
    </row>
    <row r="107" spans="1:6" ht="20.25" customHeight="1" x14ac:dyDescent="0.3">
      <c r="A107" s="256">
        <v>3</v>
      </c>
      <c r="B107" s="257" t="s">
        <v>443</v>
      </c>
      <c r="C107" s="258">
        <v>180225</v>
      </c>
      <c r="D107" s="258">
        <v>342713</v>
      </c>
      <c r="E107" s="258">
        <f t="shared" si="14"/>
        <v>162488</v>
      </c>
      <c r="F107" s="259">
        <f t="shared" si="15"/>
        <v>0.90158413094742684</v>
      </c>
    </row>
    <row r="108" spans="1:6" ht="20.25" customHeight="1" x14ac:dyDescent="0.3">
      <c r="A108" s="256">
        <v>4</v>
      </c>
      <c r="B108" s="257" t="s">
        <v>444</v>
      </c>
      <c r="C108" s="258">
        <v>84036</v>
      </c>
      <c r="D108" s="258">
        <v>72268</v>
      </c>
      <c r="E108" s="258">
        <f t="shared" si="14"/>
        <v>-11768</v>
      </c>
      <c r="F108" s="259">
        <f t="shared" si="15"/>
        <v>-0.14003522299966681</v>
      </c>
    </row>
    <row r="109" spans="1:6" ht="20.25" customHeight="1" x14ac:dyDescent="0.3">
      <c r="A109" s="256">
        <v>5</v>
      </c>
      <c r="B109" s="257" t="s">
        <v>381</v>
      </c>
      <c r="C109" s="260">
        <v>11</v>
      </c>
      <c r="D109" s="260">
        <v>8</v>
      </c>
      <c r="E109" s="260">
        <f t="shared" si="14"/>
        <v>-3</v>
      </c>
      <c r="F109" s="259">
        <f t="shared" si="15"/>
        <v>-0.27272727272727271</v>
      </c>
    </row>
    <row r="110" spans="1:6" ht="20.25" customHeight="1" x14ac:dyDescent="0.3">
      <c r="A110" s="256">
        <v>6</v>
      </c>
      <c r="B110" s="257" t="s">
        <v>380</v>
      </c>
      <c r="C110" s="260">
        <v>48</v>
      </c>
      <c r="D110" s="260">
        <v>31</v>
      </c>
      <c r="E110" s="260">
        <f t="shared" si="14"/>
        <v>-17</v>
      </c>
      <c r="F110" s="259">
        <f t="shared" si="15"/>
        <v>-0.35416666666666669</v>
      </c>
    </row>
    <row r="111" spans="1:6" ht="20.25" customHeight="1" x14ac:dyDescent="0.3">
      <c r="A111" s="256">
        <v>7</v>
      </c>
      <c r="B111" s="257" t="s">
        <v>445</v>
      </c>
      <c r="C111" s="260">
        <v>126</v>
      </c>
      <c r="D111" s="260">
        <v>184</v>
      </c>
      <c r="E111" s="260">
        <f t="shared" si="14"/>
        <v>58</v>
      </c>
      <c r="F111" s="259">
        <f t="shared" si="15"/>
        <v>0.46031746031746029</v>
      </c>
    </row>
    <row r="112" spans="1:6" ht="20.25" customHeight="1" x14ac:dyDescent="0.3">
      <c r="A112" s="256">
        <v>8</v>
      </c>
      <c r="B112" s="257" t="s">
        <v>446</v>
      </c>
      <c r="C112" s="260">
        <v>23</v>
      </c>
      <c r="D112" s="260">
        <v>48</v>
      </c>
      <c r="E112" s="260">
        <f t="shared" si="14"/>
        <v>25</v>
      </c>
      <c r="F112" s="259">
        <f t="shared" si="15"/>
        <v>1.0869565217391304</v>
      </c>
    </row>
    <row r="113" spans="1:6" ht="20.25" customHeight="1" x14ac:dyDescent="0.3">
      <c r="A113" s="256">
        <v>9</v>
      </c>
      <c r="B113" s="257" t="s">
        <v>447</v>
      </c>
      <c r="C113" s="260">
        <v>7</v>
      </c>
      <c r="D113" s="260">
        <v>7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393498</v>
      </c>
      <c r="D114" s="263">
        <f>+D105+D107</f>
        <v>497181</v>
      </c>
      <c r="E114" s="263">
        <f t="shared" si="14"/>
        <v>103683</v>
      </c>
      <c r="F114" s="264">
        <f t="shared" si="15"/>
        <v>0.26349053870667705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210759</v>
      </c>
      <c r="D115" s="263">
        <f>+D106+D108</f>
        <v>123876</v>
      </c>
      <c r="E115" s="263">
        <f t="shared" si="14"/>
        <v>-86883</v>
      </c>
      <c r="F115" s="264">
        <f t="shared" si="15"/>
        <v>-0.41223862326164007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648475</v>
      </c>
      <c r="D118" s="258">
        <v>867624</v>
      </c>
      <c r="E118" s="258">
        <f t="shared" ref="E118:E128" si="16">D118-C118</f>
        <v>219149</v>
      </c>
      <c r="F118" s="259">
        <f t="shared" ref="F118:F128" si="17">IF(C118=0,0,E118/C118)</f>
        <v>0.33794517907398125</v>
      </c>
    </row>
    <row r="119" spans="1:6" ht="20.25" customHeight="1" x14ac:dyDescent="0.3">
      <c r="A119" s="256">
        <v>2</v>
      </c>
      <c r="B119" s="257" t="s">
        <v>442</v>
      </c>
      <c r="C119" s="258">
        <v>328467</v>
      </c>
      <c r="D119" s="258">
        <v>312790</v>
      </c>
      <c r="E119" s="258">
        <f t="shared" si="16"/>
        <v>-15677</v>
      </c>
      <c r="F119" s="259">
        <f t="shared" si="17"/>
        <v>-4.7727777828518544E-2</v>
      </c>
    </row>
    <row r="120" spans="1:6" ht="20.25" customHeight="1" x14ac:dyDescent="0.3">
      <c r="A120" s="256">
        <v>3</v>
      </c>
      <c r="B120" s="257" t="s">
        <v>443</v>
      </c>
      <c r="C120" s="258">
        <v>390846</v>
      </c>
      <c r="D120" s="258">
        <v>802593</v>
      </c>
      <c r="E120" s="258">
        <f t="shared" si="16"/>
        <v>411747</v>
      </c>
      <c r="F120" s="259">
        <f t="shared" si="17"/>
        <v>1.0534763052455443</v>
      </c>
    </row>
    <row r="121" spans="1:6" ht="20.25" customHeight="1" x14ac:dyDescent="0.3">
      <c r="A121" s="256">
        <v>4</v>
      </c>
      <c r="B121" s="257" t="s">
        <v>444</v>
      </c>
      <c r="C121" s="258">
        <v>207206</v>
      </c>
      <c r="D121" s="258">
        <v>186831</v>
      </c>
      <c r="E121" s="258">
        <f t="shared" si="16"/>
        <v>-20375</v>
      </c>
      <c r="F121" s="259">
        <f t="shared" si="17"/>
        <v>-9.833209463046437E-2</v>
      </c>
    </row>
    <row r="122" spans="1:6" ht="20.25" customHeight="1" x14ac:dyDescent="0.3">
      <c r="A122" s="256">
        <v>5</v>
      </c>
      <c r="B122" s="257" t="s">
        <v>381</v>
      </c>
      <c r="C122" s="260">
        <v>23</v>
      </c>
      <c r="D122" s="260">
        <v>33</v>
      </c>
      <c r="E122" s="260">
        <f t="shared" si="16"/>
        <v>10</v>
      </c>
      <c r="F122" s="259">
        <f t="shared" si="17"/>
        <v>0.43478260869565216</v>
      </c>
    </row>
    <row r="123" spans="1:6" ht="20.25" customHeight="1" x14ac:dyDescent="0.3">
      <c r="A123" s="256">
        <v>6</v>
      </c>
      <c r="B123" s="257" t="s">
        <v>380</v>
      </c>
      <c r="C123" s="260">
        <v>154</v>
      </c>
      <c r="D123" s="260">
        <v>203</v>
      </c>
      <c r="E123" s="260">
        <f t="shared" si="16"/>
        <v>49</v>
      </c>
      <c r="F123" s="259">
        <f t="shared" si="17"/>
        <v>0.31818181818181818</v>
      </c>
    </row>
    <row r="124" spans="1:6" ht="20.25" customHeight="1" x14ac:dyDescent="0.3">
      <c r="A124" s="256">
        <v>7</v>
      </c>
      <c r="B124" s="257" t="s">
        <v>445</v>
      </c>
      <c r="C124" s="260">
        <v>314</v>
      </c>
      <c r="D124" s="260">
        <v>597</v>
      </c>
      <c r="E124" s="260">
        <f t="shared" si="16"/>
        <v>283</v>
      </c>
      <c r="F124" s="259">
        <f t="shared" si="17"/>
        <v>0.90127388535031849</v>
      </c>
    </row>
    <row r="125" spans="1:6" ht="20.25" customHeight="1" x14ac:dyDescent="0.3">
      <c r="A125" s="256">
        <v>8</v>
      </c>
      <c r="B125" s="257" t="s">
        <v>446</v>
      </c>
      <c r="C125" s="260">
        <v>39</v>
      </c>
      <c r="D125" s="260">
        <v>57</v>
      </c>
      <c r="E125" s="260">
        <f t="shared" si="16"/>
        <v>18</v>
      </c>
      <c r="F125" s="259">
        <f t="shared" si="17"/>
        <v>0.46153846153846156</v>
      </c>
    </row>
    <row r="126" spans="1:6" ht="20.25" customHeight="1" x14ac:dyDescent="0.3">
      <c r="A126" s="256">
        <v>9</v>
      </c>
      <c r="B126" s="257" t="s">
        <v>447</v>
      </c>
      <c r="C126" s="260">
        <v>21</v>
      </c>
      <c r="D126" s="260">
        <v>27</v>
      </c>
      <c r="E126" s="260">
        <f t="shared" si="16"/>
        <v>6</v>
      </c>
      <c r="F126" s="259">
        <f t="shared" si="17"/>
        <v>0.2857142857142857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1039321</v>
      </c>
      <c r="D127" s="263">
        <f>+D118+D120</f>
        <v>1670217</v>
      </c>
      <c r="E127" s="263">
        <f t="shared" si="16"/>
        <v>630896</v>
      </c>
      <c r="F127" s="264">
        <f t="shared" si="17"/>
        <v>0.60702708787756621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535673</v>
      </c>
      <c r="D128" s="263">
        <f>+D119+D121</f>
        <v>499621</v>
      </c>
      <c r="E128" s="263">
        <f t="shared" si="16"/>
        <v>-36052</v>
      </c>
      <c r="F128" s="264">
        <f t="shared" si="17"/>
        <v>-6.7302253426997444E-2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41553</v>
      </c>
      <c r="E131" s="258">
        <f t="shared" ref="E131:E141" si="18">D131-C131</f>
        <v>41553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13324</v>
      </c>
      <c r="E132" s="258">
        <f t="shared" si="18"/>
        <v>13324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32163</v>
      </c>
      <c r="D133" s="258">
        <v>36207</v>
      </c>
      <c r="E133" s="258">
        <f t="shared" si="18"/>
        <v>4044</v>
      </c>
      <c r="F133" s="259">
        <f t="shared" si="19"/>
        <v>0.1257345396884619</v>
      </c>
    </row>
    <row r="134" spans="1:6" ht="20.25" customHeight="1" x14ac:dyDescent="0.3">
      <c r="A134" s="256">
        <v>4</v>
      </c>
      <c r="B134" s="257" t="s">
        <v>444</v>
      </c>
      <c r="C134" s="258">
        <v>18360</v>
      </c>
      <c r="D134" s="258">
        <v>11757</v>
      </c>
      <c r="E134" s="258">
        <f t="shared" si="18"/>
        <v>-6603</v>
      </c>
      <c r="F134" s="259">
        <f t="shared" si="19"/>
        <v>-0.35964052287581699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2</v>
      </c>
      <c r="E135" s="260">
        <f t="shared" si="18"/>
        <v>2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8</v>
      </c>
      <c r="E136" s="260">
        <f t="shared" si="18"/>
        <v>8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18</v>
      </c>
      <c r="D137" s="260">
        <v>33</v>
      </c>
      <c r="E137" s="260">
        <f t="shared" si="18"/>
        <v>15</v>
      </c>
      <c r="F137" s="259">
        <f t="shared" si="19"/>
        <v>0.83333333333333337</v>
      </c>
    </row>
    <row r="138" spans="1:6" ht="20.25" customHeight="1" x14ac:dyDescent="0.3">
      <c r="A138" s="256">
        <v>8</v>
      </c>
      <c r="B138" s="257" t="s">
        <v>446</v>
      </c>
      <c r="C138" s="260">
        <v>9</v>
      </c>
      <c r="D138" s="260">
        <v>10</v>
      </c>
      <c r="E138" s="260">
        <f t="shared" si="18"/>
        <v>1</v>
      </c>
      <c r="F138" s="259">
        <f t="shared" si="19"/>
        <v>0.1111111111111111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2</v>
      </c>
      <c r="E139" s="260">
        <f t="shared" si="18"/>
        <v>2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32163</v>
      </c>
      <c r="D140" s="263">
        <f>+D131+D133</f>
        <v>77760</v>
      </c>
      <c r="E140" s="263">
        <f t="shared" si="18"/>
        <v>45597</v>
      </c>
      <c r="F140" s="264">
        <f t="shared" si="19"/>
        <v>1.4176849174517303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18360</v>
      </c>
      <c r="D141" s="263">
        <f>+D132+D134</f>
        <v>25081</v>
      </c>
      <c r="E141" s="263">
        <f t="shared" si="18"/>
        <v>6721</v>
      </c>
      <c r="F141" s="264">
        <f t="shared" si="19"/>
        <v>0.36606753812636167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457156</v>
      </c>
      <c r="D144" s="258">
        <v>224962</v>
      </c>
      <c r="E144" s="258">
        <f t="shared" ref="E144:E154" si="20">D144-C144</f>
        <v>-232194</v>
      </c>
      <c r="F144" s="259">
        <f t="shared" ref="F144:F154" si="21">IF(C144=0,0,E144/C144)</f>
        <v>-0.50790977259403791</v>
      </c>
    </row>
    <row r="145" spans="1:6" ht="20.25" customHeight="1" x14ac:dyDescent="0.3">
      <c r="A145" s="256">
        <v>2</v>
      </c>
      <c r="B145" s="257" t="s">
        <v>442</v>
      </c>
      <c r="C145" s="258">
        <v>261587</v>
      </c>
      <c r="D145" s="258">
        <v>73340</v>
      </c>
      <c r="E145" s="258">
        <f t="shared" si="20"/>
        <v>-188247</v>
      </c>
      <c r="F145" s="259">
        <f t="shared" si="21"/>
        <v>-0.71963438550080849</v>
      </c>
    </row>
    <row r="146" spans="1:6" ht="20.25" customHeight="1" x14ac:dyDescent="0.3">
      <c r="A146" s="256">
        <v>3</v>
      </c>
      <c r="B146" s="257" t="s">
        <v>443</v>
      </c>
      <c r="C146" s="258">
        <v>620592</v>
      </c>
      <c r="D146" s="258">
        <v>458427</v>
      </c>
      <c r="E146" s="258">
        <f t="shared" si="20"/>
        <v>-162165</v>
      </c>
      <c r="F146" s="259">
        <f t="shared" si="21"/>
        <v>-0.26130694562611184</v>
      </c>
    </row>
    <row r="147" spans="1:6" ht="20.25" customHeight="1" x14ac:dyDescent="0.3">
      <c r="A147" s="256">
        <v>4</v>
      </c>
      <c r="B147" s="257" t="s">
        <v>444</v>
      </c>
      <c r="C147" s="258">
        <v>302513</v>
      </c>
      <c r="D147" s="258">
        <v>101440</v>
      </c>
      <c r="E147" s="258">
        <f t="shared" si="20"/>
        <v>-201073</v>
      </c>
      <c r="F147" s="259">
        <f t="shared" si="21"/>
        <v>-0.664675567661555</v>
      </c>
    </row>
    <row r="148" spans="1:6" ht="20.25" customHeight="1" x14ac:dyDescent="0.3">
      <c r="A148" s="256">
        <v>5</v>
      </c>
      <c r="B148" s="257" t="s">
        <v>381</v>
      </c>
      <c r="C148" s="260">
        <v>21</v>
      </c>
      <c r="D148" s="260">
        <v>11</v>
      </c>
      <c r="E148" s="260">
        <f t="shared" si="20"/>
        <v>-10</v>
      </c>
      <c r="F148" s="259">
        <f t="shared" si="21"/>
        <v>-0.47619047619047616</v>
      </c>
    </row>
    <row r="149" spans="1:6" ht="20.25" customHeight="1" x14ac:dyDescent="0.3">
      <c r="A149" s="256">
        <v>6</v>
      </c>
      <c r="B149" s="257" t="s">
        <v>380</v>
      </c>
      <c r="C149" s="260">
        <v>92</v>
      </c>
      <c r="D149" s="260">
        <v>56</v>
      </c>
      <c r="E149" s="260">
        <f t="shared" si="20"/>
        <v>-36</v>
      </c>
      <c r="F149" s="259">
        <f t="shared" si="21"/>
        <v>-0.39130434782608697</v>
      </c>
    </row>
    <row r="150" spans="1:6" ht="20.25" customHeight="1" x14ac:dyDescent="0.3">
      <c r="A150" s="256">
        <v>7</v>
      </c>
      <c r="B150" s="257" t="s">
        <v>445</v>
      </c>
      <c r="C150" s="260">
        <v>320</v>
      </c>
      <c r="D150" s="260">
        <v>273</v>
      </c>
      <c r="E150" s="260">
        <f t="shared" si="20"/>
        <v>-47</v>
      </c>
      <c r="F150" s="259">
        <f t="shared" si="21"/>
        <v>-0.14687500000000001</v>
      </c>
    </row>
    <row r="151" spans="1:6" ht="20.25" customHeight="1" x14ac:dyDescent="0.3">
      <c r="A151" s="256">
        <v>8</v>
      </c>
      <c r="B151" s="257" t="s">
        <v>446</v>
      </c>
      <c r="C151" s="260">
        <v>58</v>
      </c>
      <c r="D151" s="260">
        <v>31</v>
      </c>
      <c r="E151" s="260">
        <f t="shared" si="20"/>
        <v>-27</v>
      </c>
      <c r="F151" s="259">
        <f t="shared" si="21"/>
        <v>-0.46551724137931033</v>
      </c>
    </row>
    <row r="152" spans="1:6" ht="20.25" customHeight="1" x14ac:dyDescent="0.3">
      <c r="A152" s="256">
        <v>9</v>
      </c>
      <c r="B152" s="257" t="s">
        <v>447</v>
      </c>
      <c r="C152" s="260">
        <v>20</v>
      </c>
      <c r="D152" s="260">
        <v>10</v>
      </c>
      <c r="E152" s="260">
        <f t="shared" si="20"/>
        <v>-10</v>
      </c>
      <c r="F152" s="259">
        <f t="shared" si="21"/>
        <v>-0.5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1077748</v>
      </c>
      <c r="D153" s="263">
        <f>+D144+D146</f>
        <v>683389</v>
      </c>
      <c r="E153" s="263">
        <f t="shared" si="20"/>
        <v>-394359</v>
      </c>
      <c r="F153" s="264">
        <f t="shared" si="21"/>
        <v>-0.3659102127770128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564100</v>
      </c>
      <c r="D154" s="263">
        <f>+D145+D147</f>
        <v>174780</v>
      </c>
      <c r="E154" s="263">
        <f t="shared" si="20"/>
        <v>-389320</v>
      </c>
      <c r="F154" s="264">
        <f t="shared" si="21"/>
        <v>-0.69016131891508603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465194</v>
      </c>
      <c r="D183" s="258">
        <v>396269</v>
      </c>
      <c r="E183" s="258">
        <f t="shared" ref="E183:E193" si="26">D183-C183</f>
        <v>-68925</v>
      </c>
      <c r="F183" s="259">
        <f t="shared" ref="F183:F193" si="27">IF(C183=0,0,E183/C183)</f>
        <v>-0.14816399179697073</v>
      </c>
    </row>
    <row r="184" spans="1:6" ht="20.25" customHeight="1" x14ac:dyDescent="0.3">
      <c r="A184" s="256">
        <v>2</v>
      </c>
      <c r="B184" s="257" t="s">
        <v>442</v>
      </c>
      <c r="C184" s="258">
        <v>231470</v>
      </c>
      <c r="D184" s="258">
        <v>150633</v>
      </c>
      <c r="E184" s="258">
        <f t="shared" si="26"/>
        <v>-80837</v>
      </c>
      <c r="F184" s="259">
        <f t="shared" si="27"/>
        <v>-0.34923316196483345</v>
      </c>
    </row>
    <row r="185" spans="1:6" ht="20.25" customHeight="1" x14ac:dyDescent="0.3">
      <c r="A185" s="256">
        <v>3</v>
      </c>
      <c r="B185" s="257" t="s">
        <v>443</v>
      </c>
      <c r="C185" s="258">
        <v>185962</v>
      </c>
      <c r="D185" s="258">
        <v>159359</v>
      </c>
      <c r="E185" s="258">
        <f t="shared" si="26"/>
        <v>-26603</v>
      </c>
      <c r="F185" s="259">
        <f t="shared" si="27"/>
        <v>-0.14305610823716675</v>
      </c>
    </row>
    <row r="186" spans="1:6" ht="20.25" customHeight="1" x14ac:dyDescent="0.3">
      <c r="A186" s="256">
        <v>4</v>
      </c>
      <c r="B186" s="257" t="s">
        <v>444</v>
      </c>
      <c r="C186" s="258">
        <v>96992</v>
      </c>
      <c r="D186" s="258">
        <v>38754</v>
      </c>
      <c r="E186" s="258">
        <f t="shared" si="26"/>
        <v>-58238</v>
      </c>
      <c r="F186" s="259">
        <f t="shared" si="27"/>
        <v>-0.60044127350709342</v>
      </c>
    </row>
    <row r="187" spans="1:6" ht="20.25" customHeight="1" x14ac:dyDescent="0.3">
      <c r="A187" s="256">
        <v>5</v>
      </c>
      <c r="B187" s="257" t="s">
        <v>381</v>
      </c>
      <c r="C187" s="260">
        <v>22</v>
      </c>
      <c r="D187" s="260">
        <v>15</v>
      </c>
      <c r="E187" s="260">
        <f t="shared" si="26"/>
        <v>-7</v>
      </c>
      <c r="F187" s="259">
        <f t="shared" si="27"/>
        <v>-0.31818181818181818</v>
      </c>
    </row>
    <row r="188" spans="1:6" ht="20.25" customHeight="1" x14ac:dyDescent="0.3">
      <c r="A188" s="256">
        <v>6</v>
      </c>
      <c r="B188" s="257" t="s">
        <v>380</v>
      </c>
      <c r="C188" s="260">
        <v>113</v>
      </c>
      <c r="D188" s="260">
        <v>97</v>
      </c>
      <c r="E188" s="260">
        <f t="shared" si="26"/>
        <v>-16</v>
      </c>
      <c r="F188" s="259">
        <f t="shared" si="27"/>
        <v>-0.1415929203539823</v>
      </c>
    </row>
    <row r="189" spans="1:6" ht="20.25" customHeight="1" x14ac:dyDescent="0.3">
      <c r="A189" s="256">
        <v>7</v>
      </c>
      <c r="B189" s="257" t="s">
        <v>445</v>
      </c>
      <c r="C189" s="260">
        <v>524</v>
      </c>
      <c r="D189" s="260">
        <v>617</v>
      </c>
      <c r="E189" s="260">
        <f t="shared" si="26"/>
        <v>93</v>
      </c>
      <c r="F189" s="259">
        <f t="shared" si="27"/>
        <v>0.17748091603053434</v>
      </c>
    </row>
    <row r="190" spans="1:6" ht="20.25" customHeight="1" x14ac:dyDescent="0.3">
      <c r="A190" s="256">
        <v>8</v>
      </c>
      <c r="B190" s="257" t="s">
        <v>446</v>
      </c>
      <c r="C190" s="260">
        <v>52</v>
      </c>
      <c r="D190" s="260">
        <v>29</v>
      </c>
      <c r="E190" s="260">
        <f t="shared" si="26"/>
        <v>-23</v>
      </c>
      <c r="F190" s="259">
        <f t="shared" si="27"/>
        <v>-0.44230769230769229</v>
      </c>
    </row>
    <row r="191" spans="1:6" ht="20.25" customHeight="1" x14ac:dyDescent="0.3">
      <c r="A191" s="256">
        <v>9</v>
      </c>
      <c r="B191" s="257" t="s">
        <v>447</v>
      </c>
      <c r="C191" s="260">
        <v>21</v>
      </c>
      <c r="D191" s="260">
        <v>13</v>
      </c>
      <c r="E191" s="260">
        <f t="shared" si="26"/>
        <v>-8</v>
      </c>
      <c r="F191" s="259">
        <f t="shared" si="27"/>
        <v>-0.38095238095238093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651156</v>
      </c>
      <c r="D192" s="263">
        <f>+D183+D185</f>
        <v>555628</v>
      </c>
      <c r="E192" s="263">
        <f t="shared" si="26"/>
        <v>-95528</v>
      </c>
      <c r="F192" s="264">
        <f t="shared" si="27"/>
        <v>-0.14670524421183251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328462</v>
      </c>
      <c r="D193" s="263">
        <f>+D184+D186</f>
        <v>189387</v>
      </c>
      <c r="E193" s="263">
        <f t="shared" si="26"/>
        <v>-139075</v>
      </c>
      <c r="F193" s="264">
        <f t="shared" si="27"/>
        <v>-0.42341275398676254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8288629</v>
      </c>
      <c r="D198" s="263">
        <f t="shared" si="28"/>
        <v>8517807</v>
      </c>
      <c r="E198" s="263">
        <f t="shared" ref="E198:E208" si="29">D198-C198</f>
        <v>229178</v>
      </c>
      <c r="F198" s="273">
        <f t="shared" ref="F198:F208" si="30">IF(C198=0,0,E198/C198)</f>
        <v>2.7649687300517371E-2</v>
      </c>
    </row>
    <row r="199" spans="1:9" ht="20.25" customHeight="1" x14ac:dyDescent="0.3">
      <c r="A199" s="271"/>
      <c r="B199" s="272" t="s">
        <v>466</v>
      </c>
      <c r="C199" s="263">
        <f t="shared" si="28"/>
        <v>4275568</v>
      </c>
      <c r="D199" s="263">
        <f t="shared" si="28"/>
        <v>2896952</v>
      </c>
      <c r="E199" s="263">
        <f t="shared" si="29"/>
        <v>-1378616</v>
      </c>
      <c r="F199" s="273">
        <f t="shared" si="30"/>
        <v>-0.3224404336453075</v>
      </c>
    </row>
    <row r="200" spans="1:9" ht="20.25" customHeight="1" x14ac:dyDescent="0.3">
      <c r="A200" s="271"/>
      <c r="B200" s="272" t="s">
        <v>467</v>
      </c>
      <c r="C200" s="263">
        <f t="shared" si="28"/>
        <v>7013892</v>
      </c>
      <c r="D200" s="263">
        <f t="shared" si="28"/>
        <v>8312067</v>
      </c>
      <c r="E200" s="263">
        <f t="shared" si="29"/>
        <v>1298175</v>
      </c>
      <c r="F200" s="273">
        <f t="shared" si="30"/>
        <v>0.185086254535998</v>
      </c>
    </row>
    <row r="201" spans="1:9" ht="20.25" customHeight="1" x14ac:dyDescent="0.3">
      <c r="A201" s="271"/>
      <c r="B201" s="272" t="s">
        <v>468</v>
      </c>
      <c r="C201" s="263">
        <f t="shared" si="28"/>
        <v>3628043</v>
      </c>
      <c r="D201" s="263">
        <f t="shared" si="28"/>
        <v>2047200</v>
      </c>
      <c r="E201" s="263">
        <f t="shared" si="29"/>
        <v>-1580843</v>
      </c>
      <c r="F201" s="273">
        <f t="shared" si="30"/>
        <v>-0.43572884885873736</v>
      </c>
    </row>
    <row r="202" spans="1:9" ht="20.25" customHeight="1" x14ac:dyDescent="0.3">
      <c r="A202" s="271"/>
      <c r="B202" s="272" t="s">
        <v>138</v>
      </c>
      <c r="C202" s="274">
        <f t="shared" si="28"/>
        <v>330</v>
      </c>
      <c r="D202" s="274">
        <f t="shared" si="28"/>
        <v>332</v>
      </c>
      <c r="E202" s="274">
        <f t="shared" si="29"/>
        <v>2</v>
      </c>
      <c r="F202" s="273">
        <f t="shared" si="30"/>
        <v>6.0606060606060606E-3</v>
      </c>
    </row>
    <row r="203" spans="1:9" ht="20.25" customHeight="1" x14ac:dyDescent="0.3">
      <c r="A203" s="271"/>
      <c r="B203" s="272" t="s">
        <v>140</v>
      </c>
      <c r="C203" s="274">
        <f t="shared" si="28"/>
        <v>1767</v>
      </c>
      <c r="D203" s="274">
        <f t="shared" si="28"/>
        <v>1862</v>
      </c>
      <c r="E203" s="274">
        <f t="shared" si="29"/>
        <v>95</v>
      </c>
      <c r="F203" s="273">
        <f t="shared" si="30"/>
        <v>5.3763440860215055E-2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6960</v>
      </c>
      <c r="D204" s="274">
        <f t="shared" si="28"/>
        <v>8246</v>
      </c>
      <c r="E204" s="274">
        <f t="shared" si="29"/>
        <v>1286</v>
      </c>
      <c r="F204" s="273">
        <f t="shared" si="30"/>
        <v>0.18477011494252873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716</v>
      </c>
      <c r="D205" s="274">
        <f t="shared" si="28"/>
        <v>791</v>
      </c>
      <c r="E205" s="274">
        <f t="shared" si="29"/>
        <v>75</v>
      </c>
      <c r="F205" s="273">
        <f t="shared" si="30"/>
        <v>0.10474860335195531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301</v>
      </c>
      <c r="D206" s="274">
        <f t="shared" si="28"/>
        <v>293</v>
      </c>
      <c r="E206" s="274">
        <f t="shared" si="29"/>
        <v>-8</v>
      </c>
      <c r="F206" s="273">
        <f t="shared" si="30"/>
        <v>-2.6578073089700997E-2</v>
      </c>
    </row>
    <row r="207" spans="1:9" ht="20.25" customHeight="1" x14ac:dyDescent="0.3">
      <c r="A207" s="271"/>
      <c r="B207" s="262" t="s">
        <v>471</v>
      </c>
      <c r="C207" s="263">
        <f>+C198+C200</f>
        <v>15302521</v>
      </c>
      <c r="D207" s="263">
        <f>+D198+D200</f>
        <v>16829874</v>
      </c>
      <c r="E207" s="263">
        <f t="shared" si="29"/>
        <v>1527353</v>
      </c>
      <c r="F207" s="273">
        <f t="shared" si="30"/>
        <v>9.981054755618371E-2</v>
      </c>
    </row>
    <row r="208" spans="1:9" ht="20.25" customHeight="1" x14ac:dyDescent="0.3">
      <c r="A208" s="271"/>
      <c r="B208" s="262" t="s">
        <v>472</v>
      </c>
      <c r="C208" s="263">
        <f>+C199+C201</f>
        <v>7903611</v>
      </c>
      <c r="D208" s="263">
        <f>+D199+D201</f>
        <v>4944152</v>
      </c>
      <c r="E208" s="263">
        <f t="shared" si="29"/>
        <v>-2959459</v>
      </c>
      <c r="F208" s="273">
        <f t="shared" si="30"/>
        <v>-0.37444390924603954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/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550110</v>
      </c>
      <c r="D26" s="258">
        <v>0</v>
      </c>
      <c r="E26" s="258">
        <f t="shared" ref="E26:E36" si="2">D26-C26</f>
        <v>-550110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95585</v>
      </c>
      <c r="D27" s="258">
        <v>0</v>
      </c>
      <c r="E27" s="258">
        <f t="shared" si="2"/>
        <v>-95585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874356</v>
      </c>
      <c r="D28" s="258">
        <v>0</v>
      </c>
      <c r="E28" s="258">
        <f t="shared" si="2"/>
        <v>-874356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553472</v>
      </c>
      <c r="D29" s="258">
        <v>0</v>
      </c>
      <c r="E29" s="258">
        <f t="shared" si="2"/>
        <v>-553472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46</v>
      </c>
      <c r="D30" s="260">
        <v>0</v>
      </c>
      <c r="E30" s="260">
        <f t="shared" si="2"/>
        <v>-46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122</v>
      </c>
      <c r="D31" s="260">
        <v>0</v>
      </c>
      <c r="E31" s="260">
        <f t="shared" si="2"/>
        <v>-122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633</v>
      </c>
      <c r="D32" s="260">
        <v>0</v>
      </c>
      <c r="E32" s="260">
        <f t="shared" si="2"/>
        <v>-633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413</v>
      </c>
      <c r="D33" s="260">
        <v>0</v>
      </c>
      <c r="E33" s="260">
        <f t="shared" si="2"/>
        <v>-413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5</v>
      </c>
      <c r="D34" s="260">
        <v>0</v>
      </c>
      <c r="E34" s="260">
        <f t="shared" si="2"/>
        <v>-5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1424466</v>
      </c>
      <c r="D35" s="263">
        <f>+D26+D28</f>
        <v>0</v>
      </c>
      <c r="E35" s="263">
        <f t="shared" si="2"/>
        <v>-1424466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649057</v>
      </c>
      <c r="D36" s="263">
        <f>+D27+D29</f>
        <v>0</v>
      </c>
      <c r="E36" s="263">
        <f t="shared" si="2"/>
        <v>-649057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22632</v>
      </c>
      <c r="D40" s="258">
        <v>0</v>
      </c>
      <c r="E40" s="258">
        <f t="shared" si="4"/>
        <v>-22632</v>
      </c>
      <c r="F40" s="259">
        <f t="shared" si="5"/>
        <v>-1</v>
      </c>
    </row>
    <row r="41" spans="1:6" ht="20.25" customHeight="1" x14ac:dyDescent="0.3">
      <c r="A41" s="256">
        <v>4</v>
      </c>
      <c r="B41" s="257" t="s">
        <v>444</v>
      </c>
      <c r="C41" s="258">
        <v>12932</v>
      </c>
      <c r="D41" s="258">
        <v>0</v>
      </c>
      <c r="E41" s="258">
        <f t="shared" si="4"/>
        <v>-12932</v>
      </c>
      <c r="F41" s="259">
        <f t="shared" si="5"/>
        <v>-1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20</v>
      </c>
      <c r="D45" s="260">
        <v>0</v>
      </c>
      <c r="E45" s="260">
        <f t="shared" si="4"/>
        <v>-20</v>
      </c>
      <c r="F45" s="259">
        <f t="shared" si="5"/>
        <v>-1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22632</v>
      </c>
      <c r="D47" s="263">
        <f>+D38+D40</f>
        <v>0</v>
      </c>
      <c r="E47" s="263">
        <f t="shared" si="4"/>
        <v>-22632</v>
      </c>
      <c r="F47" s="264">
        <f t="shared" si="5"/>
        <v>-1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12932</v>
      </c>
      <c r="D48" s="263">
        <f>+D39+D41</f>
        <v>0</v>
      </c>
      <c r="E48" s="263">
        <f t="shared" si="4"/>
        <v>-12932</v>
      </c>
      <c r="F48" s="264">
        <f t="shared" si="5"/>
        <v>-1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860436</v>
      </c>
      <c r="D50" s="258">
        <v>0</v>
      </c>
      <c r="E50" s="258">
        <f t="shared" ref="E50:E60" si="6">D50-C50</f>
        <v>-860436</v>
      </c>
      <c r="F50" s="259">
        <f t="shared" ref="F50:F60" si="7">IF(C50=0,0,E50/C50)</f>
        <v>-1</v>
      </c>
    </row>
    <row r="51" spans="1:6" ht="20.25" customHeight="1" x14ac:dyDescent="0.3">
      <c r="A51" s="256">
        <v>2</v>
      </c>
      <c r="B51" s="257" t="s">
        <v>442</v>
      </c>
      <c r="C51" s="258">
        <v>300082</v>
      </c>
      <c r="D51" s="258">
        <v>0</v>
      </c>
      <c r="E51" s="258">
        <f t="shared" si="6"/>
        <v>-300082</v>
      </c>
      <c r="F51" s="259">
        <f t="shared" si="7"/>
        <v>-1</v>
      </c>
    </row>
    <row r="52" spans="1:6" ht="20.25" customHeight="1" x14ac:dyDescent="0.3">
      <c r="A52" s="256">
        <v>3</v>
      </c>
      <c r="B52" s="257" t="s">
        <v>443</v>
      </c>
      <c r="C52" s="258">
        <v>609935</v>
      </c>
      <c r="D52" s="258">
        <v>0</v>
      </c>
      <c r="E52" s="258">
        <f t="shared" si="6"/>
        <v>-609935</v>
      </c>
      <c r="F52" s="259">
        <f t="shared" si="7"/>
        <v>-1</v>
      </c>
    </row>
    <row r="53" spans="1:6" ht="20.25" customHeight="1" x14ac:dyDescent="0.3">
      <c r="A53" s="256">
        <v>4</v>
      </c>
      <c r="B53" s="257" t="s">
        <v>444</v>
      </c>
      <c r="C53" s="258">
        <v>377236</v>
      </c>
      <c r="D53" s="258">
        <v>0</v>
      </c>
      <c r="E53" s="258">
        <f t="shared" si="6"/>
        <v>-377236</v>
      </c>
      <c r="F53" s="259">
        <f t="shared" si="7"/>
        <v>-1</v>
      </c>
    </row>
    <row r="54" spans="1:6" ht="20.25" customHeight="1" x14ac:dyDescent="0.3">
      <c r="A54" s="256">
        <v>5</v>
      </c>
      <c r="B54" s="257" t="s">
        <v>381</v>
      </c>
      <c r="C54" s="260">
        <v>55</v>
      </c>
      <c r="D54" s="260">
        <v>0</v>
      </c>
      <c r="E54" s="260">
        <f t="shared" si="6"/>
        <v>-55</v>
      </c>
      <c r="F54" s="259">
        <f t="shared" si="7"/>
        <v>-1</v>
      </c>
    </row>
    <row r="55" spans="1:6" ht="20.25" customHeight="1" x14ac:dyDescent="0.3">
      <c r="A55" s="256">
        <v>6</v>
      </c>
      <c r="B55" s="257" t="s">
        <v>380</v>
      </c>
      <c r="C55" s="260">
        <v>337</v>
      </c>
      <c r="D55" s="260">
        <v>0</v>
      </c>
      <c r="E55" s="260">
        <f t="shared" si="6"/>
        <v>-337</v>
      </c>
      <c r="F55" s="259">
        <f t="shared" si="7"/>
        <v>-1</v>
      </c>
    </row>
    <row r="56" spans="1:6" ht="20.25" customHeight="1" x14ac:dyDescent="0.3">
      <c r="A56" s="256">
        <v>7</v>
      </c>
      <c r="B56" s="257" t="s">
        <v>445</v>
      </c>
      <c r="C56" s="260">
        <v>70</v>
      </c>
      <c r="D56" s="260">
        <v>0</v>
      </c>
      <c r="E56" s="260">
        <f t="shared" si="6"/>
        <v>-70</v>
      </c>
      <c r="F56" s="259">
        <f t="shared" si="7"/>
        <v>-1</v>
      </c>
    </row>
    <row r="57" spans="1:6" ht="20.25" customHeight="1" x14ac:dyDescent="0.3">
      <c r="A57" s="256">
        <v>8</v>
      </c>
      <c r="B57" s="257" t="s">
        <v>446</v>
      </c>
      <c r="C57" s="260">
        <v>276</v>
      </c>
      <c r="D57" s="260">
        <v>0</v>
      </c>
      <c r="E57" s="260">
        <f t="shared" si="6"/>
        <v>-276</v>
      </c>
      <c r="F57" s="259">
        <f t="shared" si="7"/>
        <v>-1</v>
      </c>
    </row>
    <row r="58" spans="1:6" ht="20.25" customHeight="1" x14ac:dyDescent="0.3">
      <c r="A58" s="256">
        <v>9</v>
      </c>
      <c r="B58" s="257" t="s">
        <v>447</v>
      </c>
      <c r="C58" s="260">
        <v>141</v>
      </c>
      <c r="D58" s="260">
        <v>0</v>
      </c>
      <c r="E58" s="260">
        <f t="shared" si="6"/>
        <v>-141</v>
      </c>
      <c r="F58" s="259">
        <f t="shared" si="7"/>
        <v>-1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1470371</v>
      </c>
      <c r="D59" s="263">
        <f>+D50+D52</f>
        <v>0</v>
      </c>
      <c r="E59" s="263">
        <f t="shared" si="6"/>
        <v>-1470371</v>
      </c>
      <c r="F59" s="264">
        <f t="shared" si="7"/>
        <v>-1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677318</v>
      </c>
      <c r="D60" s="263">
        <f>+D51+D53</f>
        <v>0</v>
      </c>
      <c r="E60" s="263">
        <f t="shared" si="6"/>
        <v>-677318</v>
      </c>
      <c r="F60" s="264">
        <f t="shared" si="7"/>
        <v>-1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29058</v>
      </c>
      <c r="D86" s="258">
        <v>0</v>
      </c>
      <c r="E86" s="258">
        <f t="shared" ref="E86:E96" si="12">D86-C86</f>
        <v>-29058</v>
      </c>
      <c r="F86" s="259">
        <f t="shared" ref="F86:F96" si="13">IF(C86=0,0,E86/C86)</f>
        <v>-1</v>
      </c>
    </row>
    <row r="87" spans="1:6" ht="20.25" customHeight="1" x14ac:dyDescent="0.3">
      <c r="A87" s="256">
        <v>2</v>
      </c>
      <c r="B87" s="257" t="s">
        <v>442</v>
      </c>
      <c r="C87" s="258">
        <v>2606</v>
      </c>
      <c r="D87" s="258">
        <v>0</v>
      </c>
      <c r="E87" s="258">
        <f t="shared" si="12"/>
        <v>-2606</v>
      </c>
      <c r="F87" s="259">
        <f t="shared" si="13"/>
        <v>-1</v>
      </c>
    </row>
    <row r="88" spans="1:6" ht="20.25" customHeight="1" x14ac:dyDescent="0.3">
      <c r="A88" s="256">
        <v>3</v>
      </c>
      <c r="B88" s="257" t="s">
        <v>443</v>
      </c>
      <c r="C88" s="258">
        <v>238198</v>
      </c>
      <c r="D88" s="258">
        <v>0</v>
      </c>
      <c r="E88" s="258">
        <f t="shared" si="12"/>
        <v>-238198</v>
      </c>
      <c r="F88" s="259">
        <f t="shared" si="13"/>
        <v>-1</v>
      </c>
    </row>
    <row r="89" spans="1:6" ht="20.25" customHeight="1" x14ac:dyDescent="0.3">
      <c r="A89" s="256">
        <v>4</v>
      </c>
      <c r="B89" s="257" t="s">
        <v>444</v>
      </c>
      <c r="C89" s="258">
        <v>144350</v>
      </c>
      <c r="D89" s="258">
        <v>0</v>
      </c>
      <c r="E89" s="258">
        <f t="shared" si="12"/>
        <v>-144350</v>
      </c>
      <c r="F89" s="259">
        <f t="shared" si="13"/>
        <v>-1</v>
      </c>
    </row>
    <row r="90" spans="1:6" ht="20.25" customHeight="1" x14ac:dyDescent="0.3">
      <c r="A90" s="256">
        <v>5</v>
      </c>
      <c r="B90" s="257" t="s">
        <v>381</v>
      </c>
      <c r="C90" s="260">
        <v>2</v>
      </c>
      <c r="D90" s="260">
        <v>0</v>
      </c>
      <c r="E90" s="260">
        <f t="shared" si="12"/>
        <v>-2</v>
      </c>
      <c r="F90" s="259">
        <f t="shared" si="13"/>
        <v>-1</v>
      </c>
    </row>
    <row r="91" spans="1:6" ht="20.25" customHeight="1" x14ac:dyDescent="0.3">
      <c r="A91" s="256">
        <v>6</v>
      </c>
      <c r="B91" s="257" t="s">
        <v>380</v>
      </c>
      <c r="C91" s="260">
        <v>6</v>
      </c>
      <c r="D91" s="260">
        <v>0</v>
      </c>
      <c r="E91" s="260">
        <f t="shared" si="12"/>
        <v>-6</v>
      </c>
      <c r="F91" s="259">
        <f t="shared" si="13"/>
        <v>-1</v>
      </c>
    </row>
    <row r="92" spans="1:6" ht="20.25" customHeight="1" x14ac:dyDescent="0.3">
      <c r="A92" s="256">
        <v>7</v>
      </c>
      <c r="B92" s="257" t="s">
        <v>445</v>
      </c>
      <c r="C92" s="260">
        <v>123</v>
      </c>
      <c r="D92" s="260">
        <v>0</v>
      </c>
      <c r="E92" s="260">
        <f t="shared" si="12"/>
        <v>-123</v>
      </c>
      <c r="F92" s="259">
        <f t="shared" si="13"/>
        <v>-1</v>
      </c>
    </row>
    <row r="93" spans="1:6" ht="20.25" customHeight="1" x14ac:dyDescent="0.3">
      <c r="A93" s="256">
        <v>8</v>
      </c>
      <c r="B93" s="257" t="s">
        <v>446</v>
      </c>
      <c r="C93" s="260">
        <v>108</v>
      </c>
      <c r="D93" s="260">
        <v>0</v>
      </c>
      <c r="E93" s="260">
        <f t="shared" si="12"/>
        <v>-108</v>
      </c>
      <c r="F93" s="259">
        <f t="shared" si="13"/>
        <v>-1</v>
      </c>
    </row>
    <row r="94" spans="1:6" ht="20.25" customHeight="1" x14ac:dyDescent="0.3">
      <c r="A94" s="256">
        <v>9</v>
      </c>
      <c r="B94" s="257" t="s">
        <v>447</v>
      </c>
      <c r="C94" s="260">
        <v>2</v>
      </c>
      <c r="D94" s="260">
        <v>0</v>
      </c>
      <c r="E94" s="260">
        <f t="shared" si="12"/>
        <v>-2</v>
      </c>
      <c r="F94" s="259">
        <f t="shared" si="13"/>
        <v>-1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267256</v>
      </c>
      <c r="D95" s="263">
        <f>+D86+D88</f>
        <v>0</v>
      </c>
      <c r="E95" s="263">
        <f t="shared" si="12"/>
        <v>-267256</v>
      </c>
      <c r="F95" s="264">
        <f t="shared" si="13"/>
        <v>-1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146956</v>
      </c>
      <c r="D96" s="263">
        <f>+D87+D89</f>
        <v>0</v>
      </c>
      <c r="E96" s="263">
        <f t="shared" si="12"/>
        <v>-146956</v>
      </c>
      <c r="F96" s="264">
        <f t="shared" si="13"/>
        <v>-1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52536</v>
      </c>
      <c r="D98" s="258">
        <v>0</v>
      </c>
      <c r="E98" s="258">
        <f t="shared" ref="E98:E108" si="14">D98-C98</f>
        <v>-52536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10091</v>
      </c>
      <c r="D99" s="258">
        <v>0</v>
      </c>
      <c r="E99" s="258">
        <f t="shared" si="14"/>
        <v>-10091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377848</v>
      </c>
      <c r="D100" s="258">
        <v>0</v>
      </c>
      <c r="E100" s="258">
        <f t="shared" si="14"/>
        <v>-377848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230517</v>
      </c>
      <c r="D101" s="258">
        <v>0</v>
      </c>
      <c r="E101" s="258">
        <f t="shared" si="14"/>
        <v>-230517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4</v>
      </c>
      <c r="D102" s="260">
        <v>0</v>
      </c>
      <c r="E102" s="260">
        <f t="shared" si="14"/>
        <v>-4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13</v>
      </c>
      <c r="D103" s="260">
        <v>0</v>
      </c>
      <c r="E103" s="260">
        <f t="shared" si="14"/>
        <v>-13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201</v>
      </c>
      <c r="D104" s="260">
        <v>0</v>
      </c>
      <c r="E104" s="260">
        <f t="shared" si="14"/>
        <v>-201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166</v>
      </c>
      <c r="D105" s="260">
        <v>0</v>
      </c>
      <c r="E105" s="260">
        <f t="shared" si="14"/>
        <v>-166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4</v>
      </c>
      <c r="D106" s="260">
        <v>0</v>
      </c>
      <c r="E106" s="260">
        <f t="shared" si="14"/>
        <v>-4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430384</v>
      </c>
      <c r="D107" s="263">
        <f>+D98+D100</f>
        <v>0</v>
      </c>
      <c r="E107" s="263">
        <f t="shared" si="14"/>
        <v>-430384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240608</v>
      </c>
      <c r="D108" s="263">
        <f>+D99+D101</f>
        <v>0</v>
      </c>
      <c r="E108" s="263">
        <f t="shared" si="14"/>
        <v>-240608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1492140</v>
      </c>
      <c r="D112" s="263">
        <f t="shared" si="16"/>
        <v>0</v>
      </c>
      <c r="E112" s="263">
        <f t="shared" ref="E112:E122" si="17">D112-C112</f>
        <v>-1492140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408364</v>
      </c>
      <c r="D113" s="263">
        <f t="shared" si="16"/>
        <v>0</v>
      </c>
      <c r="E113" s="263">
        <f t="shared" si="17"/>
        <v>-408364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2122969</v>
      </c>
      <c r="D114" s="263">
        <f t="shared" si="16"/>
        <v>0</v>
      </c>
      <c r="E114" s="263">
        <f t="shared" si="17"/>
        <v>-2122969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1318507</v>
      </c>
      <c r="D115" s="263">
        <f t="shared" si="16"/>
        <v>0</v>
      </c>
      <c r="E115" s="263">
        <f t="shared" si="17"/>
        <v>-1318507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107</v>
      </c>
      <c r="D116" s="287">
        <f t="shared" si="16"/>
        <v>0</v>
      </c>
      <c r="E116" s="287">
        <f t="shared" si="17"/>
        <v>-107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478</v>
      </c>
      <c r="D117" s="287">
        <f t="shared" si="16"/>
        <v>0</v>
      </c>
      <c r="E117" s="287">
        <f t="shared" si="17"/>
        <v>-478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1027</v>
      </c>
      <c r="D118" s="287">
        <f t="shared" si="16"/>
        <v>0</v>
      </c>
      <c r="E118" s="287">
        <f t="shared" si="17"/>
        <v>-1027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983</v>
      </c>
      <c r="D119" s="287">
        <f t="shared" si="16"/>
        <v>0</v>
      </c>
      <c r="E119" s="287">
        <f t="shared" si="17"/>
        <v>-983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152</v>
      </c>
      <c r="D120" s="287">
        <f t="shared" si="16"/>
        <v>0</v>
      </c>
      <c r="E120" s="287">
        <f t="shared" si="17"/>
        <v>-152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3615109</v>
      </c>
      <c r="D121" s="263">
        <f>+D112+D114</f>
        <v>0</v>
      </c>
      <c r="E121" s="263">
        <f t="shared" si="17"/>
        <v>-3615109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1726871</v>
      </c>
      <c r="D122" s="263">
        <f>+D113+D115</f>
        <v>0</v>
      </c>
      <c r="E122" s="263">
        <f t="shared" si="17"/>
        <v>-1726871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1246131</v>
      </c>
      <c r="D13" s="22">
        <v>875661</v>
      </c>
      <c r="E13" s="22">
        <f t="shared" ref="E13:E22" si="0">D13-C13</f>
        <v>-370470</v>
      </c>
      <c r="F13" s="306">
        <f t="shared" ref="F13:F22" si="1">IF(C13=0,0,E13/C13)</f>
        <v>-0.29729619117091222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11049711</v>
      </c>
      <c r="D15" s="22">
        <v>10135389</v>
      </c>
      <c r="E15" s="22">
        <f t="shared" si="0"/>
        <v>-914322</v>
      </c>
      <c r="F15" s="306">
        <f t="shared" si="1"/>
        <v>-8.2746236530530079E-2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1254591</v>
      </c>
      <c r="D19" s="22">
        <v>1317470</v>
      </c>
      <c r="E19" s="22">
        <f t="shared" si="0"/>
        <v>62879</v>
      </c>
      <c r="F19" s="306">
        <f t="shared" si="1"/>
        <v>5.0119122486930005E-2</v>
      </c>
    </row>
    <row r="20" spans="1:11" ht="24" customHeight="1" x14ac:dyDescent="0.2">
      <c r="A20" s="304">
        <v>8</v>
      </c>
      <c r="B20" s="305" t="s">
        <v>23</v>
      </c>
      <c r="C20" s="22">
        <v>1142229</v>
      </c>
      <c r="D20" s="22">
        <v>1110135</v>
      </c>
      <c r="E20" s="22">
        <f t="shared" si="0"/>
        <v>-32094</v>
      </c>
      <c r="F20" s="306">
        <f t="shared" si="1"/>
        <v>-2.8097693194622093E-2</v>
      </c>
    </row>
    <row r="21" spans="1:11" ht="24" customHeight="1" x14ac:dyDescent="0.2">
      <c r="A21" s="304">
        <v>9</v>
      </c>
      <c r="B21" s="305" t="s">
        <v>24</v>
      </c>
      <c r="C21" s="22">
        <v>708207</v>
      </c>
      <c r="D21" s="22">
        <v>2026862</v>
      </c>
      <c r="E21" s="22">
        <f t="shared" si="0"/>
        <v>1318655</v>
      </c>
      <c r="F21" s="306">
        <f t="shared" si="1"/>
        <v>1.8619626747546973</v>
      </c>
    </row>
    <row r="22" spans="1:11" ht="24" customHeight="1" x14ac:dyDescent="0.25">
      <c r="A22" s="307"/>
      <c r="B22" s="308" t="s">
        <v>25</v>
      </c>
      <c r="C22" s="309">
        <f>SUM(C13:C21)</f>
        <v>15400869</v>
      </c>
      <c r="D22" s="309">
        <f>SUM(D13:D21)</f>
        <v>15465517</v>
      </c>
      <c r="E22" s="309">
        <f t="shared" si="0"/>
        <v>64648</v>
      </c>
      <c r="F22" s="310">
        <f t="shared" si="1"/>
        <v>4.1976852085424529E-3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4648810</v>
      </c>
      <c r="D25" s="22">
        <v>4760328</v>
      </c>
      <c r="E25" s="22">
        <f>D25-C25</f>
        <v>111518</v>
      </c>
      <c r="F25" s="306">
        <f>IF(C25=0,0,E25/C25)</f>
        <v>2.3988504585044344E-2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363097</v>
      </c>
      <c r="D27" s="22">
        <v>268338</v>
      </c>
      <c r="E27" s="22">
        <f>D27-C27</f>
        <v>-94759</v>
      </c>
      <c r="F27" s="306">
        <f>IF(C27=0,0,E27/C27)</f>
        <v>-0.26097434019008697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5011907</v>
      </c>
      <c r="D29" s="309">
        <f>SUM(D25:D28)</f>
        <v>5028666</v>
      </c>
      <c r="E29" s="309">
        <f>D29-C29</f>
        <v>16759</v>
      </c>
      <c r="F29" s="310">
        <f>IF(C29=0,0,E29/C29)</f>
        <v>3.3438369866001104E-3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3115139</v>
      </c>
      <c r="D32" s="22">
        <v>3174149</v>
      </c>
      <c r="E32" s="22">
        <f>D32-C32</f>
        <v>59010</v>
      </c>
      <c r="F32" s="306">
        <f>IF(C32=0,0,E32/C32)</f>
        <v>1.8942974936270902E-2</v>
      </c>
    </row>
    <row r="33" spans="1:8" ht="24" customHeight="1" x14ac:dyDescent="0.2">
      <c r="A33" s="304">
        <v>7</v>
      </c>
      <c r="B33" s="305" t="s">
        <v>35</v>
      </c>
      <c r="C33" s="22">
        <v>932644</v>
      </c>
      <c r="D33" s="22">
        <v>775787</v>
      </c>
      <c r="E33" s="22">
        <f>D33-C33</f>
        <v>-156857</v>
      </c>
      <c r="F33" s="306">
        <f>IF(C33=0,0,E33/C33)</f>
        <v>-0.16818528827719903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89206505</v>
      </c>
      <c r="D36" s="22">
        <v>87268202</v>
      </c>
      <c r="E36" s="22">
        <f>D36-C36</f>
        <v>-1938303</v>
      </c>
      <c r="F36" s="306">
        <f>IF(C36=0,0,E36/C36)</f>
        <v>-2.1728269704098371E-2</v>
      </c>
    </row>
    <row r="37" spans="1:8" ht="24" customHeight="1" x14ac:dyDescent="0.2">
      <c r="A37" s="304">
        <v>2</v>
      </c>
      <c r="B37" s="305" t="s">
        <v>39</v>
      </c>
      <c r="C37" s="22">
        <v>56237679</v>
      </c>
      <c r="D37" s="22">
        <v>60233946</v>
      </c>
      <c r="E37" s="22">
        <f>D37-C37</f>
        <v>3996267</v>
      </c>
      <c r="F37" s="22">
        <f>IF(C37=0,0,E37/C37)</f>
        <v>7.106031171734524E-2</v>
      </c>
    </row>
    <row r="38" spans="1:8" ht="24" customHeight="1" x14ac:dyDescent="0.25">
      <c r="A38" s="307"/>
      <c r="B38" s="308" t="s">
        <v>40</v>
      </c>
      <c r="C38" s="309">
        <f>C36-C37</f>
        <v>32968826</v>
      </c>
      <c r="D38" s="309">
        <f>D36-D37</f>
        <v>27034256</v>
      </c>
      <c r="E38" s="309">
        <f>D38-C38</f>
        <v>-5934570</v>
      </c>
      <c r="F38" s="310">
        <f>IF(C38=0,0,E38/C38)</f>
        <v>-0.18000549974087643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0</v>
      </c>
      <c r="D40" s="22">
        <v>0</v>
      </c>
      <c r="E40" s="22">
        <f>D40-C40</f>
        <v>0</v>
      </c>
      <c r="F40" s="306">
        <f>IF(C40=0,0,E40/C40)</f>
        <v>0</v>
      </c>
    </row>
    <row r="41" spans="1:8" ht="24" customHeight="1" x14ac:dyDescent="0.25">
      <c r="A41" s="307"/>
      <c r="B41" s="308" t="s">
        <v>42</v>
      </c>
      <c r="C41" s="309">
        <f>+C38+C40</f>
        <v>32968826</v>
      </c>
      <c r="D41" s="309">
        <f>+D38+D40</f>
        <v>27034256</v>
      </c>
      <c r="E41" s="309">
        <f>D41-C41</f>
        <v>-5934570</v>
      </c>
      <c r="F41" s="310">
        <f>IF(C41=0,0,E41/C41)</f>
        <v>-0.18000549974087643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57429385</v>
      </c>
      <c r="D43" s="309">
        <f>D22+D29+D31+D32+D33+D41</f>
        <v>51478375</v>
      </c>
      <c r="E43" s="309">
        <f>D43-C43</f>
        <v>-5951010</v>
      </c>
      <c r="F43" s="310">
        <f>IF(C43=0,0,E43/C43)</f>
        <v>-0.1036230842451125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4846437</v>
      </c>
      <c r="D49" s="22">
        <v>7095451</v>
      </c>
      <c r="E49" s="22">
        <f t="shared" ref="E49:E56" si="2">D49-C49</f>
        <v>2249014</v>
      </c>
      <c r="F49" s="306">
        <f t="shared" ref="F49:F56" si="3">IF(C49=0,0,E49/C49)</f>
        <v>0.46405513988936614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3018255</v>
      </c>
      <c r="D50" s="22">
        <v>2807220</v>
      </c>
      <c r="E50" s="22">
        <f t="shared" si="2"/>
        <v>-211035</v>
      </c>
      <c r="F50" s="306">
        <f t="shared" si="3"/>
        <v>-6.9919539601524722E-2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1494268</v>
      </c>
      <c r="D51" s="22">
        <v>2784065</v>
      </c>
      <c r="E51" s="22">
        <f t="shared" si="2"/>
        <v>1289797</v>
      </c>
      <c r="F51" s="306">
        <f t="shared" si="3"/>
        <v>0.86316310059507395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0</v>
      </c>
      <c r="D53" s="22">
        <v>29202278</v>
      </c>
      <c r="E53" s="22">
        <f t="shared" si="2"/>
        <v>29202278</v>
      </c>
      <c r="F53" s="306">
        <f t="shared" si="3"/>
        <v>0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1107768</v>
      </c>
      <c r="D54" s="22">
        <v>471952</v>
      </c>
      <c r="E54" s="22">
        <f t="shared" si="2"/>
        <v>-635816</v>
      </c>
      <c r="F54" s="306">
        <f t="shared" si="3"/>
        <v>-0.57396133486433987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5471754</v>
      </c>
      <c r="D55" s="22">
        <v>5001298</v>
      </c>
      <c r="E55" s="22">
        <f t="shared" si="2"/>
        <v>-470456</v>
      </c>
      <c r="F55" s="306">
        <f t="shared" si="3"/>
        <v>-8.5979011483337878E-2</v>
      </c>
    </row>
    <row r="56" spans="1:6" ht="24" customHeight="1" x14ac:dyDescent="0.25">
      <c r="A56" s="307"/>
      <c r="B56" s="308" t="s">
        <v>54</v>
      </c>
      <c r="C56" s="309">
        <f>SUM(C49:C55)</f>
        <v>15938482</v>
      </c>
      <c r="D56" s="309">
        <f>SUM(D49:D55)</f>
        <v>47362264</v>
      </c>
      <c r="E56" s="309">
        <f t="shared" si="2"/>
        <v>31423782</v>
      </c>
      <c r="F56" s="310">
        <f t="shared" si="3"/>
        <v>1.9715668029113438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28704541</v>
      </c>
      <c r="D60" s="22">
        <v>0</v>
      </c>
      <c r="E60" s="22">
        <f>D60-C60</f>
        <v>-28704541</v>
      </c>
      <c r="F60" s="306">
        <f>IF(C60=0,0,E60/C60)</f>
        <v>-1</v>
      </c>
    </row>
    <row r="61" spans="1:6" ht="24" customHeight="1" x14ac:dyDescent="0.25">
      <c r="A61" s="307"/>
      <c r="B61" s="308" t="s">
        <v>58</v>
      </c>
      <c r="C61" s="309">
        <f>SUM(C59:C60)</f>
        <v>28704541</v>
      </c>
      <c r="D61" s="309">
        <f>SUM(D59:D60)</f>
        <v>0</v>
      </c>
      <c r="E61" s="309">
        <f>D61-C61</f>
        <v>-28704541</v>
      </c>
      <c r="F61" s="310">
        <f>IF(C61=0,0,E61/C61)</f>
        <v>-1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0</v>
      </c>
      <c r="D63" s="22">
        <v>0</v>
      </c>
      <c r="E63" s="22">
        <f>D63-C63</f>
        <v>0</v>
      </c>
      <c r="F63" s="306">
        <f>IF(C63=0,0,E63/C63)</f>
        <v>0</v>
      </c>
    </row>
    <row r="64" spans="1:6" ht="24" customHeight="1" x14ac:dyDescent="0.2">
      <c r="A64" s="304">
        <v>4</v>
      </c>
      <c r="B64" s="305" t="s">
        <v>60</v>
      </c>
      <c r="C64" s="22">
        <v>9194576</v>
      </c>
      <c r="D64" s="22">
        <v>7802859</v>
      </c>
      <c r="E64" s="22">
        <f>D64-C64</f>
        <v>-1391717</v>
      </c>
      <c r="F64" s="306">
        <f>IF(C64=0,0,E64/C64)</f>
        <v>-0.15136282521347369</v>
      </c>
    </row>
    <row r="65" spans="1:6" ht="24" customHeight="1" x14ac:dyDescent="0.25">
      <c r="A65" s="307"/>
      <c r="B65" s="308" t="s">
        <v>61</v>
      </c>
      <c r="C65" s="309">
        <f>SUM(C61:C64)</f>
        <v>37899117</v>
      </c>
      <c r="D65" s="309">
        <f>SUM(D61:D64)</f>
        <v>7802859</v>
      </c>
      <c r="E65" s="309">
        <f>D65-C65</f>
        <v>-30096258</v>
      </c>
      <c r="F65" s="310">
        <f>IF(C65=0,0,E65/C65)</f>
        <v>-0.7941150185636251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-1339902</v>
      </c>
      <c r="D70" s="22">
        <v>-8766006</v>
      </c>
      <c r="E70" s="22">
        <f>D70-C70</f>
        <v>-7426104</v>
      </c>
      <c r="F70" s="306">
        <f>IF(C70=0,0,E70/C70)</f>
        <v>5.5422739872020488</v>
      </c>
    </row>
    <row r="71" spans="1:6" ht="24" customHeight="1" x14ac:dyDescent="0.2">
      <c r="A71" s="304">
        <v>2</v>
      </c>
      <c r="B71" s="305" t="s">
        <v>65</v>
      </c>
      <c r="C71" s="22">
        <v>301374</v>
      </c>
      <c r="D71" s="22">
        <v>335709</v>
      </c>
      <c r="E71" s="22">
        <f>D71-C71</f>
        <v>34335</v>
      </c>
      <c r="F71" s="306">
        <f>IF(C71=0,0,E71/C71)</f>
        <v>0.11392820880367915</v>
      </c>
    </row>
    <row r="72" spans="1:6" ht="24" customHeight="1" x14ac:dyDescent="0.2">
      <c r="A72" s="304">
        <v>3</v>
      </c>
      <c r="B72" s="305" t="s">
        <v>66</v>
      </c>
      <c r="C72" s="22">
        <v>4630314</v>
      </c>
      <c r="D72" s="22">
        <v>4743549</v>
      </c>
      <c r="E72" s="22">
        <f>D72-C72</f>
        <v>113235</v>
      </c>
      <c r="F72" s="306">
        <f>IF(C72=0,0,E72/C72)</f>
        <v>2.4455144942653998E-2</v>
      </c>
    </row>
    <row r="73" spans="1:6" ht="24" customHeight="1" x14ac:dyDescent="0.25">
      <c r="A73" s="304"/>
      <c r="B73" s="308" t="s">
        <v>67</v>
      </c>
      <c r="C73" s="309">
        <f>SUM(C70:C72)</f>
        <v>3591786</v>
      </c>
      <c r="D73" s="309">
        <f>SUM(D70:D72)</f>
        <v>-3686748</v>
      </c>
      <c r="E73" s="309">
        <f>D73-C73</f>
        <v>-7278534</v>
      </c>
      <c r="F73" s="310">
        <f>IF(C73=0,0,E73/C73)</f>
        <v>-2.0264386575369469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57429385</v>
      </c>
      <c r="D75" s="309">
        <f>D56+D65+D67+D73</f>
        <v>51478375</v>
      </c>
      <c r="E75" s="309">
        <f>D75-C75</f>
        <v>-5951010</v>
      </c>
      <c r="F75" s="310">
        <f>IF(C75=0,0,E75/C75)</f>
        <v>-0.1036230842451125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193741543</v>
      </c>
      <c r="D11" s="76">
        <v>199469902</v>
      </c>
      <c r="E11" s="76">
        <f t="shared" ref="E11:E20" si="0">D11-C11</f>
        <v>5728359</v>
      </c>
      <c r="F11" s="77">
        <f t="shared" ref="F11:F20" si="1">IF(C11=0,0,E11/C11)</f>
        <v>2.9567014442534918E-2</v>
      </c>
    </row>
    <row r="12" spans="1:7" ht="23.1" customHeight="1" x14ac:dyDescent="0.2">
      <c r="A12" s="74">
        <v>2</v>
      </c>
      <c r="B12" s="75" t="s">
        <v>72</v>
      </c>
      <c r="C12" s="76">
        <v>100767552</v>
      </c>
      <c r="D12" s="76">
        <v>108128508</v>
      </c>
      <c r="E12" s="76">
        <f t="shared" si="0"/>
        <v>7360956</v>
      </c>
      <c r="F12" s="77">
        <f t="shared" si="1"/>
        <v>7.3048871922580791E-2</v>
      </c>
    </row>
    <row r="13" spans="1:7" ht="23.1" customHeight="1" x14ac:dyDescent="0.2">
      <c r="A13" s="74">
        <v>3</v>
      </c>
      <c r="B13" s="75" t="s">
        <v>73</v>
      </c>
      <c r="C13" s="76">
        <v>103541</v>
      </c>
      <c r="D13" s="76">
        <v>310398</v>
      </c>
      <c r="E13" s="76">
        <f t="shared" si="0"/>
        <v>206857</v>
      </c>
      <c r="F13" s="77">
        <f t="shared" si="1"/>
        <v>1.9978269477791406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92870450</v>
      </c>
      <c r="D15" s="79">
        <f>D11-D12-D13-D14</f>
        <v>91030996</v>
      </c>
      <c r="E15" s="79">
        <f t="shared" si="0"/>
        <v>-1839454</v>
      </c>
      <c r="F15" s="80">
        <f t="shared" si="1"/>
        <v>-1.9806666167763803E-2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4709325</v>
      </c>
      <c r="E16" s="76">
        <f t="shared" si="0"/>
        <v>4709325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92870450</v>
      </c>
      <c r="D17" s="79">
        <f>D15-D16</f>
        <v>86321671</v>
      </c>
      <c r="E17" s="79">
        <f t="shared" si="0"/>
        <v>-6548779</v>
      </c>
      <c r="F17" s="80">
        <f t="shared" si="1"/>
        <v>-7.0515206936113697E-2</v>
      </c>
    </row>
    <row r="18" spans="1:7" ht="23.1" customHeight="1" x14ac:dyDescent="0.2">
      <c r="A18" s="74">
        <v>6</v>
      </c>
      <c r="B18" s="75" t="s">
        <v>78</v>
      </c>
      <c r="C18" s="76">
        <v>848902</v>
      </c>
      <c r="D18" s="76">
        <v>897142</v>
      </c>
      <c r="E18" s="76">
        <f t="shared" si="0"/>
        <v>48240</v>
      </c>
      <c r="F18" s="77">
        <f t="shared" si="1"/>
        <v>5.6826347446466141E-2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48084</v>
      </c>
      <c r="D19" s="76">
        <v>459171</v>
      </c>
      <c r="E19" s="76">
        <f t="shared" si="0"/>
        <v>411087</v>
      </c>
      <c r="F19" s="77">
        <f t="shared" si="1"/>
        <v>8.5493511355128522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93767436</v>
      </c>
      <c r="D20" s="79">
        <f>SUM(D17:D19)</f>
        <v>87677984</v>
      </c>
      <c r="E20" s="79">
        <f t="shared" si="0"/>
        <v>-6089452</v>
      </c>
      <c r="F20" s="80">
        <f t="shared" si="1"/>
        <v>-6.4942076479514707E-2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45315556</v>
      </c>
      <c r="D23" s="76">
        <v>43355432</v>
      </c>
      <c r="E23" s="76">
        <f t="shared" ref="E23:E32" si="2">D23-C23</f>
        <v>-1960124</v>
      </c>
      <c r="F23" s="77">
        <f t="shared" ref="F23:F32" si="3">IF(C23=0,0,E23/C23)</f>
        <v>-4.3254991729550885E-2</v>
      </c>
    </row>
    <row r="24" spans="1:7" ht="23.1" customHeight="1" x14ac:dyDescent="0.2">
      <c r="A24" s="74">
        <v>2</v>
      </c>
      <c r="B24" s="75" t="s">
        <v>83</v>
      </c>
      <c r="C24" s="76">
        <v>11118403</v>
      </c>
      <c r="D24" s="76">
        <v>10483743</v>
      </c>
      <c r="E24" s="76">
        <f t="shared" si="2"/>
        <v>-634660</v>
      </c>
      <c r="F24" s="77">
        <f t="shared" si="3"/>
        <v>-5.7081938836000101E-2</v>
      </c>
    </row>
    <row r="25" spans="1:7" ht="23.1" customHeight="1" x14ac:dyDescent="0.2">
      <c r="A25" s="74">
        <v>3</v>
      </c>
      <c r="B25" s="75" t="s">
        <v>84</v>
      </c>
      <c r="C25" s="76">
        <v>995970</v>
      </c>
      <c r="D25" s="76">
        <v>1889779</v>
      </c>
      <c r="E25" s="76">
        <f t="shared" si="2"/>
        <v>893809</v>
      </c>
      <c r="F25" s="77">
        <f t="shared" si="3"/>
        <v>0.89742562526983749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8907808</v>
      </c>
      <c r="D26" s="76">
        <v>10543386</v>
      </c>
      <c r="E26" s="76">
        <f t="shared" si="2"/>
        <v>1635578</v>
      </c>
      <c r="F26" s="77">
        <f t="shared" si="3"/>
        <v>0.18361172580280133</v>
      </c>
    </row>
    <row r="27" spans="1:7" ht="23.1" customHeight="1" x14ac:dyDescent="0.2">
      <c r="A27" s="74">
        <v>5</v>
      </c>
      <c r="B27" s="75" t="s">
        <v>86</v>
      </c>
      <c r="C27" s="76">
        <v>4373638</v>
      </c>
      <c r="D27" s="76">
        <v>4269259</v>
      </c>
      <c r="E27" s="76">
        <f t="shared" si="2"/>
        <v>-104379</v>
      </c>
      <c r="F27" s="77">
        <f t="shared" si="3"/>
        <v>-2.3865486809836571E-2</v>
      </c>
    </row>
    <row r="28" spans="1:7" ht="23.1" customHeight="1" x14ac:dyDescent="0.2">
      <c r="A28" s="74">
        <v>6</v>
      </c>
      <c r="B28" s="75" t="s">
        <v>87</v>
      </c>
      <c r="C28" s="76">
        <v>3903848</v>
      </c>
      <c r="D28" s="76">
        <v>0</v>
      </c>
      <c r="E28" s="76">
        <f t="shared" si="2"/>
        <v>-3903848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2070005</v>
      </c>
      <c r="D29" s="76">
        <v>1899374</v>
      </c>
      <c r="E29" s="76">
        <f t="shared" si="2"/>
        <v>-170631</v>
      </c>
      <c r="F29" s="77">
        <f t="shared" si="3"/>
        <v>-8.2430235675759231E-2</v>
      </c>
    </row>
    <row r="30" spans="1:7" ht="23.1" customHeight="1" x14ac:dyDescent="0.2">
      <c r="A30" s="74">
        <v>8</v>
      </c>
      <c r="B30" s="75" t="s">
        <v>89</v>
      </c>
      <c r="C30" s="76">
        <v>736725</v>
      </c>
      <c r="D30" s="76">
        <v>649270</v>
      </c>
      <c r="E30" s="76">
        <f t="shared" si="2"/>
        <v>-87455</v>
      </c>
      <c r="F30" s="77">
        <f t="shared" si="3"/>
        <v>-0.11870779463164681</v>
      </c>
    </row>
    <row r="31" spans="1:7" ht="23.1" customHeight="1" x14ac:dyDescent="0.2">
      <c r="A31" s="74">
        <v>9</v>
      </c>
      <c r="B31" s="75" t="s">
        <v>90</v>
      </c>
      <c r="C31" s="76">
        <v>19558486</v>
      </c>
      <c r="D31" s="76">
        <v>19981554</v>
      </c>
      <c r="E31" s="76">
        <f t="shared" si="2"/>
        <v>423068</v>
      </c>
      <c r="F31" s="77">
        <f t="shared" si="3"/>
        <v>2.163091764873825E-2</v>
      </c>
    </row>
    <row r="32" spans="1:7" ht="23.1" customHeight="1" x14ac:dyDescent="0.25">
      <c r="A32" s="71"/>
      <c r="B32" s="78" t="s">
        <v>91</v>
      </c>
      <c r="C32" s="79">
        <f>SUM(C23:C31)</f>
        <v>96980439</v>
      </c>
      <c r="D32" s="79">
        <f>SUM(D23:D31)</f>
        <v>93071797</v>
      </c>
      <c r="E32" s="79">
        <f t="shared" si="2"/>
        <v>-3908642</v>
      </c>
      <c r="F32" s="80">
        <f t="shared" si="3"/>
        <v>-4.0303405927044733E-2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-3213003</v>
      </c>
      <c r="D34" s="79">
        <f>+D20-D32</f>
        <v>-5393813</v>
      </c>
      <c r="E34" s="79">
        <f>D34-C34</f>
        <v>-2180810</v>
      </c>
      <c r="F34" s="80">
        <f>IF(C34=0,0,E34/C34)</f>
        <v>0.67874508676151246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194132</v>
      </c>
      <c r="D37" s="76">
        <v>160097</v>
      </c>
      <c r="E37" s="76">
        <f>D37-C37</f>
        <v>-34035</v>
      </c>
      <c r="F37" s="77">
        <f>IF(C37=0,0,E37/C37)</f>
        <v>-0.17531885521191767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253450</v>
      </c>
      <c r="D39" s="76">
        <v>73479</v>
      </c>
      <c r="E39" s="76">
        <f>D39-C39</f>
        <v>-179971</v>
      </c>
      <c r="F39" s="77">
        <f>IF(C39=0,0,E39/C39)</f>
        <v>-0.71008482935490236</v>
      </c>
    </row>
    <row r="40" spans="1:6" ht="23.1" customHeight="1" x14ac:dyDescent="0.25">
      <c r="A40" s="83"/>
      <c r="B40" s="78" t="s">
        <v>97</v>
      </c>
      <c r="C40" s="79">
        <f>SUM(C37:C39)</f>
        <v>447582</v>
      </c>
      <c r="D40" s="79">
        <f>SUM(D37:D39)</f>
        <v>233576</v>
      </c>
      <c r="E40" s="79">
        <f>D40-C40</f>
        <v>-214006</v>
      </c>
      <c r="F40" s="80">
        <f>IF(C40=0,0,E40/C40)</f>
        <v>-0.478138084194628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-2765421</v>
      </c>
      <c r="D42" s="79">
        <f>D34+D40</f>
        <v>-5160237</v>
      </c>
      <c r="E42" s="79">
        <f>D42-C42</f>
        <v>-2394816</v>
      </c>
      <c r="F42" s="80">
        <f>IF(C42=0,0,E42/C42)</f>
        <v>0.86598604697078674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2355632</v>
      </c>
      <c r="E46" s="76">
        <f>D46-C46</f>
        <v>2355632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2355632</v>
      </c>
      <c r="E47" s="79">
        <f>D47-C47</f>
        <v>2355632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-2765421</v>
      </c>
      <c r="D49" s="79">
        <f>D42+D47</f>
        <v>-2804605</v>
      </c>
      <c r="E49" s="79">
        <f>D49-C49</f>
        <v>-39184</v>
      </c>
      <c r="F49" s="80">
        <f>IF(C49=0,0,E49/C49)</f>
        <v>1.4169271152565921E-2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263</vt:i4>
      </vt:variant>
    </vt:vector>
  </HeadingPairs>
  <TitlesOfParts>
    <vt:vector size="283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Sheet1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2014-10-07T12:42:19Z</cp:lastPrinted>
  <dcterms:created xsi:type="dcterms:W3CDTF">2014-10-06T18:33:18Z</dcterms:created>
  <dcterms:modified xsi:type="dcterms:W3CDTF">2014-10-09T18:17:19Z</dcterms:modified>
</cp:coreProperties>
</file>